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3183A347-75E0-489C-89E8-11093CE05B14}" xr6:coauthVersionLast="47" xr6:coauthVersionMax="47" xr10:uidLastSave="{00000000-0000-0000-0000-000000000000}"/>
  <bookViews>
    <workbookView xWindow="28680" yWindow="-2175" windowWidth="29040" windowHeight="15720" tabRatio="916" activeTab="9"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Q2" sheetId="26" r:id="rId11"/>
    <sheet name="Carrosserie_Mois" sheetId="22" r:id="rId12"/>
    <sheet name="Carrosserie_AAD" sheetId="23" r:id="rId13"/>
    <sheet name="BV_Data_An_Cour" sheetId="15" r:id="rId14"/>
    <sheet name="Data_Validation" sheetId="16" r:id="rId15"/>
    <sheet name="BV_Data_An_Prec" sheetId="21" r:id="rId16"/>
    <sheet name="Résumé" sheetId="25" r:id="rId17"/>
  </sheets>
  <definedNames>
    <definedName name="_xlnm._FilterDatabase" localSheetId="13" hidden="1">BV_Data_An_Cour!$A$2:$AZ$1077</definedName>
    <definedName name="_xlnm._FilterDatabase" localSheetId="15" hidden="1">BV_Data_An_Prec!$A$2:$AZ$899</definedName>
    <definedName name="_xlnm._FilterDatabase" localSheetId="14" hidden="1">Data_Validation!$A$1:$E$1387</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F69" i="25" l="1"/>
  <c r="C69" i="25"/>
  <c r="F68" i="25"/>
  <c r="C68" i="25"/>
  <c r="F67" i="25"/>
  <c r="C67" i="25"/>
  <c r="F65" i="25"/>
  <c r="C65" i="25"/>
  <c r="F64" i="25"/>
  <c r="C64" i="25"/>
  <c r="F63" i="25"/>
  <c r="C63" i="25"/>
  <c r="F62" i="25"/>
  <c r="C62" i="25"/>
  <c r="F61" i="25"/>
  <c r="C61" i="25"/>
  <c r="F60" i="25"/>
  <c r="C60" i="25"/>
  <c r="F58" i="25"/>
  <c r="C58" i="25"/>
  <c r="F59" i="25"/>
  <c r="C59" i="25"/>
  <c r="F57" i="25"/>
  <c r="C57" i="25"/>
  <c r="F56" i="25"/>
  <c r="C56" i="25"/>
  <c r="A586" i="26"/>
  <c r="AK585" i="26"/>
  <c r="A585" i="26"/>
  <c r="AO584" i="26"/>
  <c r="AN584" i="26"/>
  <c r="AE584" i="26"/>
  <c r="AB584" i="26"/>
  <c r="AI584" i="26"/>
  <c r="A584" i="26"/>
  <c r="AO583" i="26"/>
  <c r="AI583" i="26"/>
  <c r="AN583" i="26"/>
  <c r="AB583" i="26"/>
  <c r="AH583" i="26"/>
  <c r="A583" i="26"/>
  <c r="AO582" i="26"/>
  <c r="AH582" i="26"/>
  <c r="AB582" i="26"/>
  <c r="AI582" i="26"/>
  <c r="A582" i="26"/>
  <c r="AI581" i="26"/>
  <c r="AH581" i="26"/>
  <c r="AB581" i="26"/>
  <c r="A581" i="26"/>
  <c r="AO580" i="26"/>
  <c r="AI580" i="26"/>
  <c r="AH580" i="26"/>
  <c r="AN580" i="26"/>
  <c r="AB580" i="26"/>
  <c r="A580" i="26"/>
  <c r="AO579" i="26"/>
  <c r="AI579" i="26"/>
  <c r="AN579" i="26"/>
  <c r="AB579" i="26"/>
  <c r="A579" i="26"/>
  <c r="AN578" i="26"/>
  <c r="AO578" i="26"/>
  <c r="AB578" i="26"/>
  <c r="AI578" i="26"/>
  <c r="A578" i="26"/>
  <c r="A577" i="26"/>
  <c r="AK576" i="26"/>
  <c r="A576" i="26"/>
  <c r="A575" i="26"/>
  <c r="A574" i="26"/>
  <c r="A573" i="26"/>
  <c r="V572" i="26"/>
  <c r="A572" i="26" s="1"/>
  <c r="A571" i="26"/>
  <c r="AK570" i="26"/>
  <c r="A570" i="26"/>
  <c r="AO569" i="26"/>
  <c r="AN569" i="26"/>
  <c r="A569" i="26"/>
  <c r="A568" i="26"/>
  <c r="AO567" i="26"/>
  <c r="AH567" i="26"/>
  <c r="AI567" i="26" s="1"/>
  <c r="AN567" i="26"/>
  <c r="AB567" i="26"/>
  <c r="A567" i="26"/>
  <c r="AO566" i="26"/>
  <c r="AN566" i="26"/>
  <c r="AH566" i="26"/>
  <c r="AI566" i="26" s="1"/>
  <c r="AB566" i="26"/>
  <c r="A566" i="26"/>
  <c r="AO565" i="26"/>
  <c r="AI565" i="26"/>
  <c r="AB565" i="26"/>
  <c r="AH565" i="26"/>
  <c r="A565" i="26"/>
  <c r="AO564" i="26"/>
  <c r="AB564" i="26"/>
  <c r="A564" i="26"/>
  <c r="AO563" i="26"/>
  <c r="AN563" i="26"/>
  <c r="AH563" i="26"/>
  <c r="AI563" i="26" s="1"/>
  <c r="AB563" i="26"/>
  <c r="A563" i="26"/>
  <c r="AO562" i="26"/>
  <c r="AN562" i="26"/>
  <c r="AB562" i="26"/>
  <c r="A562" i="26"/>
  <c r="AO561" i="26"/>
  <c r="AH561" i="26"/>
  <c r="AI561" i="26" s="1"/>
  <c r="AN561" i="26"/>
  <c r="AB561" i="26"/>
  <c r="A561" i="26"/>
  <c r="AO560" i="26"/>
  <c r="AN560" i="26"/>
  <c r="AH560" i="26"/>
  <c r="AI560" i="26" s="1"/>
  <c r="AB560" i="26"/>
  <c r="A560" i="26"/>
  <c r="AO559" i="26"/>
  <c r="AB559" i="26"/>
  <c r="AH559" i="26"/>
  <c r="AI559" i="26" s="1"/>
  <c r="A559" i="26"/>
  <c r="AB558" i="26"/>
  <c r="A558" i="26"/>
  <c r="AO557" i="26"/>
  <c r="AN557" i="26"/>
  <c r="AH557" i="26"/>
  <c r="AB557" i="26"/>
  <c r="AI557" i="26"/>
  <c r="A557" i="26"/>
  <c r="AL568" i="26"/>
  <c r="AC568" i="26"/>
  <c r="AA568" i="26" s="1"/>
  <c r="Z568" i="26"/>
  <c r="A556" i="26"/>
  <c r="AJ555" i="26"/>
  <c r="A555" i="26"/>
  <c r="AO554" i="26"/>
  <c r="AN554" i="26"/>
  <c r="AH554" i="26"/>
  <c r="A554" i="26"/>
  <c r="AJ553" i="26"/>
  <c r="AF553" i="26"/>
  <c r="A553" i="26"/>
  <c r="A552" i="26"/>
  <c r="AI551" i="26"/>
  <c r="AH551" i="26"/>
  <c r="A551" i="26"/>
  <c r="AI550" i="26"/>
  <c r="AH550" i="26"/>
  <c r="A550" i="26"/>
  <c r="AB549" i="26"/>
  <c r="A549" i="26"/>
  <c r="AH548" i="26"/>
  <c r="AB548" i="26"/>
  <c r="AI548" i="26"/>
  <c r="A548" i="26"/>
  <c r="AN547" i="26"/>
  <c r="AO547" i="26"/>
  <c r="AI547" i="26"/>
  <c r="AH547" i="26"/>
  <c r="AB547" i="26"/>
  <c r="A547" i="26"/>
  <c r="AI546" i="26"/>
  <c r="AN546" i="26"/>
  <c r="AO546" i="26" s="1"/>
  <c r="AB546" i="26"/>
  <c r="A546" i="26"/>
  <c r="AN545" i="26"/>
  <c r="AO545" i="26"/>
  <c r="AB545" i="26"/>
  <c r="AI545" i="26"/>
  <c r="A545" i="26"/>
  <c r="AN544" i="26"/>
  <c r="AO544" i="26"/>
  <c r="AI544" i="26"/>
  <c r="AH544" i="26"/>
  <c r="AB544" i="26"/>
  <c r="A544" i="26"/>
  <c r="AO543" i="26"/>
  <c r="AI543" i="26"/>
  <c r="AH543" i="26"/>
  <c r="AB543" i="26"/>
  <c r="A543" i="26"/>
  <c r="AH542" i="26"/>
  <c r="AB542" i="26"/>
  <c r="AI542" i="26"/>
  <c r="A542" i="26"/>
  <c r="AN541" i="26"/>
  <c r="AO541" i="26"/>
  <c r="AI541" i="26"/>
  <c r="AH541" i="26"/>
  <c r="AB541" i="26"/>
  <c r="A541" i="26"/>
  <c r="AI540" i="26"/>
  <c r="AN540" i="26"/>
  <c r="A540" i="26"/>
  <c r="AJ539" i="26"/>
  <c r="AA539" i="26"/>
  <c r="A539" i="26"/>
  <c r="AO538" i="26"/>
  <c r="AN538" i="26"/>
  <c r="AH538" i="26"/>
  <c r="AB538" i="26"/>
  <c r="AI538" i="26"/>
  <c r="A538" i="26"/>
  <c r="AO537" i="26"/>
  <c r="AH537" i="26"/>
  <c r="AN537" i="26"/>
  <c r="AB537" i="26"/>
  <c r="AI537" i="26"/>
  <c r="A537" i="26"/>
  <c r="AH536" i="26"/>
  <c r="AB536" i="26"/>
  <c r="AI536" i="26"/>
  <c r="A536" i="26"/>
  <c r="AI535" i="26"/>
  <c r="AH535" i="26"/>
  <c r="AB535" i="26"/>
  <c r="A535" i="26"/>
  <c r="AB534" i="26"/>
  <c r="AI534" i="26"/>
  <c r="A534" i="26"/>
  <c r="AB533" i="26"/>
  <c r="AI533" i="26"/>
  <c r="A533" i="26"/>
  <c r="AH532" i="26"/>
  <c r="AB532" i="26"/>
  <c r="AI532" i="26"/>
  <c r="A532" i="26"/>
  <c r="AH531" i="26"/>
  <c r="AB531" i="26"/>
  <c r="AI531" i="26"/>
  <c r="A531" i="26"/>
  <c r="AB530" i="26"/>
  <c r="AI530" i="26"/>
  <c r="A530" i="26"/>
  <c r="AI529" i="26"/>
  <c r="AB529" i="26"/>
  <c r="AH529" i="26"/>
  <c r="A529" i="26"/>
  <c r="AB528" i="26"/>
  <c r="AI528" i="26"/>
  <c r="A528" i="26"/>
  <c r="AH527" i="26"/>
  <c r="AB527" i="26"/>
  <c r="AI527" i="26"/>
  <c r="AI526" i="26"/>
  <c r="AB526" i="26"/>
  <c r="A526" i="26"/>
  <c r="AI525" i="26"/>
  <c r="AH525" i="26"/>
  <c r="AB525" i="26"/>
  <c r="A525" i="26"/>
  <c r="AI524" i="26"/>
  <c r="AH524" i="26"/>
  <c r="AB524" i="26"/>
  <c r="A524" i="26"/>
  <c r="AI523" i="26"/>
  <c r="AH523" i="26"/>
  <c r="AB523" i="26"/>
  <c r="A523" i="26"/>
  <c r="AI522" i="26"/>
  <c r="AB522" i="26"/>
  <c r="A522" i="26"/>
  <c r="AB521" i="26"/>
  <c r="A521" i="26"/>
  <c r="AJ520" i="26"/>
  <c r="Z520" i="26"/>
  <c r="A520" i="26"/>
  <c r="AH519" i="26"/>
  <c r="AB519" i="26"/>
  <c r="AI519" i="26"/>
  <c r="A519" i="26"/>
  <c r="AB518" i="26"/>
  <c r="AI518" i="26"/>
  <c r="A518" i="26"/>
  <c r="AI517" i="26"/>
  <c r="AH517" i="26"/>
  <c r="AB517" i="26"/>
  <c r="A517" i="26"/>
  <c r="AB516" i="26"/>
  <c r="AI516" i="26"/>
  <c r="A516" i="26"/>
  <c r="AH515" i="26"/>
  <c r="AB515" i="26"/>
  <c r="AI515" i="26"/>
  <c r="A515" i="26"/>
  <c r="AO514" i="26"/>
  <c r="AI514" i="26"/>
  <c r="AH514" i="26"/>
  <c r="AN514" i="26"/>
  <c r="AB514" i="26"/>
  <c r="A514" i="26"/>
  <c r="AO513" i="26"/>
  <c r="AN513" i="26"/>
  <c r="AB513" i="26"/>
  <c r="AI513" i="26"/>
  <c r="A513" i="26"/>
  <c r="AO512" i="26"/>
  <c r="AI512" i="26"/>
  <c r="AH512" i="26"/>
  <c r="AN512" i="26"/>
  <c r="AB512" i="26"/>
  <c r="A512" i="26"/>
  <c r="AI511" i="26"/>
  <c r="AB511" i="26"/>
  <c r="A511" i="26"/>
  <c r="AB510" i="26"/>
  <c r="AI510" i="26"/>
  <c r="A510" i="26"/>
  <c r="AI509" i="26"/>
  <c r="AH509" i="26"/>
  <c r="AB509" i="26"/>
  <c r="A509" i="26"/>
  <c r="AH508" i="26"/>
  <c r="AB508" i="26"/>
  <c r="AI508" i="26"/>
  <c r="A508" i="26"/>
  <c r="AB507" i="26"/>
  <c r="AH507" i="26"/>
  <c r="A507" i="26"/>
  <c r="AJ506" i="26"/>
  <c r="A506" i="26"/>
  <c r="AO505" i="26"/>
  <c r="AI505" i="26"/>
  <c r="AH505" i="26"/>
  <c r="AE505" i="26"/>
  <c r="AB505" i="26"/>
  <c r="A505" i="26"/>
  <c r="AB504" i="26"/>
  <c r="AI504" i="26"/>
  <c r="A504" i="26"/>
  <c r="AB503" i="26"/>
  <c r="A503" i="26"/>
  <c r="AH502" i="26"/>
  <c r="AB502" i="26"/>
  <c r="AI502" i="26"/>
  <c r="A502" i="26"/>
  <c r="AI501" i="26"/>
  <c r="AH501" i="26"/>
  <c r="AB501" i="26"/>
  <c r="A501" i="26"/>
  <c r="AB500" i="26"/>
  <c r="AI500" i="26"/>
  <c r="A500" i="26"/>
  <c r="AB499" i="26"/>
  <c r="A499" i="26"/>
  <c r="AH498" i="26"/>
  <c r="AB498" i="26"/>
  <c r="A498" i="26"/>
  <c r="AH497" i="26"/>
  <c r="AB497" i="26"/>
  <c r="AI497" i="26"/>
  <c r="A497" i="26"/>
  <c r="AF506" i="26"/>
  <c r="AC506" i="26"/>
  <c r="AI496" i="26"/>
  <c r="A496" i="26"/>
  <c r="A495" i="26"/>
  <c r="A492" i="26"/>
  <c r="A491" i="26"/>
  <c r="V489" i="26"/>
  <c r="S481" i="26"/>
  <c r="S480" i="26"/>
  <c r="S479" i="26"/>
  <c r="S478" i="26"/>
  <c r="S477" i="26"/>
  <c r="S476" i="26"/>
  <c r="S475" i="26"/>
  <c r="S474" i="26"/>
  <c r="S473" i="26"/>
  <c r="S472" i="26"/>
  <c r="S471" i="26"/>
  <c r="S470" i="26"/>
  <c r="S469" i="26"/>
  <c r="S468" i="26"/>
  <c r="S467" i="26"/>
  <c r="S466" i="26"/>
  <c r="Q482" i="26"/>
  <c r="S465" i="26"/>
  <c r="F482" i="26"/>
  <c r="E482" i="26" s="1"/>
  <c r="S463" i="26"/>
  <c r="S462" i="26"/>
  <c r="S461" i="26"/>
  <c r="S460" i="26"/>
  <c r="S459" i="26"/>
  <c r="S458" i="26"/>
  <c r="S457" i="26"/>
  <c r="S456" i="26"/>
  <c r="S455" i="26"/>
  <c r="S454" i="26"/>
  <c r="S453" i="26"/>
  <c r="Q464" i="26"/>
  <c r="L464" i="26"/>
  <c r="R448" i="26"/>
  <c r="P448" i="26"/>
  <c r="R443" i="26"/>
  <c r="N443" i="26"/>
  <c r="N444" i="26" s="1"/>
  <c r="M443" i="26"/>
  <c r="F444" i="26"/>
  <c r="Q441" i="26"/>
  <c r="N440" i="26"/>
  <c r="S440" i="26"/>
  <c r="K448" i="26"/>
  <c r="R440" i="26"/>
  <c r="F441" i="26"/>
  <c r="L438" i="26"/>
  <c r="S437" i="26"/>
  <c r="Q438" i="26"/>
  <c r="R437" i="26"/>
  <c r="M437" i="26"/>
  <c r="L448" i="26"/>
  <c r="F448" i="26"/>
  <c r="C432" i="26"/>
  <c r="N428" i="26"/>
  <c r="S424" i="26"/>
  <c r="A424" i="26"/>
  <c r="A423" i="26"/>
  <c r="S422" i="26"/>
  <c r="N422" i="26"/>
  <c r="A422" i="26"/>
  <c r="S421" i="26"/>
  <c r="N421" i="26"/>
  <c r="A421" i="26"/>
  <c r="S420" i="26"/>
  <c r="N420" i="26"/>
  <c r="A420" i="26"/>
  <c r="N419" i="26"/>
  <c r="A419" i="26"/>
  <c r="S418" i="26"/>
  <c r="A418" i="26"/>
  <c r="N417" i="26"/>
  <c r="S417" i="26"/>
  <c r="A417" i="26"/>
  <c r="S416" i="26"/>
  <c r="N416" i="26"/>
  <c r="A416" i="26"/>
  <c r="S415" i="26"/>
  <c r="N415" i="26"/>
  <c r="A415" i="26"/>
  <c r="S414" i="26"/>
  <c r="N414" i="26"/>
  <c r="A414" i="26"/>
  <c r="S413" i="26"/>
  <c r="F425" i="26"/>
  <c r="E425" i="26" s="1"/>
  <c r="A413" i="26"/>
  <c r="S412" i="26"/>
  <c r="A412" i="26"/>
  <c r="A411" i="26"/>
  <c r="S410" i="26"/>
  <c r="N410" i="26"/>
  <c r="A410" i="26"/>
  <c r="S409" i="26"/>
  <c r="N409" i="26"/>
  <c r="A409" i="26"/>
  <c r="S408" i="26"/>
  <c r="N408" i="26"/>
  <c r="A408" i="26"/>
  <c r="N407" i="26"/>
  <c r="A407" i="26"/>
  <c r="A406" i="26"/>
  <c r="S405" i="26"/>
  <c r="A405" i="26"/>
  <c r="S404" i="26"/>
  <c r="A404" i="26"/>
  <c r="A403" i="26"/>
  <c r="S402" i="26"/>
  <c r="N402" i="26"/>
  <c r="A402" i="26"/>
  <c r="S401" i="26"/>
  <c r="N401" i="26"/>
  <c r="A401" i="26"/>
  <c r="S400" i="26"/>
  <c r="N400" i="26"/>
  <c r="A400" i="26"/>
  <c r="N399" i="26"/>
  <c r="A399" i="26"/>
  <c r="S398" i="26"/>
  <c r="A398" i="26"/>
  <c r="N397" i="26"/>
  <c r="S397" i="26"/>
  <c r="A397" i="26"/>
  <c r="S396" i="26"/>
  <c r="N396" i="26"/>
  <c r="A396" i="26"/>
  <c r="S395" i="26"/>
  <c r="N395" i="26"/>
  <c r="A395" i="26"/>
  <c r="S394" i="26"/>
  <c r="I406" i="26"/>
  <c r="H406" i="26" s="1"/>
  <c r="N394" i="26"/>
  <c r="A394" i="26"/>
  <c r="A393" i="26"/>
  <c r="A392" i="26"/>
  <c r="A391" i="26"/>
  <c r="A390" i="26"/>
  <c r="A389" i="26"/>
  <c r="S388" i="26"/>
  <c r="R388" i="26" s="1"/>
  <c r="P388" i="26"/>
  <c r="N388" i="26"/>
  <c r="M388" i="26"/>
  <c r="K388" i="26"/>
  <c r="H388" i="26"/>
  <c r="E388" i="26"/>
  <c r="A388" i="26"/>
  <c r="P387" i="26"/>
  <c r="K387" i="26"/>
  <c r="H387" i="26"/>
  <c r="E387" i="26"/>
  <c r="A387" i="26"/>
  <c r="A386" i="26"/>
  <c r="A385" i="26"/>
  <c r="S384" i="26"/>
  <c r="N384" i="26"/>
  <c r="M384" i="26"/>
  <c r="H384" i="26"/>
  <c r="E384" i="26"/>
  <c r="A384" i="26"/>
  <c r="R383" i="26"/>
  <c r="N383" i="26"/>
  <c r="S383" i="26"/>
  <c r="M383" i="26"/>
  <c r="H383" i="26"/>
  <c r="E383" i="26"/>
  <c r="A383" i="26"/>
  <c r="A382" i="26"/>
  <c r="A381" i="26"/>
  <c r="A380" i="26"/>
  <c r="R379" i="26"/>
  <c r="P379" i="26"/>
  <c r="S379" i="26"/>
  <c r="K379" i="26"/>
  <c r="H379" i="26"/>
  <c r="E379" i="26"/>
  <c r="A379" i="26"/>
  <c r="N378" i="26"/>
  <c r="S378" i="26"/>
  <c r="K378" i="26"/>
  <c r="H378" i="26"/>
  <c r="E378" i="26"/>
  <c r="A378" i="26"/>
  <c r="S377" i="26"/>
  <c r="R377" i="26"/>
  <c r="P377" i="26"/>
  <c r="M377" i="26"/>
  <c r="N377" i="26"/>
  <c r="K377" i="26"/>
  <c r="H377" i="26"/>
  <c r="E377" i="26"/>
  <c r="A377" i="26"/>
  <c r="R376" i="26"/>
  <c r="P376" i="26"/>
  <c r="M376" i="26"/>
  <c r="K376" i="26"/>
  <c r="H376" i="26"/>
  <c r="E376" i="26"/>
  <c r="A376" i="26"/>
  <c r="Q380" i="26"/>
  <c r="P375" i="26"/>
  <c r="K375" i="26"/>
  <c r="H375" i="26"/>
  <c r="N375" i="26"/>
  <c r="E375" i="26"/>
  <c r="A375" i="26"/>
  <c r="S374" i="26"/>
  <c r="P374" i="26"/>
  <c r="N374" i="26"/>
  <c r="H374" i="26"/>
  <c r="E374" i="26"/>
  <c r="A374" i="26"/>
  <c r="N373" i="26"/>
  <c r="S373" i="26"/>
  <c r="K373" i="26"/>
  <c r="H373" i="26"/>
  <c r="E373" i="26"/>
  <c r="A373" i="26"/>
  <c r="S372" i="26"/>
  <c r="P372" i="26"/>
  <c r="N372" i="26"/>
  <c r="M372" i="26"/>
  <c r="K372" i="26"/>
  <c r="H372" i="26"/>
  <c r="E372" i="26"/>
  <c r="A372" i="26"/>
  <c r="S371" i="26"/>
  <c r="R371" i="26"/>
  <c r="M371" i="26"/>
  <c r="F380" i="26"/>
  <c r="F385" i="26" s="1"/>
  <c r="F390" i="26" s="1"/>
  <c r="E371" i="26"/>
  <c r="A371" i="26"/>
  <c r="A370" i="26"/>
  <c r="C367" i="26"/>
  <c r="N364" i="26"/>
  <c r="S360" i="26"/>
  <c r="N360" i="26"/>
  <c r="A360" i="26"/>
  <c r="S359" i="26"/>
  <c r="N359" i="26"/>
  <c r="A359" i="26"/>
  <c r="S358" i="26"/>
  <c r="A358" i="26"/>
  <c r="N357" i="26"/>
  <c r="A357" i="26"/>
  <c r="A356" i="26"/>
  <c r="A355" i="26"/>
  <c r="S354" i="26"/>
  <c r="N354" i="26"/>
  <c r="A354" i="26"/>
  <c r="S353" i="26"/>
  <c r="N353" i="26"/>
  <c r="A353" i="26"/>
  <c r="S352" i="26"/>
  <c r="N352" i="26"/>
  <c r="A352" i="26"/>
  <c r="S351" i="26"/>
  <c r="N351" i="26"/>
  <c r="A351" i="26"/>
  <c r="S350" i="26"/>
  <c r="N350" i="26"/>
  <c r="A350" i="26"/>
  <c r="S349" i="26"/>
  <c r="A349" i="26"/>
  <c r="S348" i="26"/>
  <c r="N348" i="26"/>
  <c r="A348" i="26"/>
  <c r="A347" i="26"/>
  <c r="S346" i="26"/>
  <c r="A346" i="26"/>
  <c r="S345" i="26"/>
  <c r="I361" i="26"/>
  <c r="H361" i="26" s="1"/>
  <c r="A345" i="26"/>
  <c r="S344" i="26"/>
  <c r="N344" i="26"/>
  <c r="A344" i="26"/>
  <c r="Q361" i="26"/>
  <c r="N343" i="26"/>
  <c r="A343" i="26"/>
  <c r="P342" i="26"/>
  <c r="K342" i="26"/>
  <c r="F342" i="26"/>
  <c r="A342" i="26"/>
  <c r="S341" i="26"/>
  <c r="A341" i="26"/>
  <c r="S340" i="26"/>
  <c r="N340" i="26"/>
  <c r="A340" i="26"/>
  <c r="N339" i="26"/>
  <c r="A339" i="26"/>
  <c r="S338" i="26"/>
  <c r="N338" i="26"/>
  <c r="A338" i="26"/>
  <c r="N337" i="26"/>
  <c r="A337" i="26"/>
  <c r="S336" i="26"/>
  <c r="N336" i="26"/>
  <c r="A336" i="26"/>
  <c r="S335" i="26"/>
  <c r="A335" i="26"/>
  <c r="N334" i="26"/>
  <c r="S334" i="26"/>
  <c r="A334" i="26"/>
  <c r="S333" i="26"/>
  <c r="A333" i="26"/>
  <c r="S332" i="26"/>
  <c r="N332" i="26"/>
  <c r="A332" i="26"/>
  <c r="S331" i="26"/>
  <c r="N331" i="26"/>
  <c r="A331" i="26"/>
  <c r="S330" i="26"/>
  <c r="N330" i="26"/>
  <c r="A330" i="26"/>
  <c r="A329" i="26"/>
  <c r="A328" i="26"/>
  <c r="F326" i="26"/>
  <c r="R324" i="26"/>
  <c r="S324" i="26"/>
  <c r="A323" i="26"/>
  <c r="I322" i="26"/>
  <c r="A322" i="26"/>
  <c r="S321" i="26"/>
  <c r="R321" i="26"/>
  <c r="S322" i="26"/>
  <c r="N321" i="26"/>
  <c r="M321" i="26"/>
  <c r="F322" i="26"/>
  <c r="A321" i="26"/>
  <c r="A320" i="26"/>
  <c r="L319" i="26"/>
  <c r="A319" i="26"/>
  <c r="R318" i="26"/>
  <c r="Q326" i="26"/>
  <c r="P326" i="26"/>
  <c r="S318" i="26"/>
  <c r="S319" i="26" s="1"/>
  <c r="I319" i="26"/>
  <c r="F319" i="26"/>
  <c r="E326" i="26"/>
  <c r="A318" i="26"/>
  <c r="A317" i="26"/>
  <c r="Q316" i="26"/>
  <c r="F316" i="26"/>
  <c r="A316" i="26"/>
  <c r="R315" i="26"/>
  <c r="M315" i="26"/>
  <c r="I316" i="26"/>
  <c r="A315" i="26"/>
  <c r="A314" i="26"/>
  <c r="A313" i="26"/>
  <c r="S310" i="26"/>
  <c r="C310" i="26"/>
  <c r="N306" i="26"/>
  <c r="S302" i="26"/>
  <c r="N302" i="26"/>
  <c r="A302" i="26"/>
  <c r="S301" i="26"/>
  <c r="N301" i="26"/>
  <c r="S300" i="26"/>
  <c r="A300" i="26"/>
  <c r="N299" i="26"/>
  <c r="S299" i="26"/>
  <c r="A299" i="26"/>
  <c r="S298" i="26"/>
  <c r="A298" i="26"/>
  <c r="S297" i="26"/>
  <c r="N297" i="26"/>
  <c r="A297" i="26"/>
  <c r="S296" i="26"/>
  <c r="N296" i="26"/>
  <c r="A296" i="26"/>
  <c r="S295" i="26"/>
  <c r="N295" i="26"/>
  <c r="A295" i="26"/>
  <c r="S294" i="26"/>
  <c r="N294" i="26"/>
  <c r="A294" i="26"/>
  <c r="S293" i="26"/>
  <c r="N293" i="26"/>
  <c r="A293" i="26"/>
  <c r="S292" i="26"/>
  <c r="A292" i="26"/>
  <c r="A291" i="26"/>
  <c r="S290" i="26"/>
  <c r="N290" i="26"/>
  <c r="A290" i="26"/>
  <c r="S289" i="26"/>
  <c r="N289" i="26"/>
  <c r="A289" i="26"/>
  <c r="S288" i="26"/>
  <c r="A288" i="26"/>
  <c r="N287" i="26"/>
  <c r="S287" i="26"/>
  <c r="A287" i="26"/>
  <c r="S286" i="26"/>
  <c r="A286" i="26"/>
  <c r="S285" i="26"/>
  <c r="N285" i="26"/>
  <c r="A285" i="26"/>
  <c r="A284" i="26"/>
  <c r="A283" i="26"/>
  <c r="S282" i="26"/>
  <c r="N282" i="26"/>
  <c r="A282" i="26"/>
  <c r="S281" i="26"/>
  <c r="N281" i="26"/>
  <c r="A281" i="26"/>
  <c r="S280" i="26"/>
  <c r="A280" i="26"/>
  <c r="N279" i="26"/>
  <c r="S279" i="26"/>
  <c r="A279" i="26"/>
  <c r="S278" i="26"/>
  <c r="A278" i="26"/>
  <c r="S277" i="26"/>
  <c r="N277" i="26"/>
  <c r="A277" i="26"/>
  <c r="S276" i="26"/>
  <c r="N276" i="26"/>
  <c r="A276" i="26"/>
  <c r="S275" i="26"/>
  <c r="N275" i="26"/>
  <c r="A275" i="26"/>
  <c r="S274" i="26"/>
  <c r="N274" i="26"/>
  <c r="A274" i="26"/>
  <c r="S273" i="26"/>
  <c r="A273" i="26"/>
  <c r="Q284" i="26"/>
  <c r="A272" i="26"/>
  <c r="A271" i="26"/>
  <c r="A270" i="26"/>
  <c r="A269" i="26"/>
  <c r="A268" i="26"/>
  <c r="A267" i="26"/>
  <c r="Q266" i="26"/>
  <c r="F266" i="26"/>
  <c r="A266" i="26"/>
  <c r="L266" i="26"/>
  <c r="I266" i="26"/>
  <c r="A265" i="26"/>
  <c r="A264" i="26"/>
  <c r="Q263" i="26"/>
  <c r="L263" i="26"/>
  <c r="A263" i="26"/>
  <c r="R262" i="26"/>
  <c r="S262" i="26"/>
  <c r="I263" i="26"/>
  <c r="F263" i="26"/>
  <c r="M262" i="26"/>
  <c r="A262" i="26"/>
  <c r="A261" i="26"/>
  <c r="S260" i="26"/>
  <c r="A260" i="26"/>
  <c r="R259" i="26"/>
  <c r="E259" i="26"/>
  <c r="E268" i="26" s="1"/>
  <c r="A259" i="26"/>
  <c r="S258" i="26"/>
  <c r="A258" i="26"/>
  <c r="A257" i="26"/>
  <c r="M256" i="26"/>
  <c r="A256" i="26"/>
  <c r="R255" i="26"/>
  <c r="Q256" i="26"/>
  <c r="S255" i="26"/>
  <c r="L256" i="26"/>
  <c r="I256" i="26"/>
  <c r="F256" i="26"/>
  <c r="M255" i="26"/>
  <c r="A255" i="26"/>
  <c r="A254" i="26"/>
  <c r="R253" i="26"/>
  <c r="Q253" i="26"/>
  <c r="F253" i="26"/>
  <c r="A253" i="26"/>
  <c r="R252" i="26"/>
  <c r="M252" i="26"/>
  <c r="I253" i="26"/>
  <c r="A252" i="26"/>
  <c r="A251" i="26"/>
  <c r="Q250" i="26"/>
  <c r="A250" i="26"/>
  <c r="R249" i="26"/>
  <c r="S249" i="26"/>
  <c r="M249" i="26"/>
  <c r="I250" i="26"/>
  <c r="F250" i="26"/>
  <c r="A249" i="26"/>
  <c r="H248" i="26"/>
  <c r="E248" i="26"/>
  <c r="A248" i="26"/>
  <c r="A247" i="26"/>
  <c r="Q247" i="26"/>
  <c r="P259" i="26"/>
  <c r="P268" i="26" s="1"/>
  <c r="R246" i="26"/>
  <c r="N246" i="26"/>
  <c r="L259" i="26"/>
  <c r="L268" i="26" s="1"/>
  <c r="L247" i="26"/>
  <c r="I247" i="26"/>
  <c r="H259" i="26"/>
  <c r="H268" i="26" s="1"/>
  <c r="F247" i="26"/>
  <c r="A246" i="26"/>
  <c r="A245" i="26"/>
  <c r="C242" i="26"/>
  <c r="Q237" i="26"/>
  <c r="L237" i="26"/>
  <c r="F237" i="26"/>
  <c r="S236" i="26"/>
  <c r="N236" i="26"/>
  <c r="S235" i="26"/>
  <c r="N235" i="26"/>
  <c r="S234" i="26"/>
  <c r="N234" i="26"/>
  <c r="S233" i="26"/>
  <c r="N233" i="26"/>
  <c r="E233" i="26"/>
  <c r="D233" i="26" s="1"/>
  <c r="S232" i="26"/>
  <c r="N232" i="26"/>
  <c r="S231" i="26"/>
  <c r="N231" i="26"/>
  <c r="S230" i="26"/>
  <c r="S237" i="26" s="1"/>
  <c r="N230" i="26"/>
  <c r="N237" i="26" s="1"/>
  <c r="S226" i="26"/>
  <c r="N226" i="26"/>
  <c r="S225" i="26"/>
  <c r="N225" i="26"/>
  <c r="S224" i="26"/>
  <c r="N224" i="26"/>
  <c r="S223" i="26"/>
  <c r="N223" i="26"/>
  <c r="S222" i="26"/>
  <c r="N221" i="26"/>
  <c r="S221" i="26"/>
  <c r="S220" i="26"/>
  <c r="S219" i="26"/>
  <c r="N219" i="26"/>
  <c r="S218" i="26"/>
  <c r="N218" i="26"/>
  <c r="S216" i="26"/>
  <c r="S215" i="26"/>
  <c r="N215" i="26"/>
  <c r="S214" i="26"/>
  <c r="N214" i="26"/>
  <c r="S213" i="26"/>
  <c r="N213" i="26"/>
  <c r="Q227" i="26"/>
  <c r="N212" i="26"/>
  <c r="F227" i="26"/>
  <c r="S211" i="26"/>
  <c r="N211" i="26"/>
  <c r="S210" i="26"/>
  <c r="N210" i="26"/>
  <c r="S208" i="26"/>
  <c r="N208" i="26"/>
  <c r="S207" i="26"/>
  <c r="N207" i="26"/>
  <c r="S206" i="26"/>
  <c r="N206" i="26"/>
  <c r="S205" i="26"/>
  <c r="N205" i="26"/>
  <c r="S204" i="26"/>
  <c r="N203" i="26"/>
  <c r="S203" i="26"/>
  <c r="S202" i="26"/>
  <c r="S201" i="26"/>
  <c r="N201" i="26"/>
  <c r="S200" i="26"/>
  <c r="N200" i="26"/>
  <c r="S198" i="26"/>
  <c r="Q209" i="26"/>
  <c r="S197" i="26"/>
  <c r="N197" i="26"/>
  <c r="S195" i="26"/>
  <c r="N195" i="26"/>
  <c r="S194" i="26"/>
  <c r="N194" i="26"/>
  <c r="S193" i="26"/>
  <c r="N193" i="26"/>
  <c r="S192" i="26"/>
  <c r="N192" i="26"/>
  <c r="S191" i="26"/>
  <c r="K191" i="26"/>
  <c r="S190" i="26"/>
  <c r="N190" i="26"/>
  <c r="S189" i="26"/>
  <c r="N189" i="26"/>
  <c r="L196" i="26"/>
  <c r="S187" i="26"/>
  <c r="N187" i="26"/>
  <c r="F196" i="26"/>
  <c r="N186" i="26"/>
  <c r="S186" i="26"/>
  <c r="D186" i="26"/>
  <c r="J182" i="26"/>
  <c r="F182" i="26"/>
  <c r="N180" i="26"/>
  <c r="N179" i="26"/>
  <c r="S179" i="26"/>
  <c r="R179" i="26"/>
  <c r="R180" i="26" s="1"/>
  <c r="A179" i="26"/>
  <c r="S178" i="26"/>
  <c r="S177" i="26"/>
  <c r="R177" i="26"/>
  <c r="R178" i="26" s="1"/>
  <c r="N177" i="26"/>
  <c r="D182" i="26"/>
  <c r="E182" i="26" s="1"/>
  <c r="O182" i="26"/>
  <c r="S175" i="26"/>
  <c r="S176" i="26" s="1"/>
  <c r="R175" i="26"/>
  <c r="R176" i="26" s="1"/>
  <c r="C169" i="26"/>
  <c r="S163" i="26"/>
  <c r="A163" i="26"/>
  <c r="S162" i="26"/>
  <c r="N162" i="26"/>
  <c r="A162" i="26"/>
  <c r="S161" i="26"/>
  <c r="N161" i="26"/>
  <c r="A161" i="26"/>
  <c r="S160" i="26"/>
  <c r="N160" i="26"/>
  <c r="A160" i="26"/>
  <c r="S159" i="26"/>
  <c r="N159" i="26"/>
  <c r="A159" i="26"/>
  <c r="S158" i="26"/>
  <c r="N158" i="26"/>
  <c r="A158" i="26"/>
  <c r="Q164" i="26"/>
  <c r="S157" i="26"/>
  <c r="I164" i="26"/>
  <c r="F164" i="26"/>
  <c r="A157" i="26"/>
  <c r="A156" i="26"/>
  <c r="A155" i="26"/>
  <c r="A154" i="26"/>
  <c r="S153" i="26"/>
  <c r="A153" i="26"/>
  <c r="S152" i="26"/>
  <c r="N152" i="26"/>
  <c r="A152" i="26"/>
  <c r="S151" i="26"/>
  <c r="N151" i="26"/>
  <c r="A151" i="26"/>
  <c r="S150" i="26"/>
  <c r="N150" i="26"/>
  <c r="A150" i="26"/>
  <c r="S149" i="26"/>
  <c r="N149" i="26"/>
  <c r="A149" i="26"/>
  <c r="S148" i="26"/>
  <c r="N148" i="26"/>
  <c r="A148" i="26"/>
  <c r="S147" i="26"/>
  <c r="A147" i="26"/>
  <c r="N146" i="26"/>
  <c r="S146" i="26"/>
  <c r="A146" i="26"/>
  <c r="S145" i="26"/>
  <c r="N145" i="26"/>
  <c r="A145" i="26"/>
  <c r="S144" i="26"/>
  <c r="N144" i="26"/>
  <c r="A144" i="26"/>
  <c r="S143" i="26"/>
  <c r="A143" i="26"/>
  <c r="N142" i="26"/>
  <c r="S142" i="26"/>
  <c r="A142" i="26"/>
  <c r="A141" i="26"/>
  <c r="S140" i="26"/>
  <c r="N140" i="26"/>
  <c r="A140" i="26"/>
  <c r="S139" i="26"/>
  <c r="N139" i="26"/>
  <c r="A139" i="26"/>
  <c r="S138" i="26"/>
  <c r="N138" i="26"/>
  <c r="A138" i="26"/>
  <c r="A137" i="26"/>
  <c r="A136" i="26"/>
  <c r="A135" i="26"/>
  <c r="N134" i="26"/>
  <c r="S134" i="26"/>
  <c r="A134" i="26"/>
  <c r="A133" i="26"/>
  <c r="S132" i="26"/>
  <c r="N132" i="26"/>
  <c r="A132" i="26"/>
  <c r="S131" i="26"/>
  <c r="N131" i="26"/>
  <c r="A131" i="26"/>
  <c r="S130" i="26"/>
  <c r="N130" i="26"/>
  <c r="A130" i="26"/>
  <c r="A129" i="26"/>
  <c r="S128" i="26"/>
  <c r="N128" i="26"/>
  <c r="A128" i="26"/>
  <c r="A127" i="26"/>
  <c r="S126" i="26"/>
  <c r="N126" i="26"/>
  <c r="A126" i="26"/>
  <c r="S125" i="26"/>
  <c r="N125" i="26"/>
  <c r="A125" i="26"/>
  <c r="S124" i="26"/>
  <c r="N124" i="26"/>
  <c r="A124" i="26"/>
  <c r="A123" i="26"/>
  <c r="S122" i="26"/>
  <c r="N122" i="26"/>
  <c r="A122" i="26"/>
  <c r="S121" i="26"/>
  <c r="A121" i="26"/>
  <c r="S120" i="26"/>
  <c r="N120" i="26"/>
  <c r="A120" i="26"/>
  <c r="N119" i="26"/>
  <c r="S119" i="26"/>
  <c r="A119" i="26"/>
  <c r="A118" i="26"/>
  <c r="S117" i="26"/>
  <c r="N117" i="26"/>
  <c r="A117" i="26"/>
  <c r="N116" i="26"/>
  <c r="H116" i="26"/>
  <c r="A116" i="26"/>
  <c r="S115" i="26"/>
  <c r="N115" i="26"/>
  <c r="A115" i="26"/>
  <c r="S114" i="26"/>
  <c r="N114" i="26"/>
  <c r="G114" i="26"/>
  <c r="A114" i="26"/>
  <c r="S113" i="26"/>
  <c r="Q123" i="26"/>
  <c r="O113" i="26"/>
  <c r="G113" i="26"/>
  <c r="A113" i="26"/>
  <c r="A112" i="26"/>
  <c r="A111" i="26"/>
  <c r="A110" i="26"/>
  <c r="A109" i="26"/>
  <c r="A108" i="26"/>
  <c r="A107" i="26"/>
  <c r="Q106" i="26"/>
  <c r="P106" i="26"/>
  <c r="O106" i="26"/>
  <c r="J106" i="26"/>
  <c r="M106" i="26" s="1"/>
  <c r="G106" i="26"/>
  <c r="H106" i="26" s="1"/>
  <c r="D106" i="26"/>
  <c r="E106" i="26" s="1"/>
  <c r="A106" i="26"/>
  <c r="R105" i="26"/>
  <c r="S105" i="26"/>
  <c r="P105" i="26"/>
  <c r="N105" i="26"/>
  <c r="K105" i="26"/>
  <c r="H105" i="26"/>
  <c r="E105" i="26"/>
  <c r="A105" i="26"/>
  <c r="S104" i="26"/>
  <c r="P104" i="26"/>
  <c r="N104" i="26"/>
  <c r="K104" i="26"/>
  <c r="H104" i="26"/>
  <c r="E104" i="26"/>
  <c r="A104" i="26"/>
  <c r="P103" i="26"/>
  <c r="N103" i="26"/>
  <c r="K103" i="26"/>
  <c r="R103" i="26" s="1"/>
  <c r="H103" i="26"/>
  <c r="F106" i="26"/>
  <c r="D114" i="26" s="1"/>
  <c r="E103" i="26"/>
  <c r="A103" i="26"/>
  <c r="A102" i="26"/>
  <c r="S101" i="26"/>
  <c r="M101" i="26"/>
  <c r="N101" i="26"/>
  <c r="R101" i="26"/>
  <c r="H101" i="26"/>
  <c r="E101" i="26"/>
  <c r="A101" i="26"/>
  <c r="P100" i="26"/>
  <c r="K100" i="26"/>
  <c r="H100" i="26"/>
  <c r="E100" i="26"/>
  <c r="A100" i="26"/>
  <c r="S99" i="26"/>
  <c r="R99" i="26"/>
  <c r="N99" i="26"/>
  <c r="B99" i="26"/>
  <c r="A99" i="26" s="1"/>
  <c r="H98" i="26"/>
  <c r="A98" i="26"/>
  <c r="J97" i="26"/>
  <c r="I97" i="26"/>
  <c r="A97" i="26"/>
  <c r="R96" i="26"/>
  <c r="P96" i="26"/>
  <c r="M96" i="26"/>
  <c r="S96" i="26"/>
  <c r="K96" i="26"/>
  <c r="H96" i="26"/>
  <c r="E96" i="26"/>
  <c r="A96" i="26"/>
  <c r="R95" i="26"/>
  <c r="S95" i="26"/>
  <c r="P95" i="26"/>
  <c r="N95" i="26"/>
  <c r="M95" i="26"/>
  <c r="K95" i="26"/>
  <c r="G97" i="26"/>
  <c r="E95" i="26"/>
  <c r="A95" i="26"/>
  <c r="S94" i="26"/>
  <c r="R94" i="26"/>
  <c r="P94" i="26"/>
  <c r="K94" i="26"/>
  <c r="M94" i="26"/>
  <c r="H94" i="26"/>
  <c r="F97" i="26"/>
  <c r="D97" i="26"/>
  <c r="A94" i="26"/>
  <c r="A93" i="26"/>
  <c r="C89" i="26"/>
  <c r="B85" i="26"/>
  <c r="A85" i="26" s="1"/>
  <c r="B84" i="26"/>
  <c r="A84" i="26"/>
  <c r="B83" i="26"/>
  <c r="A83" i="26"/>
  <c r="S82" i="26"/>
  <c r="N82" i="26"/>
  <c r="B82" i="26"/>
  <c r="A82" i="26"/>
  <c r="S81" i="26"/>
  <c r="B81" i="26"/>
  <c r="A81" i="26"/>
  <c r="S80" i="26"/>
  <c r="B80" i="26"/>
  <c r="A80" i="26"/>
  <c r="L83" i="26"/>
  <c r="B79" i="26"/>
  <c r="A79" i="26"/>
  <c r="S78" i="26"/>
  <c r="N78" i="26"/>
  <c r="B78" i="26"/>
  <c r="A78" i="26"/>
  <c r="N77" i="26"/>
  <c r="B77" i="26"/>
  <c r="A77" i="26"/>
  <c r="S76" i="26"/>
  <c r="N76" i="26"/>
  <c r="B76" i="26"/>
  <c r="A76" i="26" s="1"/>
  <c r="I83" i="26"/>
  <c r="F83" i="26"/>
  <c r="B75" i="26"/>
  <c r="A75" i="26"/>
  <c r="B74" i="26"/>
  <c r="A74" i="26"/>
  <c r="B73" i="26"/>
  <c r="A73" i="26"/>
  <c r="B72" i="26"/>
  <c r="A72" i="26"/>
  <c r="S71" i="26"/>
  <c r="N71" i="26"/>
  <c r="B71" i="26"/>
  <c r="A71" i="26" s="1"/>
  <c r="B70" i="26"/>
  <c r="A70" i="26"/>
  <c r="S69" i="26"/>
  <c r="I72" i="26"/>
  <c r="B69" i="26"/>
  <c r="A69" i="26"/>
  <c r="S68" i="26"/>
  <c r="N68" i="26"/>
  <c r="B68" i="26"/>
  <c r="A68" i="26"/>
  <c r="S67" i="26"/>
  <c r="AL534" i="26"/>
  <c r="B67" i="26"/>
  <c r="A67" i="26" s="1"/>
  <c r="AL533" i="26"/>
  <c r="S66" i="26"/>
  <c r="B66" i="26"/>
  <c r="A66" i="26"/>
  <c r="AL532" i="26"/>
  <c r="S65" i="26"/>
  <c r="B65" i="26"/>
  <c r="A65" i="26"/>
  <c r="AL531" i="26"/>
  <c r="N64" i="26"/>
  <c r="B64" i="26"/>
  <c r="A64" i="26" s="1"/>
  <c r="AL530" i="26"/>
  <c r="S63" i="26"/>
  <c r="B63" i="26"/>
  <c r="A63" i="26"/>
  <c r="S62" i="26"/>
  <c r="AL529" i="26"/>
  <c r="N62" i="26"/>
  <c r="B62" i="26"/>
  <c r="A62" i="26"/>
  <c r="AL528" i="26"/>
  <c r="B61" i="26"/>
  <c r="A61" i="26" s="1"/>
  <c r="AL526" i="26"/>
  <c r="B60" i="26"/>
  <c r="A60" i="26"/>
  <c r="AL525" i="26"/>
  <c r="N59" i="26"/>
  <c r="S59" i="26"/>
  <c r="B59" i="26"/>
  <c r="A59" i="26"/>
  <c r="AL524" i="26"/>
  <c r="B58" i="26"/>
  <c r="A58" i="26"/>
  <c r="AL523" i="26"/>
  <c r="B57" i="26"/>
  <c r="A57" i="26"/>
  <c r="AL522" i="26"/>
  <c r="S56" i="26"/>
  <c r="B56" i="26"/>
  <c r="A56" i="26"/>
  <c r="AL521" i="26"/>
  <c r="F72" i="26"/>
  <c r="B55" i="26"/>
  <c r="A55" i="26" s="1"/>
  <c r="B54" i="26"/>
  <c r="A54" i="26" s="1"/>
  <c r="S53" i="26"/>
  <c r="B53" i="26"/>
  <c r="A53" i="26"/>
  <c r="S52" i="26"/>
  <c r="AL518" i="26"/>
  <c r="N52" i="26"/>
  <c r="B52" i="26"/>
  <c r="A52" i="26"/>
  <c r="S51" i="26"/>
  <c r="AL517" i="26"/>
  <c r="B51" i="26"/>
  <c r="A51" i="26" s="1"/>
  <c r="AL516" i="26"/>
  <c r="S50" i="26"/>
  <c r="B50" i="26"/>
  <c r="A50" i="26"/>
  <c r="AL515" i="26"/>
  <c r="S49" i="26"/>
  <c r="N49" i="26"/>
  <c r="B49" i="26"/>
  <c r="A49" i="26"/>
  <c r="S48" i="26"/>
  <c r="N48" i="26"/>
  <c r="B48" i="26"/>
  <c r="A48" i="26" s="1"/>
  <c r="S47" i="26"/>
  <c r="N47" i="26"/>
  <c r="B47" i="26"/>
  <c r="A47" i="26"/>
  <c r="N46" i="26"/>
  <c r="S46" i="26"/>
  <c r="B46" i="26"/>
  <c r="A46" i="26" s="1"/>
  <c r="AL511" i="26"/>
  <c r="AO511" i="26" s="1"/>
  <c r="N45" i="26"/>
  <c r="B45" i="26"/>
  <c r="A45" i="26"/>
  <c r="AL510" i="26"/>
  <c r="S44" i="26"/>
  <c r="B44" i="26"/>
  <c r="A44" i="26"/>
  <c r="AL509" i="26"/>
  <c r="S43" i="26"/>
  <c r="F54" i="26"/>
  <c r="B43" i="26"/>
  <c r="A43" i="26"/>
  <c r="AL508" i="26"/>
  <c r="N42" i="26"/>
  <c r="B42" i="26"/>
  <c r="A42" i="26" s="1"/>
  <c r="B41" i="26"/>
  <c r="A41" i="26" s="1"/>
  <c r="S40" i="26"/>
  <c r="P40" i="26"/>
  <c r="N40" i="26"/>
  <c r="B40" i="26"/>
  <c r="A40" i="26" s="1"/>
  <c r="S39" i="26"/>
  <c r="AL504" i="26"/>
  <c r="P39" i="26"/>
  <c r="N39" i="26"/>
  <c r="B39" i="26"/>
  <c r="A39" i="26" s="1"/>
  <c r="AL503" i="26"/>
  <c r="N38" i="26"/>
  <c r="B38" i="26"/>
  <c r="A38" i="26" s="1"/>
  <c r="AL502" i="26"/>
  <c r="N37" i="26"/>
  <c r="B37" i="26"/>
  <c r="A37" i="26" s="1"/>
  <c r="AL501" i="26"/>
  <c r="N36" i="26"/>
  <c r="B36" i="26"/>
  <c r="A36" i="26" s="1"/>
  <c r="AL500" i="26"/>
  <c r="N35" i="26"/>
  <c r="B35" i="26"/>
  <c r="A35" i="26" s="1"/>
  <c r="AL499" i="26"/>
  <c r="N34" i="26"/>
  <c r="B34" i="26"/>
  <c r="A34" i="26" s="1"/>
  <c r="AL498" i="26"/>
  <c r="N33" i="26"/>
  <c r="B33" i="26"/>
  <c r="A33" i="26" s="1"/>
  <c r="AL497" i="26"/>
  <c r="B32" i="26"/>
  <c r="A32" i="26" s="1"/>
  <c r="AL496" i="26"/>
  <c r="B31" i="26"/>
  <c r="A31" i="26" s="1"/>
  <c r="B30" i="26"/>
  <c r="A30" i="26"/>
  <c r="B29" i="26"/>
  <c r="A29" i="26" s="1"/>
  <c r="B28" i="26"/>
  <c r="A28" i="26" s="1"/>
  <c r="B27" i="26"/>
  <c r="A27" i="26" s="1"/>
  <c r="B26" i="26"/>
  <c r="A26" i="26" s="1"/>
  <c r="B25" i="26"/>
  <c r="A25" i="26" s="1"/>
  <c r="I24" i="26"/>
  <c r="B24" i="26"/>
  <c r="A24" i="26" s="1"/>
  <c r="N23" i="26"/>
  <c r="S23" i="26"/>
  <c r="H23" i="26"/>
  <c r="E23" i="26"/>
  <c r="B23" i="26"/>
  <c r="A23" i="26" s="1"/>
  <c r="S22" i="26"/>
  <c r="H22" i="26"/>
  <c r="N22" i="26"/>
  <c r="E22" i="26"/>
  <c r="B22" i="26"/>
  <c r="A22" i="26"/>
  <c r="Q24" i="26"/>
  <c r="L24" i="26"/>
  <c r="H21" i="26"/>
  <c r="F24" i="26"/>
  <c r="E21" i="26"/>
  <c r="B21" i="26"/>
  <c r="A21" i="26" s="1"/>
  <c r="B20" i="26"/>
  <c r="A20" i="26"/>
  <c r="R19" i="26"/>
  <c r="S19" i="26"/>
  <c r="N19" i="26"/>
  <c r="B19" i="26"/>
  <c r="A19" i="26"/>
  <c r="B18" i="26"/>
  <c r="A18" i="26"/>
  <c r="S17" i="26"/>
  <c r="P17" i="26"/>
  <c r="M17" i="26"/>
  <c r="N17" i="26"/>
  <c r="K17" i="26"/>
  <c r="H17" i="26"/>
  <c r="E17" i="26"/>
  <c r="B17" i="26"/>
  <c r="A17" i="26"/>
  <c r="B16" i="26"/>
  <c r="A16" i="26" s="1"/>
  <c r="R15" i="26"/>
  <c r="S15" i="26"/>
  <c r="H15" i="26"/>
  <c r="E15" i="26"/>
  <c r="B15" i="26"/>
  <c r="A15" i="26" s="1"/>
  <c r="B14" i="26"/>
  <c r="A14" i="26" s="1"/>
  <c r="B13" i="26"/>
  <c r="A13" i="26" s="1"/>
  <c r="R12" i="26"/>
  <c r="N12" i="26"/>
  <c r="S12" i="26"/>
  <c r="M12" i="26"/>
  <c r="H12" i="26"/>
  <c r="E12" i="26"/>
  <c r="B12" i="26"/>
  <c r="A12" i="26" s="1"/>
  <c r="R11" i="26"/>
  <c r="S11" i="26"/>
  <c r="M11" i="26"/>
  <c r="H11" i="26"/>
  <c r="E11" i="26"/>
  <c r="B11" i="26"/>
  <c r="A11" i="26" s="1"/>
  <c r="R10" i="26"/>
  <c r="N10" i="26"/>
  <c r="S10" i="26"/>
  <c r="M10" i="26"/>
  <c r="H10" i="26"/>
  <c r="E10" i="26"/>
  <c r="B10" i="26"/>
  <c r="A10" i="26" s="1"/>
  <c r="R9" i="26"/>
  <c r="S9" i="26"/>
  <c r="M9" i="26"/>
  <c r="H9" i="26"/>
  <c r="E9" i="26"/>
  <c r="B9" i="26"/>
  <c r="A9" i="26" s="1"/>
  <c r="R8" i="26"/>
  <c r="N8" i="26"/>
  <c r="S8" i="26"/>
  <c r="M8" i="26"/>
  <c r="H8" i="26"/>
  <c r="E8" i="26"/>
  <c r="B8" i="26"/>
  <c r="A8" i="26" s="1"/>
  <c r="R7" i="26"/>
  <c r="S7" i="26"/>
  <c r="M7" i="26"/>
  <c r="H7" i="26"/>
  <c r="G13" i="26"/>
  <c r="E7" i="26"/>
  <c r="B7" i="26"/>
  <c r="A7" i="26" s="1"/>
  <c r="Q13" i="26"/>
  <c r="R6" i="26"/>
  <c r="N6" i="26"/>
  <c r="S6" i="26"/>
  <c r="M6" i="26"/>
  <c r="I13" i="26"/>
  <c r="I27" i="26" s="1"/>
  <c r="H6" i="26"/>
  <c r="F13" i="26"/>
  <c r="D13" i="26"/>
  <c r="B6" i="26"/>
  <c r="A6" i="26" s="1"/>
  <c r="B5" i="26"/>
  <c r="A5" i="26" s="1"/>
  <c r="S367" i="26"/>
  <c r="G69" i="25"/>
  <c r="G68" i="25"/>
  <c r="E68" i="25"/>
  <c r="G67" i="25"/>
  <c r="D66" i="25"/>
  <c r="D70" i="25" s="1"/>
  <c r="G65" i="25"/>
  <c r="E65" i="25"/>
  <c r="G64" i="25"/>
  <c r="E64" i="25"/>
  <c r="G63" i="25"/>
  <c r="G62" i="25"/>
  <c r="G61" i="25"/>
  <c r="G60" i="25"/>
  <c r="F66" i="25"/>
  <c r="F70" i="25" s="1"/>
  <c r="G59" i="25"/>
  <c r="G58" i="25"/>
  <c r="E58" i="25"/>
  <c r="G57" i="25"/>
  <c r="G56" i="25"/>
  <c r="E122" i="26" l="1"/>
  <c r="E194" i="26"/>
  <c r="E116" i="26"/>
  <c r="E97" i="26"/>
  <c r="E193" i="26"/>
  <c r="D109" i="26"/>
  <c r="E109" i="26" s="1"/>
  <c r="E195" i="26"/>
  <c r="E119" i="26"/>
  <c r="E117" i="26"/>
  <c r="E114" i="26"/>
  <c r="Y502" i="26"/>
  <c r="Y505" i="26"/>
  <c r="AM505" i="26" s="1"/>
  <c r="Y501" i="26"/>
  <c r="Y497" i="26"/>
  <c r="Y496" i="26"/>
  <c r="Y504" i="26"/>
  <c r="Y500" i="26"/>
  <c r="E13" i="26"/>
  <c r="M14" i="26"/>
  <c r="D27" i="26"/>
  <c r="E27" i="26" s="1"/>
  <c r="H72" i="26"/>
  <c r="G27" i="26"/>
  <c r="H27" i="26" s="1"/>
  <c r="H13" i="26"/>
  <c r="E113" i="26"/>
  <c r="F27" i="26"/>
  <c r="N14" i="26"/>
  <c r="E34" i="26"/>
  <c r="E40" i="26"/>
  <c r="H118" i="26"/>
  <c r="H122" i="26"/>
  <c r="H113" i="26"/>
  <c r="H115" i="26"/>
  <c r="H121" i="26"/>
  <c r="H119" i="26"/>
  <c r="H97" i="26"/>
  <c r="H32" i="26"/>
  <c r="G24" i="26"/>
  <c r="E37" i="26"/>
  <c r="S24" i="26"/>
  <c r="J32" i="26"/>
  <c r="N24" i="26"/>
  <c r="N25" i="26" s="1"/>
  <c r="M13" i="26"/>
  <c r="S25" i="26"/>
  <c r="E35" i="26"/>
  <c r="S13" i="26"/>
  <c r="R13" i="26"/>
  <c r="S14" i="26"/>
  <c r="O31" i="26"/>
  <c r="Q27" i="26"/>
  <c r="AN498" i="26"/>
  <c r="AO498" i="26" s="1"/>
  <c r="AK498" i="26"/>
  <c r="F41" i="26"/>
  <c r="I54" i="26"/>
  <c r="H54" i="26" s="1"/>
  <c r="AN523" i="26"/>
  <c r="AO523" i="26" s="1"/>
  <c r="AO529" i="26"/>
  <c r="AN529" i="26"/>
  <c r="S77" i="26"/>
  <c r="Q97" i="26"/>
  <c r="Q136" i="26"/>
  <c r="P136" i="26" s="1"/>
  <c r="F154" i="26"/>
  <c r="E154" i="26" s="1"/>
  <c r="L284" i="26"/>
  <c r="F303" i="26"/>
  <c r="E303" i="26" s="1"/>
  <c r="S283" i="26"/>
  <c r="N283" i="26"/>
  <c r="S315" i="26"/>
  <c r="S316" i="26" s="1"/>
  <c r="N315" i="26"/>
  <c r="N316" i="26" s="1"/>
  <c r="L316" i="26"/>
  <c r="P6" i="26"/>
  <c r="P8" i="26"/>
  <c r="P10" i="26"/>
  <c r="P12" i="26"/>
  <c r="J13" i="26"/>
  <c r="J24" i="26" s="1"/>
  <c r="D24" i="26"/>
  <c r="E24" i="26" s="1"/>
  <c r="I41" i="26"/>
  <c r="N53" i="26"/>
  <c r="Q54" i="26"/>
  <c r="E94" i="26"/>
  <c r="P194" i="26"/>
  <c r="E191" i="26"/>
  <c r="E188" i="26"/>
  <c r="P117" i="26"/>
  <c r="P113" i="26"/>
  <c r="K97" i="26"/>
  <c r="K194" i="26"/>
  <c r="K192" i="26"/>
  <c r="K189" i="26"/>
  <c r="P186" i="26"/>
  <c r="P119" i="26"/>
  <c r="K116" i="26"/>
  <c r="P190" i="26"/>
  <c r="P187" i="26"/>
  <c r="E192" i="26"/>
  <c r="E189" i="26"/>
  <c r="P121" i="26"/>
  <c r="P193" i="26"/>
  <c r="P122" i="26"/>
  <c r="K119" i="26"/>
  <c r="J109" i="26"/>
  <c r="K190" i="26"/>
  <c r="K186" i="26"/>
  <c r="K120" i="26"/>
  <c r="P195" i="26"/>
  <c r="K193" i="26"/>
  <c r="P191" i="26"/>
  <c r="P188" i="26"/>
  <c r="K187" i="26"/>
  <c r="E190" i="26"/>
  <c r="K122" i="26"/>
  <c r="K195" i="26"/>
  <c r="E186" i="26"/>
  <c r="P192" i="26"/>
  <c r="P189" i="26"/>
  <c r="P116" i="26"/>
  <c r="E121" i="26"/>
  <c r="N137" i="26"/>
  <c r="L154" i="26"/>
  <c r="R182" i="26"/>
  <c r="R183" i="26" s="1"/>
  <c r="M182" i="26"/>
  <c r="K182" i="26"/>
  <c r="K188" i="26"/>
  <c r="F327" i="26"/>
  <c r="M326" i="26" s="1"/>
  <c r="E342" i="26"/>
  <c r="K464" i="26"/>
  <c r="S464" i="26"/>
  <c r="P123" i="26"/>
  <c r="Q156" i="26"/>
  <c r="P156" i="26" s="1"/>
  <c r="S45" i="26"/>
  <c r="E6" i="26"/>
  <c r="K7" i="26"/>
  <c r="K9" i="26"/>
  <c r="K11" i="26"/>
  <c r="K15" i="26"/>
  <c r="K40" i="26"/>
  <c r="S42" i="26"/>
  <c r="S54" i="26" s="1"/>
  <c r="N50" i="26"/>
  <c r="N56" i="26"/>
  <c r="N61" i="26"/>
  <c r="S64" i="26"/>
  <c r="N69" i="26"/>
  <c r="N79" i="26"/>
  <c r="F109" i="26"/>
  <c r="M97" i="26"/>
  <c r="M98" i="26" s="1"/>
  <c r="E115" i="26"/>
  <c r="E118" i="26"/>
  <c r="S141" i="26"/>
  <c r="N141" i="26"/>
  <c r="N196" i="26"/>
  <c r="F284" i="26"/>
  <c r="N273" i="26"/>
  <c r="O24" i="26"/>
  <c r="P24" i="26" s="1"/>
  <c r="N31" i="26"/>
  <c r="L13" i="26"/>
  <c r="L27" i="26" s="1"/>
  <c r="AO516" i="26"/>
  <c r="Q72" i="26"/>
  <c r="P72" i="26" s="1"/>
  <c r="N96" i="26"/>
  <c r="S116" i="26"/>
  <c r="N129" i="26"/>
  <c r="S135" i="26"/>
  <c r="N135" i="26"/>
  <c r="S137" i="26"/>
  <c r="P284" i="26"/>
  <c r="Q385" i="26"/>
  <c r="AL506" i="26"/>
  <c r="AN496" i="26"/>
  <c r="AO496" i="26" s="1"/>
  <c r="N32" i="26"/>
  <c r="L41" i="26"/>
  <c r="AO572" i="26"/>
  <c r="AO489" i="26"/>
  <c r="S432" i="26"/>
  <c r="S169" i="26"/>
  <c r="S89" i="26"/>
  <c r="S242" i="26"/>
  <c r="M15" i="26"/>
  <c r="N21" i="26"/>
  <c r="D31" i="26"/>
  <c r="S31" i="26"/>
  <c r="O32" i="26"/>
  <c r="N44" i="26"/>
  <c r="N54" i="26" s="1"/>
  <c r="N58" i="26"/>
  <c r="S61" i="26"/>
  <c r="N66" i="26"/>
  <c r="S79" i="26"/>
  <c r="N81" i="26"/>
  <c r="O97" i="26"/>
  <c r="K101" i="26"/>
  <c r="K118" i="26"/>
  <c r="K121" i="26"/>
  <c r="I123" i="26"/>
  <c r="S127" i="26"/>
  <c r="N127" i="26"/>
  <c r="S133" i="26"/>
  <c r="N133" i="26"/>
  <c r="S291" i="26"/>
  <c r="N291" i="26"/>
  <c r="O13" i="26"/>
  <c r="N7" i="26"/>
  <c r="N13" i="26" s="1"/>
  <c r="N9" i="26"/>
  <c r="N11" i="26"/>
  <c r="N15" i="26"/>
  <c r="R17" i="26"/>
  <c r="P35" i="26"/>
  <c r="AN524" i="26"/>
  <c r="AO524" i="26" s="1"/>
  <c r="AO533" i="26"/>
  <c r="AN533" i="26"/>
  <c r="I106" i="26"/>
  <c r="F123" i="26"/>
  <c r="D113" i="26"/>
  <c r="H114" i="26"/>
  <c r="K115" i="26"/>
  <c r="N118" i="26"/>
  <c r="S118" i="26"/>
  <c r="E120" i="26"/>
  <c r="N121" i="26"/>
  <c r="S129" i="26"/>
  <c r="AE500" i="26"/>
  <c r="AO501" i="26"/>
  <c r="AN501" i="26"/>
  <c r="AO504" i="26"/>
  <c r="AN504" i="26"/>
  <c r="Q41" i="26"/>
  <c r="AN518" i="26"/>
  <c r="AO518" i="26" s="1"/>
  <c r="N55" i="26"/>
  <c r="L72" i="26"/>
  <c r="K72" i="26" s="1"/>
  <c r="S58" i="26"/>
  <c r="N63" i="26"/>
  <c r="P118" i="26"/>
  <c r="F136" i="26"/>
  <c r="E136" i="26" s="1"/>
  <c r="I154" i="26"/>
  <c r="H154" i="26" s="1"/>
  <c r="O186" i="26"/>
  <c r="I303" i="26"/>
  <c r="H303" i="26" s="1"/>
  <c r="M318" i="26"/>
  <c r="K326" i="26"/>
  <c r="I342" i="26"/>
  <c r="AN502" i="26"/>
  <c r="AO502" i="26" s="1"/>
  <c r="AK502" i="26"/>
  <c r="AN515" i="26"/>
  <c r="AO515" i="26" s="1"/>
  <c r="AN530" i="26"/>
  <c r="AO530" i="26" s="1"/>
  <c r="N94" i="26"/>
  <c r="L97" i="26"/>
  <c r="H95" i="26"/>
  <c r="K114" i="26"/>
  <c r="P115" i="26"/>
  <c r="H117" i="26"/>
  <c r="H120" i="26"/>
  <c r="E187" i="26"/>
  <c r="S217" i="26"/>
  <c r="N217" i="26"/>
  <c r="L250" i="26"/>
  <c r="S252" i="26"/>
  <c r="N252" i="26"/>
  <c r="L253" i="26"/>
  <c r="N253" i="26" s="1"/>
  <c r="AN497" i="26"/>
  <c r="AO497" i="26" s="1"/>
  <c r="AK497" i="26"/>
  <c r="AN503" i="26"/>
  <c r="AO503" i="26" s="1"/>
  <c r="P7" i="26"/>
  <c r="P9" i="26"/>
  <c r="P11" i="26"/>
  <c r="P15" i="26"/>
  <c r="D32" i="26"/>
  <c r="S32" i="26"/>
  <c r="S33" i="26"/>
  <c r="S34" i="26"/>
  <c r="S35" i="26"/>
  <c r="S36" i="26"/>
  <c r="S37" i="26"/>
  <c r="S38" i="26"/>
  <c r="S60" i="26"/>
  <c r="K6" i="26"/>
  <c r="K8" i="26"/>
  <c r="K10" i="26"/>
  <c r="K12" i="26"/>
  <c r="S21" i="26"/>
  <c r="N43" i="26"/>
  <c r="S55" i="26"/>
  <c r="N60" i="26"/>
  <c r="N65" i="26"/>
  <c r="N70" i="26"/>
  <c r="N75" i="26"/>
  <c r="P101" i="26"/>
  <c r="S103" i="26"/>
  <c r="K106" i="26"/>
  <c r="K117" i="26"/>
  <c r="L136" i="26"/>
  <c r="Q154" i="26"/>
  <c r="P154" i="26" s="1"/>
  <c r="S164" i="26"/>
  <c r="E196" i="26"/>
  <c r="F229" i="26"/>
  <c r="E229" i="26" s="1"/>
  <c r="Q342" i="26"/>
  <c r="Q363" i="26" s="1"/>
  <c r="P363" i="26" s="1"/>
  <c r="AK500" i="26"/>
  <c r="AO500" i="26"/>
  <c r="AN500" i="26"/>
  <c r="J31" i="26"/>
  <c r="AN532" i="26"/>
  <c r="AO532" i="26" s="1"/>
  <c r="Q83" i="26"/>
  <c r="R104" i="26"/>
  <c r="K113" i="26"/>
  <c r="O114" i="26"/>
  <c r="P120" i="26"/>
  <c r="I136" i="26"/>
  <c r="H136" i="26" s="1"/>
  <c r="S199" i="26"/>
  <c r="N199" i="26"/>
  <c r="Q303" i="26"/>
  <c r="P303" i="26" s="1"/>
  <c r="AA506" i="26"/>
  <c r="AO509" i="26"/>
  <c r="N51" i="26"/>
  <c r="S57" i="26"/>
  <c r="L54" i="26"/>
  <c r="K54" i="26" s="1"/>
  <c r="N57" i="26"/>
  <c r="N67" i="26"/>
  <c r="S70" i="26"/>
  <c r="S75" i="26"/>
  <c r="S83" i="26" s="1"/>
  <c r="N80" i="26"/>
  <c r="N113" i="26"/>
  <c r="J113" i="26"/>
  <c r="L123" i="26"/>
  <c r="P114" i="26"/>
  <c r="S180" i="26"/>
  <c r="I284" i="26"/>
  <c r="Q365" i="26"/>
  <c r="M179" i="26"/>
  <c r="D187" i="26"/>
  <c r="Q196" i="26"/>
  <c r="F209" i="26"/>
  <c r="M246" i="26"/>
  <c r="L361" i="26"/>
  <c r="N358" i="26"/>
  <c r="AN510" i="26"/>
  <c r="AO510" i="26" s="1"/>
  <c r="AN534" i="26"/>
  <c r="AO534" i="26" s="1"/>
  <c r="AH534" i="26"/>
  <c r="AN558" i="26"/>
  <c r="AO558" i="26" s="1"/>
  <c r="AH558" i="26"/>
  <c r="AI558" i="26" s="1"/>
  <c r="L209" i="26"/>
  <c r="L229" i="26" s="1"/>
  <c r="F259" i="26"/>
  <c r="L303" i="26"/>
  <c r="L322" i="26"/>
  <c r="P361" i="26"/>
  <c r="S356" i="26"/>
  <c r="N356" i="26"/>
  <c r="R373" i="26"/>
  <c r="P373" i="26"/>
  <c r="S403" i="26"/>
  <c r="N403" i="26"/>
  <c r="P464" i="26"/>
  <c r="Q484" i="26"/>
  <c r="P484" i="26" s="1"/>
  <c r="S482" i="26"/>
  <c r="AN506" i="26"/>
  <c r="AN516" i="26"/>
  <c r="AH516" i="26"/>
  <c r="AN521" i="26"/>
  <c r="AN542" i="26"/>
  <c r="AN553" i="26" s="1"/>
  <c r="L106" i="26"/>
  <c r="N153" i="26"/>
  <c r="N163" i="26"/>
  <c r="L182" i="26"/>
  <c r="N188" i="26"/>
  <c r="N191" i="26"/>
  <c r="N204" i="26"/>
  <c r="S212" i="26"/>
  <c r="N222" i="26"/>
  <c r="K248" i="26"/>
  <c r="N278" i="26"/>
  <c r="N286" i="26"/>
  <c r="N298" i="26"/>
  <c r="Q319" i="26"/>
  <c r="N322" i="26"/>
  <c r="L326" i="26"/>
  <c r="N333" i="26"/>
  <c r="S343" i="26"/>
  <c r="N345" i="26"/>
  <c r="N361" i="26" s="1"/>
  <c r="N347" i="26"/>
  <c r="R378" i="26"/>
  <c r="P378" i="26"/>
  <c r="L406" i="26"/>
  <c r="F464" i="26"/>
  <c r="P248" i="26"/>
  <c r="N249" i="26"/>
  <c r="N255" i="26"/>
  <c r="I259" i="26"/>
  <c r="N318" i="26"/>
  <c r="N319" i="26" s="1"/>
  <c r="Q322" i="26"/>
  <c r="L449" i="26"/>
  <c r="AN511" i="26"/>
  <c r="AN564" i="26"/>
  <c r="AH564" i="26"/>
  <c r="AI564" i="26" s="1"/>
  <c r="AL527" i="26"/>
  <c r="AL539" i="26" s="1"/>
  <c r="AL536" i="26"/>
  <c r="N143" i="26"/>
  <c r="M175" i="26"/>
  <c r="N202" i="26"/>
  <c r="N220" i="26"/>
  <c r="K259" i="26"/>
  <c r="N262" i="26"/>
  <c r="N280" i="26"/>
  <c r="N288" i="26"/>
  <c r="N300" i="26"/>
  <c r="N335" i="26"/>
  <c r="L342" i="26"/>
  <c r="S347" i="26"/>
  <c r="N349" i="26"/>
  <c r="R384" i="26"/>
  <c r="P384" i="26"/>
  <c r="S411" i="26"/>
  <c r="N411" i="26"/>
  <c r="N425" i="26" s="1"/>
  <c r="AC520" i="26"/>
  <c r="AA520" i="26" s="1"/>
  <c r="AN509" i="26"/>
  <c r="AI552" i="26"/>
  <c r="AH552" i="26"/>
  <c r="N175" i="26"/>
  <c r="S188" i="26"/>
  <c r="S246" i="26"/>
  <c r="S337" i="26"/>
  <c r="H371" i="26"/>
  <c r="G380" i="26"/>
  <c r="Q406" i="26"/>
  <c r="I425" i="26"/>
  <c r="H425" i="26" s="1"/>
  <c r="Y499" i="26"/>
  <c r="Y503" i="26"/>
  <c r="AG505" i="26"/>
  <c r="AF520" i="26"/>
  <c r="AN517" i="26"/>
  <c r="AO517" i="26" s="1"/>
  <c r="AN522" i="26"/>
  <c r="AO522" i="26" s="1"/>
  <c r="I380" i="26"/>
  <c r="I385" i="26" s="1"/>
  <c r="I390" i="26" s="1"/>
  <c r="Q444" i="26"/>
  <c r="Q448" i="26"/>
  <c r="S448" i="26" s="1"/>
  <c r="AL520" i="26"/>
  <c r="AN507" i="26"/>
  <c r="AO507" i="26" s="1"/>
  <c r="AN528" i="26"/>
  <c r="AO528" i="26" s="1"/>
  <c r="AH528" i="26"/>
  <c r="AO535" i="26"/>
  <c r="Z553" i="26"/>
  <c r="L164" i="26"/>
  <c r="M177" i="26"/>
  <c r="Q182" i="26"/>
  <c r="P182" i="26" s="1"/>
  <c r="L227" i="26"/>
  <c r="S355" i="26"/>
  <c r="J380" i="26"/>
  <c r="Q425" i="26"/>
  <c r="P425" i="26" s="1"/>
  <c r="AN499" i="26"/>
  <c r="AO499" i="26" s="1"/>
  <c r="AC553" i="26"/>
  <c r="AA553" i="26" s="1"/>
  <c r="AB540" i="26"/>
  <c r="N147" i="26"/>
  <c r="N157" i="26"/>
  <c r="N164" i="26" s="1"/>
  <c r="N198" i="26"/>
  <c r="N216" i="26"/>
  <c r="N258" i="26"/>
  <c r="N272" i="26"/>
  <c r="N292" i="26"/>
  <c r="S339" i="26"/>
  <c r="N341" i="26"/>
  <c r="N346" i="26"/>
  <c r="N355" i="26"/>
  <c r="L380" i="26"/>
  <c r="N371" i="26"/>
  <c r="M374" i="26"/>
  <c r="K374" i="26"/>
  <c r="M375" i="26"/>
  <c r="AN526" i="26"/>
  <c r="AO526" i="26" s="1"/>
  <c r="AN531" i="26"/>
  <c r="AO531" i="26" s="1"/>
  <c r="AO540" i="26"/>
  <c r="Q259" i="26"/>
  <c r="F361" i="26"/>
  <c r="E361" i="26" s="1"/>
  <c r="AN548" i="26"/>
  <c r="AO548" i="26" s="1"/>
  <c r="AF568" i="26"/>
  <c r="S272" i="26"/>
  <c r="O380" i="26"/>
  <c r="R374" i="26"/>
  <c r="S375" i="26"/>
  <c r="S376" i="26"/>
  <c r="N376" i="26"/>
  <c r="S423" i="26"/>
  <c r="N423" i="26"/>
  <c r="Y498" i="26"/>
  <c r="Z539" i="26"/>
  <c r="AI521" i="26"/>
  <c r="AL553" i="26"/>
  <c r="AH545" i="26"/>
  <c r="AH578" i="26"/>
  <c r="AO581" i="26"/>
  <c r="AN581" i="26"/>
  <c r="S357" i="26"/>
  <c r="K371" i="26"/>
  <c r="R372" i="26"/>
  <c r="M373" i="26"/>
  <c r="D380" i="26"/>
  <c r="S399" i="26"/>
  <c r="S407" i="26"/>
  <c r="S419" i="26"/>
  <c r="N437" i="26"/>
  <c r="N438" i="26" s="1"/>
  <c r="L441" i="26"/>
  <c r="S452" i="26"/>
  <c r="AI507" i="26"/>
  <c r="AN508" i="26"/>
  <c r="AO508" i="26" s="1"/>
  <c r="AN525" i="26"/>
  <c r="AO525" i="26" s="1"/>
  <c r="AN543" i="26"/>
  <c r="AN582" i="26"/>
  <c r="R375" i="26"/>
  <c r="N398" i="26"/>
  <c r="N418" i="26"/>
  <c r="S443" i="26"/>
  <c r="L482" i="26"/>
  <c r="K482" i="26" s="1"/>
  <c r="AB496" i="26"/>
  <c r="AI498" i="26"/>
  <c r="AN505" i="26"/>
  <c r="AH511" i="26"/>
  <c r="AH522" i="26"/>
  <c r="AN535" i="26"/>
  <c r="AF539" i="26"/>
  <c r="AH540" i="26"/>
  <c r="AH553" i="26" s="1"/>
  <c r="AH546" i="26"/>
  <c r="AB556" i="26"/>
  <c r="AN559" i="26"/>
  <c r="AN565" i="26"/>
  <c r="AH579" i="26"/>
  <c r="K383" i="26"/>
  <c r="N405" i="26"/>
  <c r="N413" i="26"/>
  <c r="M440" i="26"/>
  <c r="N441" i="26" s="1"/>
  <c r="AH533" i="26"/>
  <c r="P371" i="26"/>
  <c r="N379" i="26"/>
  <c r="L425" i="26"/>
  <c r="K425" i="26" s="1"/>
  <c r="L444" i="26"/>
  <c r="AH499" i="26"/>
  <c r="AH503" i="26"/>
  <c r="AH510" i="26"/>
  <c r="AH521" i="26"/>
  <c r="F438" i="26"/>
  <c r="AI499" i="26"/>
  <c r="AI503" i="26"/>
  <c r="AH556" i="26"/>
  <c r="AI556" i="26" s="1"/>
  <c r="AH562" i="26"/>
  <c r="AI562" i="26" s="1"/>
  <c r="AH584" i="26"/>
  <c r="Z506" i="26"/>
  <c r="AH526" i="26"/>
  <c r="AH496" i="26"/>
  <c r="AH500" i="26"/>
  <c r="AH504" i="26"/>
  <c r="P383" i="26"/>
  <c r="K384" i="26"/>
  <c r="N404" i="26"/>
  <c r="F406" i="26"/>
  <c r="N412" i="26"/>
  <c r="N424" i="26"/>
  <c r="E448" i="26"/>
  <c r="F449" i="26" s="1"/>
  <c r="AN556" i="26"/>
  <c r="AO556" i="26" s="1"/>
  <c r="AH513" i="26"/>
  <c r="AH518" i="26"/>
  <c r="AH530" i="26"/>
  <c r="E69" i="25"/>
  <c r="E59" i="25"/>
  <c r="E57" i="25"/>
  <c r="E60" i="25"/>
  <c r="E67" i="25"/>
  <c r="E56" i="25"/>
  <c r="C66" i="25"/>
  <c r="M24" i="26" l="1"/>
  <c r="K24" i="26"/>
  <c r="K32" i="26"/>
  <c r="K37" i="26"/>
  <c r="K38" i="26"/>
  <c r="K35" i="26"/>
  <c r="K39" i="26"/>
  <c r="K31" i="26"/>
  <c r="K34" i="26"/>
  <c r="K33" i="26"/>
  <c r="K36" i="26"/>
  <c r="S229" i="26"/>
  <c r="N229" i="26"/>
  <c r="K229" i="26"/>
  <c r="K284" i="26"/>
  <c r="S284" i="26"/>
  <c r="L305" i="26"/>
  <c r="N284" i="26"/>
  <c r="Z555" i="26"/>
  <c r="I429" i="26"/>
  <c r="F268" i="26"/>
  <c r="F260" i="26"/>
  <c r="F239" i="26"/>
  <c r="E38" i="26"/>
  <c r="E39" i="26"/>
  <c r="I156" i="26"/>
  <c r="H123" i="26"/>
  <c r="F305" i="26"/>
  <c r="E305" i="26" s="1"/>
  <c r="E284" i="26"/>
  <c r="AE504" i="26"/>
  <c r="K154" i="26"/>
  <c r="S154" i="26"/>
  <c r="N154" i="26"/>
  <c r="AO536" i="26"/>
  <c r="AN536" i="26"/>
  <c r="S136" i="26"/>
  <c r="N136" i="26"/>
  <c r="K136" i="26"/>
  <c r="F484" i="26"/>
  <c r="E464" i="26"/>
  <c r="S406" i="26"/>
  <c r="L427" i="26"/>
  <c r="N406" i="26"/>
  <c r="K406" i="26"/>
  <c r="AO542" i="26"/>
  <c r="I363" i="26"/>
  <c r="H342" i="26"/>
  <c r="P31" i="26"/>
  <c r="E32" i="26"/>
  <c r="S209" i="26"/>
  <c r="N209" i="26"/>
  <c r="K209" i="26"/>
  <c r="F74" i="26"/>
  <c r="E74" i="26" s="1"/>
  <c r="E41" i="26"/>
  <c r="J114" i="26"/>
  <c r="S106" i="26"/>
  <c r="S107" i="26" s="1"/>
  <c r="N106" i="26"/>
  <c r="N107" i="26" s="1"/>
  <c r="I305" i="26"/>
  <c r="H305" i="26" s="1"/>
  <c r="H284" i="26"/>
  <c r="N72" i="26"/>
  <c r="F427" i="26"/>
  <c r="E406" i="26"/>
  <c r="Q260" i="26"/>
  <c r="Q268" i="26"/>
  <c r="P38" i="26"/>
  <c r="E227" i="26"/>
  <c r="Q109" i="26"/>
  <c r="AN520" i="26"/>
  <c r="AH520" i="26"/>
  <c r="AI520" i="26" s="1"/>
  <c r="S123" i="26"/>
  <c r="L156" i="26"/>
  <c r="N123" i="26"/>
  <c r="K123" i="26"/>
  <c r="N83" i="26"/>
  <c r="L109" i="26"/>
  <c r="S97" i="26"/>
  <c r="S98" i="26" s="1"/>
  <c r="N97" i="26"/>
  <c r="N98" i="26" s="1"/>
  <c r="P41" i="26"/>
  <c r="Q74" i="26"/>
  <c r="P74" i="26" s="1"/>
  <c r="P37" i="26"/>
  <c r="AK519" i="26"/>
  <c r="AK584" i="26"/>
  <c r="AK505" i="26"/>
  <c r="P23" i="26"/>
  <c r="P13" i="26"/>
  <c r="P21" i="26"/>
  <c r="P22" i="26"/>
  <c r="O27" i="26"/>
  <c r="P27" i="26" s="1"/>
  <c r="AL555" i="26"/>
  <c r="AO506" i="26"/>
  <c r="L484" i="26"/>
  <c r="AH539" i="26"/>
  <c r="AI539" i="26" s="1"/>
  <c r="M380" i="26"/>
  <c r="K380" i="26"/>
  <c r="J385" i="26"/>
  <c r="AO520" i="26"/>
  <c r="P482" i="26"/>
  <c r="AO521" i="26"/>
  <c r="S259" i="26"/>
  <c r="P36" i="26"/>
  <c r="O109" i="26"/>
  <c r="P97" i="26"/>
  <c r="AK496" i="26"/>
  <c r="Q85" i="26"/>
  <c r="AI553" i="26"/>
  <c r="AE502" i="26"/>
  <c r="AE498" i="26"/>
  <c r="AE501" i="26"/>
  <c r="AE497" i="26"/>
  <c r="AE496" i="26"/>
  <c r="AE503" i="26"/>
  <c r="AE499" i="26"/>
  <c r="K23" i="26"/>
  <c r="R23" i="26" s="1"/>
  <c r="K22" i="26"/>
  <c r="R22" i="26" s="1"/>
  <c r="K21" i="26"/>
  <c r="R21" i="26" s="1"/>
  <c r="K13" i="26"/>
  <c r="J27" i="26"/>
  <c r="AO527" i="26"/>
  <c r="AN527" i="26"/>
  <c r="AN539" i="26" s="1"/>
  <c r="AO539" i="26" s="1"/>
  <c r="M259" i="26"/>
  <c r="K268" i="26"/>
  <c r="S361" i="26"/>
  <c r="K361" i="26"/>
  <c r="O385" i="26"/>
  <c r="P380" i="26"/>
  <c r="R380" i="26"/>
  <c r="Q427" i="26"/>
  <c r="P427" i="26" s="1"/>
  <c r="P406" i="26"/>
  <c r="AK499" i="26"/>
  <c r="AK503" i="26"/>
  <c r="N259" i="26"/>
  <c r="N260" i="26" s="1"/>
  <c r="AK504" i="26"/>
  <c r="P34" i="26"/>
  <c r="Q390" i="26"/>
  <c r="N27" i="26"/>
  <c r="S27" i="26"/>
  <c r="L85" i="26"/>
  <c r="R97" i="26"/>
  <c r="R98" i="26" s="1"/>
  <c r="P54" i="26"/>
  <c r="H31" i="26"/>
  <c r="H24" i="26"/>
  <c r="H40" i="26"/>
  <c r="H36" i="26"/>
  <c r="H33" i="26"/>
  <c r="H38" i="26"/>
  <c r="H34" i="26"/>
  <c r="H39" i="26"/>
  <c r="H37" i="26"/>
  <c r="H35" i="26"/>
  <c r="D385" i="26"/>
  <c r="E380" i="26"/>
  <c r="N342" i="26"/>
  <c r="S342" i="26"/>
  <c r="L363" i="26"/>
  <c r="L260" i="26"/>
  <c r="F363" i="26"/>
  <c r="O187" i="26"/>
  <c r="S183" i="26"/>
  <c r="I427" i="26"/>
  <c r="H427" i="26" s="1"/>
  <c r="G385" i="26"/>
  <c r="H380" i="26"/>
  <c r="AF555" i="26"/>
  <c r="E209" i="26"/>
  <c r="S72" i="26"/>
  <c r="AK501" i="26"/>
  <c r="F156" i="26"/>
  <c r="E156" i="26" s="1"/>
  <c r="E123" i="26"/>
  <c r="P33" i="26"/>
  <c r="M109" i="26"/>
  <c r="M110" i="26" s="1"/>
  <c r="R109" i="26"/>
  <c r="K109" i="26"/>
  <c r="R14" i="26"/>
  <c r="E54" i="26"/>
  <c r="E72" i="26"/>
  <c r="N380" i="26"/>
  <c r="N381" i="26" s="1"/>
  <c r="L385" i="26"/>
  <c r="S380" i="26"/>
  <c r="S381" i="26" s="1"/>
  <c r="AG500" i="26"/>
  <c r="AM500" i="26"/>
  <c r="S41" i="26"/>
  <c r="L74" i="26"/>
  <c r="N41" i="26"/>
  <c r="K41" i="26"/>
  <c r="S449" i="26"/>
  <c r="Q449" i="26"/>
  <c r="Q486" i="26"/>
  <c r="AH506" i="26"/>
  <c r="AI506" i="26" s="1"/>
  <c r="N227" i="26"/>
  <c r="K227" i="26"/>
  <c r="S227" i="26"/>
  <c r="S425" i="26"/>
  <c r="AO553" i="26"/>
  <c r="AN568" i="26"/>
  <c r="AO568" i="26" s="1"/>
  <c r="AH568" i="26"/>
  <c r="AI568" i="26" s="1"/>
  <c r="I268" i="26"/>
  <c r="I260" i="26"/>
  <c r="L365" i="26"/>
  <c r="S326" i="26"/>
  <c r="S327" i="26" s="1"/>
  <c r="N326" i="26"/>
  <c r="N327" i="26" s="1"/>
  <c r="S182" i="26"/>
  <c r="L239" i="26"/>
  <c r="N182" i="26"/>
  <c r="J186" i="26"/>
  <c r="J187" i="26"/>
  <c r="S303" i="26"/>
  <c r="N303" i="26"/>
  <c r="K303" i="26"/>
  <c r="P196" i="26"/>
  <c r="Q229" i="26"/>
  <c r="P229" i="26" s="1"/>
  <c r="S196" i="26"/>
  <c r="AC555" i="26"/>
  <c r="P32" i="26"/>
  <c r="I74" i="26"/>
  <c r="H41" i="26"/>
  <c r="Q305" i="26"/>
  <c r="P305" i="26" s="1"/>
  <c r="E31" i="26"/>
  <c r="E36" i="26"/>
  <c r="E33" i="26"/>
  <c r="C70" i="25"/>
  <c r="G66" i="25"/>
  <c r="G70" i="25" s="1"/>
  <c r="E66" i="25"/>
  <c r="E70" i="25" s="1"/>
  <c r="S365" i="26" l="1"/>
  <c r="AN555" i="26"/>
  <c r="AH555" i="26"/>
  <c r="AI555" i="26" s="1"/>
  <c r="M27" i="26"/>
  <c r="M28" i="26" s="1"/>
  <c r="K27" i="26"/>
  <c r="R27" i="26"/>
  <c r="R28" i="26" s="1"/>
  <c r="S427" i="26"/>
  <c r="N427" i="26"/>
  <c r="K427" i="26"/>
  <c r="AG504" i="26"/>
  <c r="AM504" i="26"/>
  <c r="AC570" i="26"/>
  <c r="AA555" i="26"/>
  <c r="AM498" i="26"/>
  <c r="AG498" i="26"/>
  <c r="D390" i="26"/>
  <c r="E385" i="26"/>
  <c r="J390" i="26"/>
  <c r="M385" i="26"/>
  <c r="K385" i="26"/>
  <c r="K156" i="26"/>
  <c r="S156" i="26"/>
  <c r="N156" i="26"/>
  <c r="Q307" i="26"/>
  <c r="Q269" i="26"/>
  <c r="S268" i="26"/>
  <c r="S269" i="26" s="1"/>
  <c r="I269" i="26"/>
  <c r="I307" i="26"/>
  <c r="H385" i="26"/>
  <c r="G390" i="26"/>
  <c r="H390" i="26" s="1"/>
  <c r="S85" i="26"/>
  <c r="S28" i="26"/>
  <c r="E484" i="26"/>
  <c r="F486" i="26"/>
  <c r="K305" i="26"/>
  <c r="S305" i="26"/>
  <c r="N305" i="26"/>
  <c r="L307" i="26"/>
  <c r="N28" i="26"/>
  <c r="N85" i="26"/>
  <c r="AL494" i="26"/>
  <c r="E427" i="26"/>
  <c r="F429" i="26"/>
  <c r="H156" i="26"/>
  <c r="I166" i="26"/>
  <c r="S74" i="26"/>
  <c r="N74" i="26"/>
  <c r="K74" i="26"/>
  <c r="O390" i="26"/>
  <c r="R385" i="26"/>
  <c r="P385" i="26"/>
  <c r="AM499" i="26"/>
  <c r="AG499" i="26"/>
  <c r="K484" i="26"/>
  <c r="S484" i="26"/>
  <c r="L486" i="26"/>
  <c r="S486" i="26" s="1"/>
  <c r="Q239" i="26"/>
  <c r="AM503" i="26"/>
  <c r="AG503" i="26"/>
  <c r="F85" i="26"/>
  <c r="S385" i="26"/>
  <c r="S386" i="26" s="1"/>
  <c r="L390" i="26"/>
  <c r="N385" i="26"/>
  <c r="N386" i="26" s="1"/>
  <c r="F269" i="26"/>
  <c r="F307" i="26"/>
  <c r="N268" i="26"/>
  <c r="N269" i="26" s="1"/>
  <c r="E363" i="26"/>
  <c r="F365" i="26"/>
  <c r="N365" i="26" s="1"/>
  <c r="Q429" i="26"/>
  <c r="AG496" i="26"/>
  <c r="AM496" i="26"/>
  <c r="P109" i="26"/>
  <c r="R110" i="26"/>
  <c r="AO555" i="26"/>
  <c r="Z494" i="26"/>
  <c r="AM502" i="26"/>
  <c r="AG502" i="26"/>
  <c r="H74" i="26"/>
  <c r="I85" i="26"/>
  <c r="S239" i="26"/>
  <c r="N239" i="26"/>
  <c r="L269" i="26"/>
  <c r="AG497" i="26"/>
  <c r="AM497" i="26"/>
  <c r="Q166" i="26"/>
  <c r="S110" i="26"/>
  <c r="P227" i="26"/>
  <c r="P209" i="26"/>
  <c r="H363" i="26"/>
  <c r="I365" i="26"/>
  <c r="F166" i="26"/>
  <c r="S363" i="26"/>
  <c r="K363" i="26"/>
  <c r="N363" i="26"/>
  <c r="AG501" i="26"/>
  <c r="AM501" i="26"/>
  <c r="S109" i="26"/>
  <c r="L166" i="26"/>
  <c r="N109" i="26"/>
  <c r="N110" i="26" s="1"/>
  <c r="K196" i="26"/>
  <c r="AJ494" i="26" l="1"/>
  <c r="AL570" i="26"/>
  <c r="S166" i="26"/>
  <c r="N166" i="26"/>
  <c r="Z570" i="26"/>
  <c r="X494" i="26"/>
  <c r="X568" i="26"/>
  <c r="X520" i="26"/>
  <c r="X539" i="26"/>
  <c r="X506" i="26"/>
  <c r="X553" i="26"/>
  <c r="E390" i="26"/>
  <c r="Z493" i="26"/>
  <c r="M390" i="26"/>
  <c r="K390" i="26"/>
  <c r="L429" i="26"/>
  <c r="N390" i="26"/>
  <c r="N391" i="26" s="1"/>
  <c r="S390" i="26"/>
  <c r="S391" i="26" s="1"/>
  <c r="AF494" i="26"/>
  <c r="S307" i="26"/>
  <c r="N307" i="26"/>
  <c r="P390" i="26"/>
  <c r="R390" i="26"/>
  <c r="AL493" i="26"/>
  <c r="R268" i="26"/>
  <c r="M268" i="26"/>
  <c r="AB570" i="26"/>
  <c r="AC576" i="26"/>
  <c r="AB576" i="26" s="1"/>
  <c r="AF493" i="26"/>
  <c r="X555" i="26"/>
  <c r="AF570" i="26" l="1"/>
  <c r="AN494" i="26"/>
  <c r="AO494" i="26" s="1"/>
  <c r="AH494" i="26"/>
  <c r="AI494" i="26" s="1"/>
  <c r="AD494" i="26"/>
  <c r="AD506" i="26"/>
  <c r="AD553" i="26"/>
  <c r="AD520" i="26"/>
  <c r="AD568" i="26"/>
  <c r="AD539" i="26"/>
  <c r="AD555" i="26"/>
  <c r="Y570" i="26"/>
  <c r="Z576" i="26"/>
  <c r="S429" i="26"/>
  <c r="N429" i="26"/>
  <c r="AL576" i="26"/>
  <c r="Y576" i="26" l="1"/>
  <c r="Z585" i="26"/>
  <c r="Y585" i="26" s="1"/>
  <c r="Z575" i="26"/>
  <c r="Y575" i="26" s="1"/>
  <c r="AL585" i="26"/>
  <c r="AL575" i="26"/>
  <c r="AH570" i="26"/>
  <c r="AI570" i="26" s="1"/>
  <c r="AE570" i="26"/>
  <c r="AF576" i="26"/>
  <c r="AN570" i="26"/>
  <c r="AO570" i="26" s="1"/>
  <c r="AN576" i="26" l="1"/>
  <c r="AO576" i="26" s="1"/>
  <c r="AH576" i="26"/>
  <c r="AI576" i="26" s="1"/>
  <c r="AF585" i="26"/>
  <c r="AE576" i="26"/>
  <c r="AF575" i="26"/>
  <c r="AK575" i="26"/>
  <c r="AN585" i="26" l="1"/>
  <c r="AO585" i="26" s="1"/>
  <c r="AH585" i="26"/>
  <c r="AI585" i="26" s="1"/>
  <c r="AE585" i="26"/>
  <c r="AN575" i="26"/>
  <c r="AO575" i="26" s="1"/>
  <c r="AH575" i="26"/>
  <c r="AI575" i="26" s="1"/>
  <c r="AE575" i="26"/>
  <c r="T119" i="9" l="1"/>
  <c r="U34" i="22"/>
  <c r="T34" i="22" s="1"/>
  <c r="S34" i="22"/>
  <c r="R34" i="22"/>
  <c r="V34" i="22" s="1"/>
  <c r="U34" i="23"/>
  <c r="T34" i="23" s="1"/>
  <c r="S34" i="23"/>
  <c r="R34" i="23"/>
  <c r="V34" i="23" s="1"/>
  <c r="U24" i="23"/>
  <c r="T24" i="23" s="1"/>
  <c r="S24" i="23"/>
  <c r="R24" i="23"/>
  <c r="V24" i="23" s="1"/>
  <c r="U13" i="23"/>
  <c r="T13" i="23" s="1"/>
  <c r="S13" i="23"/>
  <c r="R13" i="23"/>
  <c r="V13" i="23" s="1"/>
  <c r="V25" i="23"/>
  <c r="G25" i="23"/>
  <c r="E25" i="23"/>
  <c r="V14" i="23"/>
  <c r="G14" i="23"/>
  <c r="E14" i="23"/>
  <c r="AE596" i="9"/>
  <c r="F14" i="23" l="1"/>
  <c r="F25" i="23"/>
  <c r="G51" i="25"/>
  <c r="G50" i="25"/>
  <c r="E50" i="25"/>
  <c r="G49" i="25"/>
  <c r="F48" i="25"/>
  <c r="F52" i="25" s="1"/>
  <c r="D48" i="25"/>
  <c r="D52" i="25" s="1"/>
  <c r="G47" i="25"/>
  <c r="G46" i="25"/>
  <c r="G45" i="25"/>
  <c r="E45" i="25"/>
  <c r="C48" i="25"/>
  <c r="G43" i="25"/>
  <c r="E43" i="25"/>
  <c r="G42" i="25"/>
  <c r="D34" i="25"/>
  <c r="D38" i="25" s="1"/>
  <c r="D16" i="25"/>
  <c r="D20" i="25" s="1"/>
  <c r="G48" i="25" l="1"/>
  <c r="G52" i="25" s="1"/>
  <c r="E48" i="25"/>
  <c r="C52" i="25"/>
  <c r="E46" i="25"/>
  <c r="E51" i="25"/>
  <c r="E44" i="25"/>
  <c r="E49" i="25"/>
  <c r="E42" i="25"/>
  <c r="G44" i="25"/>
  <c r="E47" i="25"/>
  <c r="E52" i="25" l="1"/>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5"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6" i="23" l="1"/>
  <c r="G36" i="23"/>
  <c r="E36" i="23"/>
  <c r="E36" i="22"/>
  <c r="G14" i="22"/>
  <c r="G36" i="22"/>
  <c r="V36" i="22"/>
  <c r="E25" i="22"/>
  <c r="G25" i="22"/>
  <c r="E14"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J796" i="21"/>
  <c r="AP796" i="21" s="1"/>
  <c r="AK796" i="21"/>
  <c r="AL796" i="21"/>
  <c r="AN796" i="21"/>
  <c r="AT796" i="21"/>
  <c r="AU796" i="21"/>
  <c r="AV796" i="21"/>
  <c r="AX796" i="21"/>
  <c r="AJ797" i="21"/>
  <c r="AO797" i="21" s="1"/>
  <c r="AK797" i="21"/>
  <c r="AL797" i="21"/>
  <c r="AN797" i="2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M797" i="21" l="1"/>
  <c r="AW795" i="21"/>
  <c r="AZ711" i="15"/>
  <c r="AS711" i="15"/>
  <c r="AQ711" i="15"/>
  <c r="AP711" i="15"/>
  <c r="AO711" i="15"/>
  <c r="G40" i="23"/>
  <c r="E40" i="22"/>
  <c r="F36" i="22"/>
  <c r="G40" i="22"/>
  <c r="F40" i="22" s="1"/>
  <c r="F25"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6" i="23"/>
  <c r="E40" i="23"/>
  <c r="F14" i="22"/>
  <c r="AP892" i="21"/>
  <c r="AP896" i="21"/>
  <c r="AP893" i="21"/>
  <c r="V14"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13" i="23" l="1"/>
  <c r="M24" i="23"/>
  <c r="P24" i="23" s="1"/>
  <c r="M13" i="23"/>
  <c r="P13" i="23" s="1"/>
  <c r="L34" i="22"/>
  <c r="O34" i="23"/>
  <c r="L24" i="23"/>
  <c r="O13" i="23"/>
  <c r="M34" i="23"/>
  <c r="P34" i="23" s="1"/>
  <c r="L34" i="23"/>
  <c r="M34" i="22"/>
  <c r="P34" i="22" s="1"/>
  <c r="O34" i="22"/>
  <c r="O24" i="23"/>
  <c r="F40" i="23"/>
  <c r="O24" i="22"/>
  <c r="L13" i="22"/>
  <c r="M24" i="22"/>
  <c r="P24" i="22" s="1"/>
  <c r="L24" i="22"/>
  <c r="M13" i="22"/>
  <c r="P13" i="22" s="1"/>
  <c r="O13" i="22"/>
  <c r="AF556" i="9"/>
  <c r="L160" i="9"/>
  <c r="L121" i="9"/>
  <c r="L115" i="9"/>
  <c r="L75" i="9"/>
  <c r="L39" i="9"/>
  <c r="L82" i="9"/>
  <c r="L33" i="9"/>
  <c r="L467" i="9"/>
  <c r="L453" i="9"/>
  <c r="L452" i="9"/>
  <c r="L461" i="9"/>
  <c r="L459" i="9"/>
  <c r="L468" i="9"/>
  <c r="L478" i="9"/>
  <c r="L466" i="9"/>
  <c r="L460" i="9"/>
  <c r="L456" i="9"/>
  <c r="L477" i="9"/>
  <c r="L465" i="9"/>
  <c r="L474" i="9"/>
  <c r="L470" i="9"/>
  <c r="L454" i="9"/>
  <c r="L476" i="9"/>
  <c r="L462" i="9"/>
  <c r="L475" i="9"/>
  <c r="L473" i="9"/>
  <c r="L455" i="9"/>
  <c r="L472" i="9"/>
  <c r="L458" i="9"/>
  <c r="L471" i="9"/>
  <c r="L457" i="9"/>
  <c r="L469" i="9"/>
  <c r="M32" i="23"/>
  <c r="P32" i="23" s="1"/>
  <c r="M28" i="23"/>
  <c r="P28" i="23" s="1"/>
  <c r="M21" i="23"/>
  <c r="P21" i="23" s="1"/>
  <c r="M17" i="23"/>
  <c r="P17" i="23" s="1"/>
  <c r="M10" i="23"/>
  <c r="P10" i="23" s="1"/>
  <c r="M6" i="23"/>
  <c r="M20" i="23"/>
  <c r="P20" i="23" s="1"/>
  <c r="O6" i="22"/>
  <c r="O8" i="22"/>
  <c r="M23" i="23"/>
  <c r="L19" i="23"/>
  <c r="O10" i="22"/>
  <c r="O22" i="23"/>
  <c r="O12" i="22"/>
  <c r="M33" i="23"/>
  <c r="P33" i="23" s="1"/>
  <c r="M11" i="23"/>
  <c r="P11" i="23" s="1"/>
  <c r="L18" i="23"/>
  <c r="L7" i="23"/>
  <c r="O21" i="23"/>
  <c r="O6" i="23"/>
  <c r="L32" i="23"/>
  <c r="L28" i="23"/>
  <c r="L21" i="23"/>
  <c r="L17" i="23"/>
  <c r="L10" i="23"/>
  <c r="L6" i="23"/>
  <c r="M27" i="23"/>
  <c r="M9" i="23"/>
  <c r="P9" i="23" s="1"/>
  <c r="O12" i="23"/>
  <c r="M30" i="23"/>
  <c r="P30" i="23" s="1"/>
  <c r="M8" i="23"/>
  <c r="P8" i="23" s="1"/>
  <c r="L30" i="23"/>
  <c r="L8" i="23"/>
  <c r="O29" i="23"/>
  <c r="O11" i="23"/>
  <c r="M29" i="23"/>
  <c r="P29" i="23" s="1"/>
  <c r="M7" i="23"/>
  <c r="P7" i="23" s="1"/>
  <c r="L22" i="23"/>
  <c r="O17" i="23"/>
  <c r="O31" i="23"/>
  <c r="O27" i="23"/>
  <c r="O20" i="23"/>
  <c r="O16" i="23"/>
  <c r="O9" i="23"/>
  <c r="O11" i="22"/>
  <c r="M31" i="23"/>
  <c r="P31" i="23" s="1"/>
  <c r="M16" i="23"/>
  <c r="P16" i="23" s="1"/>
  <c r="O19" i="23"/>
  <c r="O8" i="23"/>
  <c r="M19" i="23"/>
  <c r="P19" i="23" s="1"/>
  <c r="O9" i="22"/>
  <c r="L23" i="23"/>
  <c r="O18" i="23"/>
  <c r="M22" i="23"/>
  <c r="P22" i="23" s="1"/>
  <c r="L33" i="23"/>
  <c r="L11" i="23"/>
  <c r="O28" i="23"/>
  <c r="O38" i="23"/>
  <c r="L31" i="23"/>
  <c r="L27" i="23"/>
  <c r="L20" i="23"/>
  <c r="L16" i="23"/>
  <c r="L9" i="23"/>
  <c r="O7" i="22"/>
  <c r="O35" i="23"/>
  <c r="O30" i="23"/>
  <c r="O23" i="23"/>
  <c r="M35" i="23"/>
  <c r="P35" i="23" s="1"/>
  <c r="M12" i="23"/>
  <c r="L35" i="23"/>
  <c r="L12" i="23"/>
  <c r="O33" i="23"/>
  <c r="O7" i="23"/>
  <c r="M18" i="23"/>
  <c r="P18" i="23" s="1"/>
  <c r="L29" i="23"/>
  <c r="O32" i="23"/>
  <c r="O10" i="23"/>
  <c r="M23" i="22"/>
  <c r="P23" i="22" s="1"/>
  <c r="L23" i="22"/>
  <c r="O23" i="22"/>
  <c r="AF542" i="9"/>
  <c r="O38" i="22"/>
  <c r="O35" i="22"/>
  <c r="L30" i="22"/>
  <c r="L22" i="22"/>
  <c r="L18" i="22"/>
  <c r="L7" i="22"/>
  <c r="M28" i="22"/>
  <c r="P28" i="22" s="1"/>
  <c r="L28" i="22"/>
  <c r="O31" i="22"/>
  <c r="M27" i="22"/>
  <c r="O33" i="22"/>
  <c r="O29" i="22"/>
  <c r="O21" i="22"/>
  <c r="O17" i="22"/>
  <c r="L6" i="22"/>
  <c r="M20" i="22"/>
  <c r="P20" i="22" s="1"/>
  <c r="M9" i="22"/>
  <c r="P9" i="22" s="1"/>
  <c r="M10" i="22"/>
  <c r="P10" i="22" s="1"/>
  <c r="M11" i="22"/>
  <c r="P11" i="22" s="1"/>
  <c r="M33" i="22"/>
  <c r="P33" i="22" s="1"/>
  <c r="M29" i="22"/>
  <c r="P29" i="22" s="1"/>
  <c r="M21" i="22"/>
  <c r="P21" i="22" s="1"/>
  <c r="M17" i="22"/>
  <c r="P17" i="22" s="1"/>
  <c r="M6" i="22"/>
  <c r="M16" i="22"/>
  <c r="L16" i="22"/>
  <c r="O19" i="22"/>
  <c r="L11" i="22"/>
  <c r="L33" i="22"/>
  <c r="L29" i="22"/>
  <c r="L21" i="22"/>
  <c r="L17" i="22"/>
  <c r="M8" i="22"/>
  <c r="P8" i="22" s="1"/>
  <c r="L32" i="22"/>
  <c r="L12" i="22"/>
  <c r="M31" i="22"/>
  <c r="P31" i="22" s="1"/>
  <c r="O32" i="22"/>
  <c r="O28" i="22"/>
  <c r="O20" i="22"/>
  <c r="O16" i="22"/>
  <c r="M7" i="22"/>
  <c r="P7" i="22" s="1"/>
  <c r="M32" i="22"/>
  <c r="P32" i="22" s="1"/>
  <c r="L20" i="22"/>
  <c r="O27" i="22"/>
  <c r="M19" i="22"/>
  <c r="P19" i="22" s="1"/>
  <c r="M22" i="22"/>
  <c r="P22" i="22" s="1"/>
  <c r="M35" i="22"/>
  <c r="P35" i="22" s="1"/>
  <c r="L19" i="22"/>
  <c r="M18" i="22"/>
  <c r="P18" i="22" s="1"/>
  <c r="O18" i="22"/>
  <c r="L9" i="22"/>
  <c r="L31" i="22"/>
  <c r="M30" i="22"/>
  <c r="P30" i="22" s="1"/>
  <c r="L27" i="22"/>
  <c r="O22" i="22"/>
  <c r="L35" i="22"/>
  <c r="L8" i="22"/>
  <c r="O30"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W24" i="23" l="1"/>
  <c r="Q24" i="23"/>
  <c r="N24" i="23"/>
  <c r="Q13" i="23"/>
  <c r="W13" i="23"/>
  <c r="N13" i="23"/>
  <c r="W34" i="23"/>
  <c r="Q34" i="23"/>
  <c r="N34" i="23"/>
  <c r="W34" i="22"/>
  <c r="Q34" i="22"/>
  <c r="N34" i="22"/>
  <c r="O14" i="22"/>
  <c r="O25" i="22"/>
  <c r="M25" i="22"/>
  <c r="M14" i="22"/>
  <c r="O25" i="23"/>
  <c r="O14" i="23"/>
  <c r="M25" i="23"/>
  <c r="P25" i="23" s="1"/>
  <c r="Q25" i="23"/>
  <c r="N25" i="23"/>
  <c r="Q14" i="23"/>
  <c r="P12" i="23"/>
  <c r="M14" i="23"/>
  <c r="P14" i="23" s="1"/>
  <c r="Q13" i="22"/>
  <c r="N13" i="22"/>
  <c r="N24" i="22"/>
  <c r="Q24" i="22"/>
  <c r="L448" i="12"/>
  <c r="C31" i="25" s="1"/>
  <c r="N11" i="23"/>
  <c r="Q11" i="23"/>
  <c r="N28" i="23"/>
  <c r="Q28" i="23"/>
  <c r="N23" i="23"/>
  <c r="N16" i="23"/>
  <c r="Q16" i="23"/>
  <c r="N21" i="23"/>
  <c r="Q21" i="23"/>
  <c r="N19" i="23"/>
  <c r="Q19" i="23"/>
  <c r="N9" i="23"/>
  <c r="Q9" i="23"/>
  <c r="N30" i="23"/>
  <c r="Q30" i="23"/>
  <c r="N20" i="23"/>
  <c r="Q20" i="23"/>
  <c r="P6" i="23"/>
  <c r="N10" i="23"/>
  <c r="Q10" i="23"/>
  <c r="N35" i="23"/>
  <c r="Q35" i="23"/>
  <c r="N18" i="23"/>
  <c r="Q18" i="23"/>
  <c r="N27" i="23"/>
  <c r="Q27" i="23"/>
  <c r="O36" i="23"/>
  <c r="N12" i="23"/>
  <c r="Q12" i="23"/>
  <c r="N32" i="23"/>
  <c r="Q32" i="23"/>
  <c r="N31" i="23"/>
  <c r="Q31" i="23"/>
  <c r="N17" i="23"/>
  <c r="Q17" i="23"/>
  <c r="P27" i="23"/>
  <c r="M36" i="23"/>
  <c r="P36" i="23" s="1"/>
  <c r="N6" i="23"/>
  <c r="Q6" i="23"/>
  <c r="N33" i="23"/>
  <c r="Q33" i="23"/>
  <c r="N29" i="23"/>
  <c r="Q29" i="23"/>
  <c r="N7" i="23"/>
  <c r="Q7" i="23"/>
  <c r="N8" i="23"/>
  <c r="Q8" i="23"/>
  <c r="N22" i="23"/>
  <c r="Q22" i="23"/>
  <c r="N23" i="22"/>
  <c r="Q23" i="22"/>
  <c r="Q23" i="23"/>
  <c r="P23" i="23"/>
  <c r="Q6" i="22"/>
  <c r="N33" i="22"/>
  <c r="Q33" i="22"/>
  <c r="N11" i="22"/>
  <c r="Q11" i="22"/>
  <c r="P27" i="22"/>
  <c r="M36" i="22"/>
  <c r="P36" i="22" s="1"/>
  <c r="N12" i="22"/>
  <c r="Q12" i="22"/>
  <c r="N20" i="22"/>
  <c r="Q20" i="22"/>
  <c r="N9" i="22"/>
  <c r="Q9" i="22"/>
  <c r="N28" i="22"/>
  <c r="Q28" i="22"/>
  <c r="N19" i="22"/>
  <c r="Q19" i="22"/>
  <c r="N27" i="22"/>
  <c r="Q27" i="22"/>
  <c r="O36" i="22"/>
  <c r="N18" i="22"/>
  <c r="Q18" i="22"/>
  <c r="N30" i="22"/>
  <c r="Q30" i="22"/>
  <c r="N32" i="22"/>
  <c r="Q32" i="22"/>
  <c r="N8" i="22"/>
  <c r="Q8" i="22"/>
  <c r="N16" i="22"/>
  <c r="Q16" i="22"/>
  <c r="N10" i="22"/>
  <c r="Q10" i="22"/>
  <c r="P16" i="22"/>
  <c r="N31" i="22"/>
  <c r="Q31" i="22"/>
  <c r="N7" i="22"/>
  <c r="Q7" i="22"/>
  <c r="N17" i="22"/>
  <c r="Q17" i="22"/>
  <c r="N22" i="22"/>
  <c r="Q22" i="22"/>
  <c r="N6" i="22"/>
  <c r="P14" i="22"/>
  <c r="P6" i="22"/>
  <c r="N21" i="22"/>
  <c r="Q21" i="22"/>
  <c r="N35" i="22"/>
  <c r="Q35" i="22"/>
  <c r="N29" i="22"/>
  <c r="Q29" i="22"/>
  <c r="K448" i="12"/>
  <c r="L448" i="9"/>
  <c r="C13" i="25" s="1"/>
  <c r="K448" i="9"/>
  <c r="K10" i="9"/>
  <c r="K12" i="9"/>
  <c r="K11" i="9"/>
  <c r="L182" i="12"/>
  <c r="C29" i="25" s="1"/>
  <c r="L441" i="9"/>
  <c r="L441" i="12"/>
  <c r="L438" i="12"/>
  <c r="L438" i="9"/>
  <c r="L444" i="9"/>
  <c r="N443" i="9"/>
  <c r="N444" i="9" s="1"/>
  <c r="L444" i="12"/>
  <c r="N14" i="23" l="1"/>
  <c r="O40" i="23"/>
  <c r="M40" i="23"/>
  <c r="Q36" i="23"/>
  <c r="N36" i="23"/>
  <c r="O40" i="22"/>
  <c r="L449" i="12"/>
  <c r="N36" i="22"/>
  <c r="Q36" i="22"/>
  <c r="L449" i="9"/>
  <c r="M40" i="22"/>
  <c r="P25" i="22"/>
  <c r="N14" i="22"/>
  <c r="Q14"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40" i="23" l="1"/>
  <c r="Q41" i="23" s="1"/>
  <c r="N40" i="23"/>
  <c r="O41" i="23"/>
  <c r="J182" i="12"/>
  <c r="J182" i="9"/>
  <c r="D175" i="12" a="1"/>
  <c r="L237" i="12"/>
  <c r="D177" i="12" a="1"/>
  <c r="F177" i="12" a="1"/>
  <c r="F186" i="12" a="1"/>
  <c r="L196" i="12"/>
  <c r="L237" i="9"/>
  <c r="L196" i="9"/>
  <c r="L209" i="9"/>
  <c r="D179" i="12" a="1"/>
  <c r="L227" i="9"/>
  <c r="L227" i="12"/>
  <c r="L209" i="12"/>
  <c r="P40"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U24" i="22" l="1"/>
  <c r="S24" i="22"/>
  <c r="R24" i="22"/>
  <c r="V24" i="22" s="1"/>
  <c r="U13" i="22"/>
  <c r="S13" i="22"/>
  <c r="R13" i="22"/>
  <c r="V13" i="22" s="1"/>
  <c r="Q471" i="9"/>
  <c r="Q457" i="9"/>
  <c r="Q462" i="9"/>
  <c r="Q470" i="9"/>
  <c r="Q456" i="9"/>
  <c r="Q477" i="9"/>
  <c r="Q459" i="9"/>
  <c r="Q469" i="9"/>
  <c r="Q455" i="9"/>
  <c r="Q476" i="9"/>
  <c r="Q472" i="9"/>
  <c r="Q468" i="9"/>
  <c r="Q454" i="9"/>
  <c r="Q465" i="9"/>
  <c r="Q467" i="9"/>
  <c r="Q453" i="9"/>
  <c r="Q452" i="9"/>
  <c r="Q473" i="9"/>
  <c r="Q478" i="9"/>
  <c r="Q466" i="9"/>
  <c r="Q460" i="9"/>
  <c r="Q475" i="9"/>
  <c r="Q461" i="9"/>
  <c r="Q474" i="9"/>
  <c r="Q458" i="9"/>
  <c r="R33" i="23"/>
  <c r="V33" i="23" s="1"/>
  <c r="R29" i="23"/>
  <c r="V29" i="23" s="1"/>
  <c r="R21" i="23"/>
  <c r="V21" i="23" s="1"/>
  <c r="R17" i="23"/>
  <c r="V17" i="23" s="1"/>
  <c r="R10" i="23"/>
  <c r="V10" i="23" s="1"/>
  <c r="R6" i="23"/>
  <c r="V6" i="23" s="1"/>
  <c r="R28" i="23"/>
  <c r="V28" i="23" s="1"/>
  <c r="R20" i="23"/>
  <c r="V20" i="23" s="1"/>
  <c r="R9" i="23"/>
  <c r="V9" i="23" s="1"/>
  <c r="U35" i="23"/>
  <c r="R12" i="23"/>
  <c r="V12" i="23" s="1"/>
  <c r="U22" i="23"/>
  <c r="S23" i="23"/>
  <c r="S18" i="23"/>
  <c r="R30" i="23"/>
  <c r="V30" i="23" s="1"/>
  <c r="U33" i="23"/>
  <c r="U17" i="23"/>
  <c r="S33" i="23"/>
  <c r="S17" i="23"/>
  <c r="U32" i="23"/>
  <c r="U28" i="23"/>
  <c r="U20" i="23"/>
  <c r="U16" i="23"/>
  <c r="U9" i="23"/>
  <c r="U38" i="23"/>
  <c r="W38" i="23" s="1"/>
  <c r="S8" i="23"/>
  <c r="R27" i="23"/>
  <c r="V27" i="23" s="1"/>
  <c r="U30" i="23"/>
  <c r="U11" i="23"/>
  <c r="S22" i="23"/>
  <c r="U23" i="23"/>
  <c r="R7" i="23"/>
  <c r="V7" i="23" s="1"/>
  <c r="U21" i="23"/>
  <c r="W21" i="23" s="1"/>
  <c r="U6" i="23"/>
  <c r="S29" i="23"/>
  <c r="S10" i="23"/>
  <c r="S32" i="23"/>
  <c r="S28" i="23"/>
  <c r="S20" i="23"/>
  <c r="S16" i="23"/>
  <c r="S9" i="23"/>
  <c r="R32" i="23"/>
  <c r="V32" i="23" s="1"/>
  <c r="R16" i="23"/>
  <c r="V16" i="23" s="1"/>
  <c r="S12" i="23"/>
  <c r="R19" i="23"/>
  <c r="V19" i="23" s="1"/>
  <c r="R23" i="23"/>
  <c r="V23" i="23" s="1"/>
  <c r="U7" i="23"/>
  <c r="S7" i="23"/>
  <c r="R18" i="23"/>
  <c r="V18" i="23" s="1"/>
  <c r="R35" i="23"/>
  <c r="V35" i="23" s="1"/>
  <c r="U31" i="23"/>
  <c r="U27" i="23"/>
  <c r="U19" i="23"/>
  <c r="U12" i="23"/>
  <c r="U8" i="23"/>
  <c r="S35" i="23"/>
  <c r="S31" i="23"/>
  <c r="S27" i="23"/>
  <c r="S19" i="23"/>
  <c r="R31" i="23"/>
  <c r="V31" i="23" s="1"/>
  <c r="R8" i="23"/>
  <c r="V8" i="23" s="1"/>
  <c r="U18" i="23"/>
  <c r="W18" i="23" s="1"/>
  <c r="S30" i="23"/>
  <c r="S11" i="23"/>
  <c r="R22" i="23"/>
  <c r="V22" i="23" s="1"/>
  <c r="R11" i="23"/>
  <c r="V11" i="23" s="1"/>
  <c r="U29" i="23"/>
  <c r="U10" i="23"/>
  <c r="S21" i="23"/>
  <c r="S6" i="23"/>
  <c r="Q318" i="12"/>
  <c r="Q324" i="12"/>
  <c r="S324" i="12" s="1"/>
  <c r="Q321" i="12"/>
  <c r="S322" i="12" s="1"/>
  <c r="P321" i="12"/>
  <c r="P318" i="12"/>
  <c r="S32" i="22"/>
  <c r="S28" i="22"/>
  <c r="S21" i="22"/>
  <c r="S17" i="22"/>
  <c r="S10" i="22"/>
  <c r="S6" i="22"/>
  <c r="S27" i="22"/>
  <c r="S9" i="22"/>
  <c r="U19" i="22"/>
  <c r="S23" i="22"/>
  <c r="S12" i="22"/>
  <c r="R23" i="22"/>
  <c r="V23" i="22" s="1"/>
  <c r="R8" i="22"/>
  <c r="V8" i="22" s="1"/>
  <c r="U33" i="22"/>
  <c r="W33" i="22" s="1"/>
  <c r="U22" i="22"/>
  <c r="W22" i="22" s="1"/>
  <c r="S7" i="22"/>
  <c r="R29" i="22"/>
  <c r="V29" i="22" s="1"/>
  <c r="R11" i="22"/>
  <c r="V11" i="22" s="1"/>
  <c r="U32" i="22"/>
  <c r="U10" i="22"/>
  <c r="R32" i="22"/>
  <c r="V32" i="22" s="1"/>
  <c r="R28" i="22"/>
  <c r="V28" i="22" s="1"/>
  <c r="R21" i="22"/>
  <c r="V21" i="22" s="1"/>
  <c r="R17" i="22"/>
  <c r="V17" i="22" s="1"/>
  <c r="R10" i="22"/>
  <c r="V10" i="22" s="1"/>
  <c r="R6" i="22"/>
  <c r="V6" i="22" s="1"/>
  <c r="S31" i="22"/>
  <c r="S16" i="22"/>
  <c r="U8" i="22"/>
  <c r="S35" i="22"/>
  <c r="S8" i="22"/>
  <c r="R35" i="22"/>
  <c r="V35" i="22" s="1"/>
  <c r="R19" i="22"/>
  <c r="V19" i="22" s="1"/>
  <c r="S33" i="22"/>
  <c r="S18" i="22"/>
  <c r="R22" i="22"/>
  <c r="V22" i="22" s="1"/>
  <c r="R7" i="22"/>
  <c r="V7" i="22" s="1"/>
  <c r="U21" i="22"/>
  <c r="W21" i="22" s="1"/>
  <c r="U31" i="22"/>
  <c r="U27" i="22"/>
  <c r="U20" i="22"/>
  <c r="U16" i="22"/>
  <c r="U9" i="22"/>
  <c r="S20" i="22"/>
  <c r="U38" i="22"/>
  <c r="W38" i="22" s="1"/>
  <c r="R31" i="22"/>
  <c r="V31" i="22" s="1"/>
  <c r="R27" i="22"/>
  <c r="V27" i="22" s="1"/>
  <c r="R20" i="22"/>
  <c r="V20" i="22" s="1"/>
  <c r="R16" i="22"/>
  <c r="V16" i="22" s="1"/>
  <c r="R9" i="22"/>
  <c r="V9" i="22" s="1"/>
  <c r="U35" i="22"/>
  <c r="U30" i="22"/>
  <c r="U23" i="22"/>
  <c r="U12" i="22"/>
  <c r="S30" i="22"/>
  <c r="S19" i="22"/>
  <c r="R30" i="22"/>
  <c r="V30" i="22" s="1"/>
  <c r="R12" i="22"/>
  <c r="V12" i="22" s="1"/>
  <c r="U29" i="22"/>
  <c r="U18" i="22"/>
  <c r="U7" i="22"/>
  <c r="S29" i="22"/>
  <c r="S22" i="22"/>
  <c r="R33" i="22"/>
  <c r="V33" i="22" s="1"/>
  <c r="R18" i="22"/>
  <c r="V18" i="22" s="1"/>
  <c r="U28" i="22"/>
  <c r="U6" i="22"/>
  <c r="U11" i="22"/>
  <c r="S11" i="22"/>
  <c r="U17"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F7" i="25" s="1"/>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U14" i="22" l="1"/>
  <c r="U25" i="22"/>
  <c r="S14" i="22"/>
  <c r="S25" i="22"/>
  <c r="S25" i="23"/>
  <c r="S14" i="23"/>
  <c r="U25" i="23"/>
  <c r="T25" i="23" s="1"/>
  <c r="U14" i="23"/>
  <c r="T14" i="23" s="1"/>
  <c r="T13" i="22"/>
  <c r="W13" i="22"/>
  <c r="T24" i="22"/>
  <c r="W24" i="22"/>
  <c r="F19" i="25"/>
  <c r="F37" i="25"/>
  <c r="P372" i="12"/>
  <c r="P372" i="9"/>
  <c r="T22" i="22"/>
  <c r="T21" i="23"/>
  <c r="Q448" i="12"/>
  <c r="F31" i="25" s="1"/>
  <c r="G31" i="25" s="1"/>
  <c r="T7" i="23"/>
  <c r="W7" i="23"/>
  <c r="T16" i="23"/>
  <c r="W16" i="23"/>
  <c r="T22" i="23"/>
  <c r="W22" i="23"/>
  <c r="Q326" i="12"/>
  <c r="F32" i="25" s="1"/>
  <c r="S36" i="23"/>
  <c r="T6" i="23"/>
  <c r="W6" i="23"/>
  <c r="T20" i="23"/>
  <c r="W20" i="23"/>
  <c r="T35" i="23"/>
  <c r="W35" i="23"/>
  <c r="T28" i="23"/>
  <c r="W28" i="23"/>
  <c r="T9" i="23"/>
  <c r="W9" i="23"/>
  <c r="T10" i="23"/>
  <c r="W10" i="23"/>
  <c r="T32" i="23"/>
  <c r="W32" i="23"/>
  <c r="T23" i="23"/>
  <c r="W23" i="23"/>
  <c r="T12" i="23"/>
  <c r="W12" i="23"/>
  <c r="T8" i="23"/>
  <c r="W8" i="23"/>
  <c r="T19" i="23"/>
  <c r="W19" i="23"/>
  <c r="T11" i="23"/>
  <c r="W11" i="23"/>
  <c r="T17" i="23"/>
  <c r="W17" i="23"/>
  <c r="T27" i="23"/>
  <c r="U36" i="23"/>
  <c r="W27" i="23"/>
  <c r="T30" i="23"/>
  <c r="W30" i="23"/>
  <c r="T33" i="23"/>
  <c r="W33" i="23"/>
  <c r="T29" i="23"/>
  <c r="W29" i="23"/>
  <c r="T31" i="23"/>
  <c r="W31" i="23"/>
  <c r="T18" i="23"/>
  <c r="T23" i="22"/>
  <c r="W23" i="22"/>
  <c r="T20" i="22"/>
  <c r="W20" i="22"/>
  <c r="T8" i="22"/>
  <c r="W8" i="22"/>
  <c r="T30" i="22"/>
  <c r="W30" i="22"/>
  <c r="T27" i="22"/>
  <c r="U36" i="22"/>
  <c r="W27" i="22"/>
  <c r="T9" i="22"/>
  <c r="W9" i="22"/>
  <c r="S36" i="22"/>
  <c r="T28" i="22"/>
  <c r="W28" i="22"/>
  <c r="AK500" i="9"/>
  <c r="AO500" i="9"/>
  <c r="Q256" i="9"/>
  <c r="S256" i="9"/>
  <c r="AK504" i="12"/>
  <c r="AO504" i="12"/>
  <c r="T35" i="22"/>
  <c r="W35" i="22"/>
  <c r="T31" i="22"/>
  <c r="W31" i="22"/>
  <c r="T21" i="22"/>
  <c r="T12" i="22"/>
  <c r="W12" i="22"/>
  <c r="Q256" i="12"/>
  <c r="S256" i="12"/>
  <c r="P257" i="9"/>
  <c r="T7" i="22"/>
  <c r="W7" i="22"/>
  <c r="T32" i="22"/>
  <c r="W32" i="22"/>
  <c r="T16" i="22"/>
  <c r="W16" i="22"/>
  <c r="T18" i="22"/>
  <c r="W18" i="22"/>
  <c r="P257" i="12"/>
  <c r="AO504" i="9"/>
  <c r="AK504" i="9"/>
  <c r="T29" i="22"/>
  <c r="W29" i="22"/>
  <c r="T6" i="22"/>
  <c r="W6" i="22"/>
  <c r="T17" i="22"/>
  <c r="W17" i="22"/>
  <c r="T33" i="22"/>
  <c r="AO500" i="12"/>
  <c r="AK500" i="12"/>
  <c r="T19" i="22"/>
  <c r="W19" i="22"/>
  <c r="AJ567" i="9"/>
  <c r="AO567" i="9"/>
  <c r="T11" i="22"/>
  <c r="W11" i="22"/>
  <c r="T10" i="22"/>
  <c r="W10" i="22"/>
  <c r="Q182" i="12"/>
  <c r="F29" i="25" s="1"/>
  <c r="G29" i="25" s="1"/>
  <c r="Q326" i="9"/>
  <c r="F14" i="25" s="1"/>
  <c r="Q13" i="9"/>
  <c r="O31" i="9" s="1"/>
  <c r="Q182" i="9"/>
  <c r="F11" i="25" s="1"/>
  <c r="Q380" i="9"/>
  <c r="Q385" i="9" s="1"/>
  <c r="Q390" i="9" s="1"/>
  <c r="F15" i="25" s="1"/>
  <c r="Q448" i="9"/>
  <c r="Q259" i="9"/>
  <c r="Q268" i="9" s="1"/>
  <c r="F12" i="25" s="1"/>
  <c r="O13" i="9"/>
  <c r="F6" i="25" s="1"/>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F30" i="25" s="1"/>
  <c r="Q106" i="9"/>
  <c r="O114" i="9" s="1"/>
  <c r="P101" i="9"/>
  <c r="P371" i="12"/>
  <c r="P8" i="9"/>
  <c r="P251" i="9"/>
  <c r="P99" i="9"/>
  <c r="Q136" i="9"/>
  <c r="P96" i="12"/>
  <c r="O97" i="9"/>
  <c r="Q123" i="9"/>
  <c r="P383" i="9"/>
  <c r="Q263" i="12"/>
  <c r="P373" i="12"/>
  <c r="Q284" i="9"/>
  <c r="Q406" i="9"/>
  <c r="AL553" i="9"/>
  <c r="O380" i="12"/>
  <c r="P251" i="12"/>
  <c r="Q123" i="12"/>
  <c r="Q380" i="12"/>
  <c r="Q385" i="12" s="1"/>
  <c r="Q390" i="12" s="1"/>
  <c r="F33" i="25" s="1"/>
  <c r="Q154" i="9"/>
  <c r="P95" i="9"/>
  <c r="Q322" i="9"/>
  <c r="P326" i="9"/>
  <c r="Q425" i="9"/>
  <c r="Q425" i="12"/>
  <c r="Q316" i="9"/>
  <c r="Q303" i="12"/>
  <c r="P254" i="12"/>
  <c r="P94" i="12"/>
  <c r="O97" i="12"/>
  <c r="F26" i="25" s="1"/>
  <c r="Q106" i="12"/>
  <c r="O114" i="12" s="1"/>
  <c r="P376" i="12"/>
  <c r="Q464" i="9"/>
  <c r="P101" i="12"/>
  <c r="AL568" i="9"/>
  <c r="F17" i="25" s="1"/>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W14" i="22" l="1"/>
  <c r="W25" i="22"/>
  <c r="W14" i="23"/>
  <c r="W25" i="23"/>
  <c r="P160" i="9"/>
  <c r="O160" i="9" s="1"/>
  <c r="F8" i="25"/>
  <c r="S448" i="9"/>
  <c r="S449" i="9" s="1"/>
  <c r="F13" i="25"/>
  <c r="G13" i="25" s="1"/>
  <c r="Q327" i="9"/>
  <c r="U40" i="23"/>
  <c r="AK499" i="9"/>
  <c r="P284" i="9"/>
  <c r="U40" i="22"/>
  <c r="P284" i="12"/>
  <c r="S40" i="23"/>
  <c r="AK502" i="9"/>
  <c r="T36" i="23"/>
  <c r="W36" i="23"/>
  <c r="AK496" i="9"/>
  <c r="Q269" i="12"/>
  <c r="AK501" i="9"/>
  <c r="AK503" i="9"/>
  <c r="AK497" i="9"/>
  <c r="T25" i="22"/>
  <c r="AK498" i="9"/>
  <c r="S40" i="22"/>
  <c r="T14" i="22"/>
  <c r="Q109" i="9"/>
  <c r="F10" i="25" s="1"/>
  <c r="T36" i="22"/>
  <c r="W36" i="22"/>
  <c r="Q109" i="12"/>
  <c r="F28" i="25" s="1"/>
  <c r="Q27" i="9"/>
  <c r="F9" i="25" s="1"/>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F16" i="25" l="1"/>
  <c r="U41" i="23"/>
  <c r="V40" i="23" s="1"/>
  <c r="U43" i="23"/>
  <c r="T40" i="23"/>
  <c r="W40" i="23"/>
  <c r="W41" i="23" s="1"/>
  <c r="P31" i="9"/>
  <c r="P38" i="9"/>
  <c r="P33" i="9"/>
  <c r="P37" i="9"/>
  <c r="P32" i="9"/>
  <c r="P36" i="9"/>
  <c r="T40" i="22"/>
  <c r="U43" i="22"/>
  <c r="S43" i="22"/>
  <c r="U41"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AJ494" i="9" s="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6" i="9"/>
  <c r="L77" i="9"/>
  <c r="L79" i="9"/>
  <c r="L80" i="9"/>
  <c r="L81" i="9"/>
  <c r="J95" i="12"/>
  <c r="R95" i="12" s="1"/>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315" i="9"/>
  <c r="J262" i="9"/>
  <c r="R262" i="9" s="1"/>
  <c r="J101" i="9"/>
  <c r="R101" i="9" s="1"/>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C37" i="25" l="1"/>
  <c r="R17" i="9"/>
  <c r="C7" i="25"/>
  <c r="AN578" i="12"/>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C32" i="25" s="1"/>
  <c r="S32" i="9"/>
  <c r="S114" i="9"/>
  <c r="S113" i="12"/>
  <c r="S114" i="12"/>
  <c r="S31" i="9"/>
  <c r="S113" i="9"/>
  <c r="L154" i="12"/>
  <c r="S154" i="12" s="1"/>
  <c r="L83" i="9"/>
  <c r="J13" i="9"/>
  <c r="S318" i="12"/>
  <c r="S319" i="12" s="1"/>
  <c r="K179" i="9"/>
  <c r="P179" i="9"/>
  <c r="R99" i="9"/>
  <c r="K99" i="9"/>
  <c r="M99" i="9"/>
  <c r="S99" i="9"/>
  <c r="N99" i="9"/>
  <c r="L97" i="9"/>
  <c r="J113" i="9" s="1"/>
  <c r="K96" i="12"/>
  <c r="J97" i="9"/>
  <c r="C8" i="25" s="1"/>
  <c r="K96" i="9"/>
  <c r="R96" i="9"/>
  <c r="K101" i="9"/>
  <c r="L106" i="9"/>
  <c r="U106" i="9" s="1"/>
  <c r="K94" i="9"/>
  <c r="K95" i="9"/>
  <c r="E7" i="25" l="1"/>
  <c r="G7" i="25"/>
  <c r="E8" i="25"/>
  <c r="G8" i="25"/>
  <c r="G32" i="25"/>
  <c r="E32" i="25"/>
  <c r="J27" i="9"/>
  <c r="C6" i="25"/>
  <c r="G37" i="25"/>
  <c r="E37" i="25"/>
  <c r="O43" i="23"/>
  <c r="S106" i="9"/>
  <c r="S107" i="9" s="1"/>
  <c r="J114" i="9"/>
  <c r="J24" i="9"/>
  <c r="K82" i="9" s="1"/>
  <c r="J82" i="9" s="1"/>
  <c r="K192" i="9"/>
  <c r="K186" i="9"/>
  <c r="K191" i="9"/>
  <c r="P192" i="9"/>
  <c r="P191" i="9"/>
  <c r="P187" i="9"/>
  <c r="K188" i="9"/>
  <c r="P189" i="9"/>
  <c r="P190" i="9"/>
  <c r="K189" i="9"/>
  <c r="P188" i="9"/>
  <c r="P186" i="9"/>
  <c r="K187" i="9"/>
  <c r="K190" i="9"/>
  <c r="L182" i="9"/>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C10" i="25" s="1"/>
  <c r="K97" i="9"/>
  <c r="K105" i="9"/>
  <c r="R105" i="9" s="1"/>
  <c r="J109" i="9"/>
  <c r="J106" i="9"/>
  <c r="K103" i="9"/>
  <c r="R103" i="9" s="1"/>
  <c r="K104" i="9"/>
  <c r="R104" i="9" s="1"/>
  <c r="G6" i="25" l="1"/>
  <c r="E6" i="25"/>
  <c r="K182" i="9"/>
  <c r="C11" i="25"/>
  <c r="G11" i="25" s="1"/>
  <c r="E10" i="25"/>
  <c r="G10" i="25"/>
  <c r="K31" i="9"/>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F25" i="25" s="1"/>
  <c r="J17" i="12"/>
  <c r="C25" i="25" s="1"/>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25" i="25" l="1"/>
  <c r="G25" i="25"/>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S36" i="12"/>
  <c r="O13" i="12"/>
  <c r="F24" i="25" s="1"/>
  <c r="Q13" i="12"/>
  <c r="O31" i="12" s="1"/>
  <c r="L13" i="12"/>
  <c r="J31" i="12" s="1"/>
  <c r="J13" i="12"/>
  <c r="P9" i="12"/>
  <c r="E188"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280" i="9"/>
  <c r="N280" i="9" s="1"/>
  <c r="L347" i="9"/>
  <c r="N347" i="9" s="1"/>
  <c r="L407" i="9"/>
  <c r="N407" i="9" s="1"/>
  <c r="L7"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S115" i="9"/>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C24" i="25" l="1"/>
  <c r="E24" i="25" s="1"/>
  <c r="U13" i="12"/>
  <c r="C19" i="25"/>
  <c r="G24" i="25"/>
  <c r="E187" i="9"/>
  <c r="E191" i="9"/>
  <c r="AN561" i="12"/>
  <c r="N43" i="9"/>
  <c r="N54" i="9" s="1"/>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F27" i="25" s="1"/>
  <c r="L326" i="9"/>
  <c r="C14" i="25" s="1"/>
  <c r="G14" i="25" s="1"/>
  <c r="L259" i="9"/>
  <c r="L268" i="9" s="1"/>
  <c r="C12" i="25" s="1"/>
  <c r="L13" i="9"/>
  <c r="J31" i="9" s="1"/>
  <c r="N318" i="9"/>
  <c r="N319" i="9" s="1"/>
  <c r="S318" i="9"/>
  <c r="S319" i="9" s="1"/>
  <c r="N246" i="9"/>
  <c r="K182" i="12"/>
  <c r="E194" i="9"/>
  <c r="E195" i="9"/>
  <c r="E193" i="9"/>
  <c r="S175" i="12"/>
  <c r="K175" i="12"/>
  <c r="S177" i="12"/>
  <c r="K177" i="12"/>
  <c r="P175" i="12"/>
  <c r="S179" i="12"/>
  <c r="S180" i="12" s="1"/>
  <c r="K179" i="12"/>
  <c r="Q74" i="12"/>
  <c r="E114" i="9"/>
  <c r="P13" i="12"/>
  <c r="P23" i="12"/>
  <c r="P22" i="12"/>
  <c r="O27" i="12"/>
  <c r="P21" i="12"/>
  <c r="O24" i="12"/>
  <c r="Q341" i="12"/>
  <c r="S99" i="12"/>
  <c r="N60" i="9"/>
  <c r="N72" i="9" s="1"/>
  <c r="N75" i="9"/>
  <c r="S75" i="9"/>
  <c r="D26" i="8"/>
  <c r="D29" i="8" s="1"/>
  <c r="D113" i="9"/>
  <c r="L266" i="9"/>
  <c r="M265" i="9"/>
  <c r="K114" i="9"/>
  <c r="E342" i="9"/>
  <c r="E160" i="9"/>
  <c r="D160" i="9" s="1"/>
  <c r="N78" i="9"/>
  <c r="N160" i="9"/>
  <c r="N82" i="9"/>
  <c r="N275" i="9"/>
  <c r="N106" i="9"/>
  <c r="N107" i="9" s="1"/>
  <c r="L97" i="12"/>
  <c r="J113" i="12" s="1"/>
  <c r="J97" i="12"/>
  <c r="U97"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Z562"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AH561" i="9"/>
  <c r="AI561" i="9" s="1"/>
  <c r="R252" i="9"/>
  <c r="E28" i="2"/>
  <c r="K372" i="9"/>
  <c r="M372" i="9"/>
  <c r="K377" i="9"/>
  <c r="M377" i="9"/>
  <c r="L24" i="9"/>
  <c r="U24" i="9" s="1"/>
  <c r="N21" i="9"/>
  <c r="N321" i="9"/>
  <c r="N322" i="9" s="1"/>
  <c r="N39" i="9"/>
  <c r="K374" i="9"/>
  <c r="M374" i="9"/>
  <c r="K9" i="9"/>
  <c r="M9" i="9"/>
  <c r="N425" i="9"/>
  <c r="K383" i="9"/>
  <c r="M383" i="9"/>
  <c r="N38" i="9"/>
  <c r="K8" i="9"/>
  <c r="M8" i="9"/>
  <c r="K376" i="9"/>
  <c r="M376" i="9"/>
  <c r="K384" i="9"/>
  <c r="M384" i="9"/>
  <c r="K326" i="9"/>
  <c r="M43"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U24" i="12" s="1"/>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K35" i="12" s="1"/>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U106" i="12" s="1"/>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E12" i="25" l="1"/>
  <c r="G12" i="25"/>
  <c r="F34" i="25"/>
  <c r="S176" i="12"/>
  <c r="S182" i="12"/>
  <c r="K160" i="12"/>
  <c r="J160" i="12" s="1"/>
  <c r="C26" i="25"/>
  <c r="E19" i="25"/>
  <c r="G19" i="25"/>
  <c r="D27" i="8"/>
  <c r="M43" i="23"/>
  <c r="L327" i="12"/>
  <c r="L327" i="9"/>
  <c r="AN557" i="12"/>
  <c r="AN558" i="12"/>
  <c r="AO558" i="12" s="1"/>
  <c r="AN567" i="12"/>
  <c r="AN527" i="12"/>
  <c r="AN562" i="12"/>
  <c r="AN563" i="12"/>
  <c r="AN508" i="12"/>
  <c r="AO508" i="12" s="1"/>
  <c r="AN559" i="12"/>
  <c r="AN521" i="12"/>
  <c r="AO521" i="12" s="1"/>
  <c r="AN560" i="12"/>
  <c r="AF487" i="12"/>
  <c r="K39" i="12"/>
  <c r="K82" i="12"/>
  <c r="J82" i="12" s="1"/>
  <c r="AF487" i="9"/>
  <c r="AN567" i="9"/>
  <c r="D187" i="12"/>
  <c r="N187" i="12"/>
  <c r="N197" i="12"/>
  <c r="F209" i="12"/>
  <c r="N209" i="12" s="1"/>
  <c r="F438" i="12"/>
  <c r="N437" i="12"/>
  <c r="N438" i="12" s="1"/>
  <c r="N230" i="12"/>
  <c r="N237" i="12" s="1"/>
  <c r="F237" i="12"/>
  <c r="N210" i="12"/>
  <c r="F227" i="12"/>
  <c r="N227" i="12" s="1"/>
  <c r="D186" i="12"/>
  <c r="F196" i="12"/>
  <c r="N186" i="12"/>
  <c r="E175" i="12"/>
  <c r="D182" i="12"/>
  <c r="E190" i="12" s="1"/>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K190" i="12"/>
  <c r="E187" i="12"/>
  <c r="P187" i="12"/>
  <c r="K191" i="12"/>
  <c r="P189" i="12"/>
  <c r="K189" i="12"/>
  <c r="K188" i="12"/>
  <c r="P191"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C28" i="25" s="1"/>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Q327" i="12" s="1"/>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C9" i="25" s="1"/>
  <c r="S68" i="9"/>
  <c r="S72" i="9" s="1"/>
  <c r="B32" i="2"/>
  <c r="B56" i="2" s="1"/>
  <c r="L27" i="12"/>
  <c r="C27" i="25" s="1"/>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C17" i="25" s="1"/>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E192" i="12" l="1"/>
  <c r="E188" i="12"/>
  <c r="E27" i="25"/>
  <c r="K284" i="12"/>
  <c r="C30" i="25"/>
  <c r="G30" i="25" s="1"/>
  <c r="G26" i="25"/>
  <c r="E26" i="25"/>
  <c r="E186" i="12"/>
  <c r="E9" i="25"/>
  <c r="G9" i="25"/>
  <c r="E28" i="25"/>
  <c r="G28" i="25"/>
  <c r="E189" i="12"/>
  <c r="E17" i="25"/>
  <c r="G17" i="25"/>
  <c r="G27" i="25"/>
  <c r="AN517" i="12"/>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3"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3" i="12"/>
  <c r="E194" i="12"/>
  <c r="E193" i="12"/>
  <c r="E195" i="12"/>
  <c r="K196" i="12"/>
  <c r="K209" i="12"/>
  <c r="K227" i="12"/>
  <c r="K229" i="12"/>
  <c r="E122" i="12"/>
  <c r="AG502" i="9"/>
  <c r="AG497" i="9"/>
  <c r="AG501" i="9"/>
  <c r="AG500" i="9"/>
  <c r="AG496" i="9"/>
  <c r="AG499" i="9"/>
  <c r="AG498" i="9"/>
  <c r="AN505" i="9"/>
  <c r="AO505" i="9"/>
  <c r="AL506" i="9"/>
  <c r="AL539" i="9"/>
  <c r="AJ568" i="9"/>
  <c r="AJ553"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F35" i="25" s="1"/>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C35" i="25" s="1"/>
  <c r="E35" i="25" s="1"/>
  <c r="AF520" i="12"/>
  <c r="S464" i="12"/>
  <c r="L484" i="12"/>
  <c r="L486" i="12" s="1"/>
  <c r="K464" i="12"/>
  <c r="K482" i="12"/>
  <c r="S303" i="12"/>
  <c r="D73" i="8"/>
  <c r="L307" i="9"/>
  <c r="S361" i="12"/>
  <c r="E31" i="8"/>
  <c r="E23" i="8"/>
  <c r="E6" i="8"/>
  <c r="K363" i="9"/>
  <c r="L365" i="9"/>
  <c r="N365" i="9" s="1"/>
  <c r="K136" i="9"/>
  <c r="K136" i="12"/>
  <c r="K154" i="12"/>
  <c r="K123" i="12"/>
  <c r="L85" i="12"/>
  <c r="U85" i="12" s="1"/>
  <c r="C67" i="8"/>
  <c r="F67" i="8" s="1"/>
  <c r="H67" i="8" s="1"/>
  <c r="K156" i="9"/>
  <c r="N156" i="9"/>
  <c r="K303" i="12"/>
  <c r="L390" i="9"/>
  <c r="C15" i="25" s="1"/>
  <c r="C16" i="25" s="1"/>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C70" i="8"/>
  <c r="D50" i="8"/>
  <c r="D55" i="8" s="1"/>
  <c r="G13" i="8"/>
  <c r="I13" i="8" s="1"/>
  <c r="C14" i="8"/>
  <c r="F13" i="8"/>
  <c r="H13" i="8" s="1"/>
  <c r="S361" i="9"/>
  <c r="S385" i="12"/>
  <c r="S386" i="12" s="1"/>
  <c r="L390" i="12"/>
  <c r="C33" i="25" s="1"/>
  <c r="C8" i="8"/>
  <c r="F43" i="8"/>
  <c r="H43" i="8" s="1"/>
  <c r="G43" i="8"/>
  <c r="I43" i="8" s="1"/>
  <c r="G35" i="25" l="1"/>
  <c r="G16" i="25"/>
  <c r="E16" i="25"/>
  <c r="AH555" i="9"/>
  <c r="AI555" i="9" s="1"/>
  <c r="C18" i="25"/>
  <c r="G15" i="25"/>
  <c r="E15" i="25"/>
  <c r="C34" i="25"/>
  <c r="E33" i="25"/>
  <c r="G33" i="25"/>
  <c r="F239" i="12"/>
  <c r="N239" i="12" s="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E154" i="12"/>
  <c r="E70" i="8"/>
  <c r="G70" i="8" s="1"/>
  <c r="I70" i="8" s="1"/>
  <c r="E65" i="8"/>
  <c r="G65" i="8" s="1"/>
  <c r="I65" i="8" s="1"/>
  <c r="AL555" i="9"/>
  <c r="S109" i="12"/>
  <c r="S110" i="12" s="1"/>
  <c r="N307" i="9"/>
  <c r="K427" i="9"/>
  <c r="AJ520" i="12"/>
  <c r="AL555" i="12"/>
  <c r="F36" i="25" s="1"/>
  <c r="F38" i="25" s="1"/>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C36" i="25" s="1"/>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D494" i="9" l="1"/>
  <c r="AN555" i="9"/>
  <c r="AO555" i="9" s="1"/>
  <c r="F18" i="25"/>
  <c r="F20" i="25" s="1"/>
  <c r="E18" i="25"/>
  <c r="E20" i="25" s="1"/>
  <c r="E34" i="25"/>
  <c r="G34" i="25"/>
  <c r="C38" i="25"/>
  <c r="G36" i="25"/>
  <c r="E36" i="25"/>
  <c r="C20" i="25"/>
  <c r="AN494" i="12"/>
  <c r="AO494" i="12" s="1"/>
  <c r="AN494" i="9"/>
  <c r="AO494" i="9" s="1"/>
  <c r="AF486" i="9"/>
  <c r="AJ486" i="9" s="1"/>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G18" i="25" l="1"/>
  <c r="G20" i="25" s="1"/>
  <c r="G38" i="25"/>
  <c r="E38" i="25"/>
  <c r="AN570" i="12"/>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F590" i="12" s="1"/>
  <c r="AN576" i="9"/>
  <c r="AO576" i="9" s="1"/>
  <c r="AK585" i="12"/>
  <c r="AL575" i="9"/>
  <c r="AK575" i="9" s="1"/>
  <c r="AL585" i="9"/>
  <c r="AK576" i="9"/>
  <c r="F74" i="8"/>
  <c r="H74" i="8" s="1"/>
  <c r="C81" i="8"/>
  <c r="AF575" i="9"/>
  <c r="AF585" i="9"/>
  <c r="AF591"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91" i="9"/>
  <c r="AN585" i="12"/>
  <c r="AO585" i="12" s="1"/>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40" i="22" l="1"/>
  <c r="W41" i="22" s="1"/>
  <c r="Q25" i="22"/>
  <c r="N25" i="22"/>
  <c r="O41" i="22" l="1"/>
  <c r="P40" i="22" s="1"/>
  <c r="N40" i="22"/>
  <c r="O43" i="22"/>
  <c r="Q40" i="22"/>
  <c r="Q41" i="22" s="1"/>
  <c r="V40"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<sst xmlns="http://schemas.openxmlformats.org/spreadsheetml/2006/main" count="23887" uniqueCount="3387">
  <si>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</si>
  <si>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</si>
  <si>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</si>
  <si>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</si>
  <si>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</si>
  <si>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</si>
  <si>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</si>
  <si>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</si>
  <si>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</si>
  <si>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</si>
  <si>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</si>
  <si>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</si>
  <si>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</si>
  <si>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</si>
  <si>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</si>
  <si>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</si>
  <si>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</si>
  <si>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</si>
  <si>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</si>
  <si>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</si>
  <si>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</si>
  <si>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</si>
  <si>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</si>
  <si>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</si>
  <si>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</si>
  <si>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</si>
  <si>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</si>
  <si>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</si>
  <si>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</si>
  <si>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</si>
  <si>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</si>
  <si>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</si>
  <si>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</si>
  <si>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</si>
  <si>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</si>
  <si>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</si>
  <si>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</si>
  <si>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</si>
  <si>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</si>
  <si>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</si>
  <si>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</si>
  <si>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</si>
  <si>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</si>
  <si>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</si>
  <si>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</si>
  <si>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</si>
  <si>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</si>
  <si>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</si>
  <si>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</si>
  <si>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</si>
  <si>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</si>
  <si>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</si>
  <si>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</si>
  <si>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</si>
  <si>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</si>
  <si>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</si>
  <si>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</si>
  <si>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</si>
  <si>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</si>
  <si>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</si>
  <si>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</si>
  <si>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</si>
  <si>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</si>
  <si>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</si>
  <si>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</si>
  <si>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</si>
  <si>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</si>
  <si>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</si>
  <si>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</si>
  <si>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</si>
  <si>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</si>
  <si>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</si>
  <si>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</si>
  <si>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</si>
  <si>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</si>
  <si>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</si>
  <si>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</si>
  <si>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</si>
  <si>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</si>
  <si>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</si>
  <si>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</si>
  <si>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</si>
  <si>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</si>
  <si>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</si>
  <si>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</si>
  <si>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</si>
  <si>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</si>
  <si>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</si>
  <si>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</si>
  <si>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</si>
  <si>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</si>
  <si>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</si>
  <si>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</si>
  <si>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</si>
  <si>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</si>
  <si>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</si>
  <si>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</si>
  <si>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</si>
  <si>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</si>
  <si>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</si>
  <si>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</si>
  <si>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</si>
  <si>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</si>
  <si>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</si>
  <si>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</si>
  <si>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</si>
  <si>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</si>
  <si>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</si>
  <si>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</si>
  <si>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</si>
  <si>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</si>
  <si>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</si>
  <si>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</si>
  <si>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</si>
  <si>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</si>
  <si>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</si>
  <si>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</si>
  <si>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</si>
  <si>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</si>
  <si>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</si>
  <si>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</si>
  <si>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</si>
  <si>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</si>
  <si>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</si>
  <si>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</si>
  <si>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</si>
  <si>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</si>
  <si>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</si>
  <si>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</si>
  <si>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</si>
  <si>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</si>
  <si>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</si>
  <si>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</si>
  <si>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</si>
  <si>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</si>
  <si>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</si>
  <si>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</si>
  <si>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</si>
  <si>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</si>
  <si>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</si>
  <si>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</si>
  <si>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</si>
  <si>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</si>
  <si>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</si>
  <si>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</si>
  <si>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</si>
  <si>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</si>
  <si>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</si>
  <si>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</si>
  <si>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</si>
  <si>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</si>
  <si>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</si>
  <si>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</si>
  <si>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</si>
  <si>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</si>
  <si>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</si>
  <si>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</si>
  <si>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</si>
  <si>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</si>
  <si>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</si>
  <si>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</si>
  <si>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</si>
  <si>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</si>
  <si>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</si>
  <si>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</si>
  <si>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</si>
  <si>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</si>
  <si>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</si>
  <si>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</si>
  <si>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</si>
  <si>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</si>
  <si>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</si>
  <si>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</si>
  <si>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</si>
  <si>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</si>
  <si>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</si>
  <si>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</si>
  <si>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</si>
  <si>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</si>
  <si>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</si>
  <si>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</si>
  <si>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</si>
  <si>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</si>
  <si>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</si>
  <si>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</si>
  <si>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</si>
  <si>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</si>
  <si>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</si>
  <si>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</si>
  <si>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</si>
  <si>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</si>
  <si>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</si>
  <si>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</si>
  <si>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</si>
  <si>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</si>
  <si>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</si>
  <si>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</si>
  <si>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</si>
  <si>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</si>
  <si>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</si>
  <si>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</si>
  <si>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</si>
  <si>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</si>
  <si>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</si>
  <si>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</si>
  <si>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</si>
  <si>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</si>
  <si>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</si>
  <si>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</si>
  <si>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</si>
  <si>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</si>
  <si>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</si>
  <si>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</si>
  <si>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</si>
  <si>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</si>
  <si>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</si>
  <si>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</si>
  <si>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</si>
  <si>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</si>
  <si>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</si>
  <si>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</si>
  <si>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</si>
  <si>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</si>
  <si>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</si>
  <si>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</si>
  <si>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</si>
  <si>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</si>
  <si>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</si>
  <si>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</si>
  <si>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</si>
  <si>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</si>
  <si>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</si>
  <si>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</si>
  <si>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</si>
  <si>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</si>
  <si>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</si>
  <si>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</si>
  <si>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</si>
  <si>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</si>
  <si>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</si>
  <si>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</si>
  <si>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</si>
  <si>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</si>
  <si>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</si>
  <si>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</si>
  <si>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</si>
  <si>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</si>
  <si>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</si>
  <si>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</si>
  <si>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</si>
  <si>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</si>
  <si>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</si>
  <si>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</si>
  <si>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</si>
  <si>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</si>
  <si>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</si>
  <si>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</si>
  <si>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</si>
  <si>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</si>
  <si>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</si>
  <si>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</si>
  <si>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</si>
  <si>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</si>
  <si>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</si>
  <si>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</si>
  <si>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</si>
  <si>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</si>
  <si>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</si>
  <si>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</si>
  <si>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</si>
  <si>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</si>
  <si>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</si>
  <si>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</si>
  <si>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</si>
  <si>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</si>
  <si>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</si>
  <si>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</si>
  <si>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</si>
  <si>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</si>
  <si>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</si>
  <si>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</si>
  <si>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</si>
  <si>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</si>
  <si>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</si>
  <si>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</si>
  <si>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</si>
  <si>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</si>
  <si>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</si>
  <si>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</si>
  <si>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</si>
  <si>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</si>
  <si>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</si>
  <si>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</si>
  <si>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</si>
  <si>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</si>
  <si>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</si>
  <si>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</si>
  <si>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</si>
  <si>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</si>
  <si>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</si>
  <si>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</si>
  <si>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</si>
  <si>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</si>
  <si>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</si>
  <si>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</si>
  <si>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</si>
  <si>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</si>
  <si>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</si>
  <si>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</si>
  <si>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</si>
  <si>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</si>
  <si>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</si>
  <si>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</si>
  <si>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</si>
  <si>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</si>
  <si>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</si>
  <si>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</si>
  <si>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</si>
  <si>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</si>
  <si>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</si>
  <si>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</si>
  <si>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</si>
  <si>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</si>
  <si>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</si>
  <si>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</si>
  <si>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</si>
  <si>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</si>
  <si>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</si>
  <si>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</si>
  <si>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</si>
  <si>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</si>
  <si>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</si>
  <si>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</si>
  <si>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</si>
  <si>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</si>
  <si>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</si>
  <si>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</si>
  <si>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</si>
  <si>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</si>
  <si>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</si>
  <si>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</si>
  <si>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</si>
  <si>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</si>
  <si>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</si>
  <si>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</si>
  <si>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</si>
  <si>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</si>
  <si>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</si>
  <si>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</si>
  <si>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</si>
  <si>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</si>
  <si>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</si>
  <si>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</si>
  <si>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</si>
  <si>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</si>
  <si>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</si>
  <si>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</si>
  <si>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</si>
  <si>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</si>
  <si>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</si>
  <si>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</si>
  <si>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</si>
  <si>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</si>
  <si>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</si>
  <si>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</si>
  <si>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</si>
  <si>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</si>
  <si>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</si>
  <si>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</si>
  <si>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</si>
  <si>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</si>
  <si>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</si>
  <si>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</si>
  <si>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</si>
  <si>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</si>
  <si>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</si>
  <si>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</si>
  <si>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</si>
  <si>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</si>
  <si>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</si>
  <si>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</si>
  <si>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</si>
  <si>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</si>
  <si>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</si>
  <si>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</si>
  <si>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</si>
  <si>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</si>
  <si>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</si>
  <si>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</si>
  <si>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</si>
  <si>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</si>
  <si>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</si>
  <si>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</si>
  <si>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</si>
  <si>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</si>
  <si>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</si>
  <si>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</si>
  <si>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</si>
  <si>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</si>
  <si>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</si>
  <si>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</si>
  <si>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</si>
  <si>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</si>
  <si>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</si>
  <si>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</si>
  <si>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</si>
  <si>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</si>
  <si>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</si>
  <si>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</si>
  <si>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</si>
  <si>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</si>
  <si>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</si>
  <si>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</si>
  <si>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</si>
  <si>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</si>
  <si>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</si>
  <si>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</si>
  <si>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</si>
  <si>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</si>
  <si>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</si>
  <si>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</si>
  <si>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</si>
  <si>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</si>
  <si>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</si>
  <si>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</si>
  <si>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</si>
  <si>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</si>
  <si>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</si>
  <si>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</si>
  <si>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</si>
  <si>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</si>
  <si>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</si>
  <si>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</si>
  <si>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</si>
  <si>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</si>
  <si>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</si>
  <si>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</si>
  <si>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</si>
  <si>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</si>
  <si>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</si>
  <si>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</si>
  <si>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</si>
  <si>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</si>
  <si>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</si>
  <si>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</si>
  <si>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</si>
  <si>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</si>
  <si>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</si>
  <si>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</si>
  <si>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</si>
  <si>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</si>
  <si>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</si>
  <si>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</si>
  <si>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</si>
  <si>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</si>
  <si>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</si>
  <si>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</si>
  <si>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</si>
  <si>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</si>
  <si>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</si>
  <si>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</si>
  <si>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</si>
  <si>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</si>
  <si>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</si>
  <si>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</si>
  <si>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</si>
  <si>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</si>
  <si>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</si>
  <si>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</si>
  <si>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</si>
  <si>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</si>
  <si>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</si>
  <si>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</si>
  <si>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</si>
  <si>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</si>
  <si>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</si>
  <si>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</si>
  <si>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</si>
  <si>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</si>
  <si>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</si>
  <si>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</si>
  <si>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</si>
  <si>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</si>
  <si>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</si>
  <si>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</si>
  <si>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</si>
  <si>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</si>
  <si>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</si>
  <si>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</si>
  <si>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</si>
  <si>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</si>
  <si>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</si>
  <si>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</si>
  <si>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</si>
  <si>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</si>
  <si>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</si>
  <si>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</si>
  <si>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</si>
  <si>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</si>
  <si>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</si>
  <si>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</si>
  <si>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</si>
  <si>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</si>
  <si>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</si>
  <si>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</si>
  <si>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</si>
  <si>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</si>
  <si>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</si>
  <si>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</si>
  <si>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</si>
  <si>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</si>
  <si>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</si>
  <si>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</si>
  <si>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</si>
  <si>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</si>
  <si>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</si>
  <si>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</si>
  <si>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</si>
  <si>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</si>
  <si>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</si>
  <si>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</si>
  <si>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</si>
  <si>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</si>
  <si>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</si>
  <si>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</si>
  <si>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</si>
  <si>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</si>
  <si>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</si>
  <si>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</si>
  <si>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</si>
  <si>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</si>
  <si>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</si>
  <si>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</si>
  <si>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</si>
  <si>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</si>
  <si>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</si>
  <si>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</si>
  <si>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</si>
  <si>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</si>
  <si>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</si>
  <si>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</si>
  <si>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</si>
  <si>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</si>
  <si>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</si>
  <si>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</si>
  <si>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</si>
  <si>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</si>
  <si>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</si>
  <si>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</si>
  <si>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</si>
  <si>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</si>
  <si>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</si>
  <si>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</si>
  <si>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</si>
  <si>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</si>
  <si>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</si>
  <si>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</si>
  <si>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</si>
  <si>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</si>
  <si>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</si>
  <si>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</si>
  <si>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</si>
  <si>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</si>
  <si>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</si>
  <si>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</si>
  <si>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</si>
  <si>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</si>
  <si>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</si>
  <si>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</si>
  <si>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</si>
  <si>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</si>
  <si>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</si>
  <si>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</si>
  <si>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</si>
  <si>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</si>
  <si>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</si>
  <si>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</si>
  <si>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</si>
  <si>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</si>
  <si>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</si>
  <si>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</si>
  <si>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</si>
  <si>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</si>
  <si>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</si>
  <si>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</si>
  <si>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</si>
  <si>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</si>
  <si>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</si>
  <si>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</si>
  <si>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</si>
  <si>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</si>
  <si>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</si>
  <si>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</si>
  <si>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</si>
  <si>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</si>
  <si>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</si>
  <si>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</si>
  <si>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</si>
  <si>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</si>
  <si>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</si>
  <si>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</si>
  <si>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</si>
  <si>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</si>
  <si>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</si>
  <si>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</si>
  <si>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</si>
  <si>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</si>
  <si>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</si>
  <si>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</si>
  <si>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</si>
  <si>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</si>
  <si>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</si>
  <si>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</si>
  <si>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</si>
  <si>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</si>
  <si>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</si>
  <si>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</si>
  <si>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</si>
  <si>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</si>
  <si>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</si>
  <si>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</si>
  <si>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</si>
  <si>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</si>
  <si>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</si>
  <si>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</si>
  <si>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</si>
  <si>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</si>
  <si>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</si>
  <si>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</si>
  <si>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</si>
  <si>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</si>
  <si>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</si>
  <si>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</si>
  <si>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</si>
  <si>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</si>
  <si>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</si>
  <si>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</si>
  <si>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</si>
  <si>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</si>
  <si>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</si>
  <si>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</si>
  <si>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</si>
  <si>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</si>
  <si>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</si>
  <si>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</si>
  <si>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</si>
  <si>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</si>
  <si>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</si>
  <si>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</si>
  <si>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</si>
  <si>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</si>
  <si>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</si>
  <si>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</si>
  <si>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</si>
  <si>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</si>
  <si>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</si>
  <si>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</si>
  <si>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</si>
  <si>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</si>
  <si>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</si>
  <si>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</si>
  <si>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</si>
  <si>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</si>
  <si>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</si>
  <si>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</si>
  <si>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</si>
  <si>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</si>
  <si>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</si>
  <si>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</si>
  <si>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</si>
  <si>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</si>
  <si>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</si>
  <si>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</si>
  <si>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</si>
  <si>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</si>
  <si>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</si>
  <si>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</si>
  <si>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</si>
  <si>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</si>
  <si>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</si>
  <si>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</si>
  <si>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</si>
  <si>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</si>
  <si>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</si>
  <si>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</si>
  <si>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</si>
  <si>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</si>
  <si>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</si>
  <si>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</si>
  <si>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</si>
  <si>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</si>
  <si>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</si>
  <si>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</si>
  <si>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</si>
  <si>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</si>
  <si>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</si>
  <si>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</si>
  <si>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</si>
  <si>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</si>
  <si>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</si>
  <si>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</si>
  <si>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</si>
  <si>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</si>
  <si>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</si>
  <si>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</si>
  <si>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</si>
  <si>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</si>
  <si>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</si>
  <si>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</si>
  <si>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</si>
  <si>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</si>
  <si>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</si>
  <si>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</si>
  <si>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</si>
  <si>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</si>
  <si>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</si>
  <si>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</si>
  <si>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</si>
  <si>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</si>
  <si>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</si>
  <si>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</si>
  <si>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</si>
  <si>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</si>
  <si>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</si>
  <si>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</si>
  <si>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</si>
  <si>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</si>
  <si>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</si>
  <si>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</si>
  <si>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</si>
  <si>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</si>
  <si>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</si>
  <si>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</si>
  <si>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</si>
  <si>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</si>
  <si>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</si>
  <si>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</si>
  <si>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</si>
  <si>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</si>
  <si>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</si>
  <si>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</si>
  <si>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</si>
  <si>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</si>
  <si>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</si>
  <si>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</si>
  <si>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</si>
  <si>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</si>
  <si>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</si>
  <si>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</si>
  <si>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</si>
  <si>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</si>
  <si>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</si>
  <si>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</si>
  <si>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</si>
  <si>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</si>
  <si>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</si>
  <si>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</si>
  <si>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</si>
  <si>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</si>
  <si>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</si>
  <si>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</si>
  <si>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</si>
  <si>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</si>
  <si>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</si>
  <si>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</si>
  <si>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</si>
  <si>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</si>
  <si>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</si>
  <si>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</si>
  <si>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</si>
  <si>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</si>
  <si>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</si>
  <si>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</si>
  <si>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</si>
  <si>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</si>
  <si>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</si>
  <si>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</si>
  <si>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</si>
  <si>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</si>
  <si>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</si>
  <si>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</si>
  <si>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</si>
  <si>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</si>
  <si>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</si>
  <si>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</si>
  <si>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</si>
  <si>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</si>
  <si>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</si>
  <si>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</si>
  <si>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</si>
  <si>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</si>
  <si>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</si>
  <si>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</si>
  <si>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</si>
  <si>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</si>
  <si>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</si>
  <si>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</si>
  <si>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</si>
  <si>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</si>
  <si>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</si>
  <si>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</si>
  <si>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</si>
  <si>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</si>
  <si>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</si>
  <si>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</si>
  <si>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</si>
  <si>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</si>
  <si>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</si>
  <si>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</si>
  <si>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</si>
  <si>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</si>
  <si>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</si>
  <si>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</si>
  <si>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</si>
  <si>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</si>
  <si>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</si>
  <si>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</si>
  <si>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</si>
  <si>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</si>
  <si>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</si>
  <si>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</si>
  <si>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</si>
  <si>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</si>
  <si>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</si>
  <si>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</si>
  <si>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</si>
  <si>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</si>
  <si>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</si>
  <si>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</si>
  <si>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</si>
  <si>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</si>
  <si>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</si>
  <si>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</si>
  <si>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</si>
  <si>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</si>
  <si>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</si>
  <si>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</si>
  <si>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</si>
  <si>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</si>
  <si>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</si>
  <si>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</si>
  <si>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</si>
  <si>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</si>
  <si>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</si>
  <si>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</si>
  <si>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</si>
  <si>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</si>
  <si>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</si>
  <si>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</si>
  <si>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</si>
  <si>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</si>
  <si>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</si>
  <si>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</si>
  <si>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</si>
  <si>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</si>
  <si>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</si>
  <si>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</si>
  <si>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</si>
  <si>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</si>
  <si>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</si>
  <si>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</si>
  <si>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</si>
  <si>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</si>
  <si>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</si>
  <si>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</si>
  <si>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</si>
  <si>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</si>
  <si>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</si>
  <si>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</si>
  <si>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</si>
  <si>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</si>
  <si>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</si>
  <si>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</si>
  <si>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</si>
  <si>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</si>
  <si>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</si>
  <si>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</si>
  <si>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</si>
  <si>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</si>
  <si>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</si>
  <si>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</si>
  <si>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</si>
  <si>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</si>
  <si>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</si>
  <si>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</si>
  <si>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</si>
  <si>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</si>
  <si>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</si>
  <si>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</si>
  <si>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</si>
  <si>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</si>
  <si>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</si>
  <si>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</si>
  <si>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</si>
  <si>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</si>
  <si>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</si>
  <si>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</si>
  <si>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</si>
  <si>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</si>
  <si>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</si>
  <si>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</si>
  <si>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</si>
  <si>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</si>
  <si>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</si>
  <si>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</si>
  <si>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</si>
  <si>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</si>
  <si>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</si>
  <si>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</si>
  <si>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</si>
  <si>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</si>
  <si>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</si>
  <si>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</si>
  <si>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</si>
  <si>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</si>
  <si>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</si>
  <si>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</si>
  <si>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</si>
  <si>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</si>
  <si>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</si>
  <si>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</si>
  <si>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</si>
  <si>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</si>
  <si>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</si>
  <si>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</si>
  <si>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</si>
  <si>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</si>
  <si>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</si>
  <si>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</si>
  <si>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</si>
  <si>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</si>
  <si>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</si>
  <si>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</si>
  <si>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</si>
  <si>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</si>
  <si>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</si>
  <si>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</si>
  <si>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</si>
  <si>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</si>
  <si>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</si>
  <si>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</si>
  <si>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</si>
  <si>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</si>
  <si>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</si>
  <si>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</si>
  <si>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</si>
  <si>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</si>
  <si>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</si>
  <si>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</si>
  <si>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</si>
  <si>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</si>
  <si>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</si>
  <si>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</si>
  <si>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</si>
  <si>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</si>
  <si>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</si>
  <si>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</si>
  <si>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</si>
  <si>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</si>
  <si>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</si>
  <si>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</si>
  <si>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</si>
  <si>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</si>
  <si>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</si>
  <si>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</si>
  <si>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</si>
  <si>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</si>
  <si>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</si>
  <si>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</si>
  <si>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</si>
  <si>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</si>
  <si>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</si>
  <si>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</si>
  <si>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</si>
  <si>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</si>
  <si>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</si>
  <si>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</si>
  <si>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</si>
  <si>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</si>
  <si>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</si>
  <si>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</si>
  <si>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</si>
  <si>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</si>
  <si>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</si>
  <si>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</si>
  <si>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</si>
  <si>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</si>
  <si>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</si>
  <si>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</si>
  <si>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</si>
  <si>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</si>
  <si>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</si>
  <si>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</si>
  <si>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</si>
  <si>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</si>
  <si>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</si>
  <si>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</si>
  <si>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</si>
  <si>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</si>
  <si>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</si>
  <si>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</si>
  <si>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</si>
  <si>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</si>
  <si>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</si>
  <si>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</si>
  <si>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</si>
  <si>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</si>
  <si>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</si>
  <si>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</si>
  <si>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</si>
  <si>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</si>
  <si>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</si>
  <si>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</si>
  <si>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</si>
  <si>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</si>
  <si>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</si>
  <si>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</si>
  <si>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</si>
  <si>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</si>
  <si>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</si>
  <si>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</si>
  <si>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</si>
  <si>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</si>
  <si>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</si>
  <si>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</si>
  <si>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</si>
  <si>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</si>
  <si>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</si>
  <si>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</si>
  <si>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</si>
  <si>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</si>
  <si>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</si>
  <si>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</si>
  <si>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</si>
  <si>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</si>
  <si>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</si>
  <si>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</si>
  <si>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</si>
  <si>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</si>
  <si>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</si>
  <si>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</si>
  <si>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</si>
  <si>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</si>
  <si>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</si>
  <si>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</si>
  <si>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</si>
  <si>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</si>
  <si>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</si>
  <si>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</si>
  <si>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</si>
  <si>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</si>
  <si>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</si>
  <si>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</si>
  <si>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</si>
  <si>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</si>
  <si>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</si>
  <si>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</si>
  <si>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</si>
  <si>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</si>
  <si>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</si>
  <si>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</si>
  <si>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</si>
  <si>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</si>
  <si>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</si>
  <si>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</si>
  <si>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</si>
  <si>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</si>
  <si>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</si>
  <si>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</si>
  <si>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</si>
  <si>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</si>
  <si>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</si>
  <si>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</si>
  <si>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</si>
  <si>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</si>
  <si>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</si>
  <si>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</si>
  <si>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</si>
  <si>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</si>
  <si>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</si>
  <si>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</si>
  <si>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</si>
  <si>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</si>
  <si>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</si>
  <si>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</si>
  <si>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</si>
  <si>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</si>
  <si>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</si>
  <si>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</si>
  <si>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</si>
  <si>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</si>
  <si>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</si>
  <si>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</si>
  <si>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</si>
  <si>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</si>
  <si>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</si>
  <si>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</si>
  <si>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</si>
  <si>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</si>
  <si>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</si>
  <si>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</si>
  <si>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</si>
  <si>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</si>
  <si>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</si>
  <si>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</si>
  <si>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</si>
  <si>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</si>
  <si>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</si>
  <si>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</si>
  <si>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</si>
  <si>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</si>
  <si>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</si>
  <si>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</si>
  <si>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</si>
  <si>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</si>
  <si>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</si>
  <si>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</si>
  <si>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</si>
  <si>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</si>
  <si>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</si>
  <si>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</si>
  <si>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</si>
  <si>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</si>
  <si>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</si>
  <si>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</si>
  <si>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</si>
  <si>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</si>
  <si>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</si>
  <si>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</si>
  <si>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</si>
  <si>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</si>
  <si>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</si>
  <si>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</si>
  <si>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</si>
  <si>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</si>
  <si>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</si>
  <si>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</si>
  <si>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</si>
  <si>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</si>
  <si>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</si>
  <si>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</si>
  <si>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</si>
  <si>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</si>
  <si>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</si>
  <si>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</si>
  <si>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</si>
  <si>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</si>
  <si>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</si>
  <si>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</si>
  <si>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</si>
  <si>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</si>
  <si>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</si>
  <si>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</si>
  <si>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</si>
  <si>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</si>
  <si>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</si>
  <si>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</si>
  <si>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</si>
  <si>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</si>
  <si>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</si>
  <si>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</si>
  <si>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</si>
  <si>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</si>
  <si>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</si>
  <si>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</si>
  <si>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</si>
  <si>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</si>
  <si>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</si>
  <si>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</si>
  <si>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</si>
  <si>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</si>
  <si>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</si>
  <si>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</si>
  <si>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</si>
  <si>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</si>
  <si>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</si>
  <si>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</si>
  <si>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</si>
  <si>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</si>
  <si>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</si>
  <si>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</si>
  <si>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</si>
  <si>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</si>
  <si>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</si>
  <si>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</si>
  <si>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</si>
  <si>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</si>
  <si>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</si>
  <si>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</si>
  <si>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</si>
  <si>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</si>
  <si>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</si>
  <si>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</si>
  <si>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</si>
  <si>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</si>
  <si>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</si>
  <si>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</si>
  <si>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</si>
  <si>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SALAIRE PROP. NEUF/USAGE</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</si>
  <si>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</si>
  <si>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</si>
  <si>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</si>
  <si>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</si>
  <si>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</si>
  <si>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</si>
  <si>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</si>
  <si>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</si>
  <si>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</si>
  <si>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</si>
  <si>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</si>
  <si>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</si>
  <si>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</si>
  <si>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</si>
  <si>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</si>
  <si>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</si>
  <si>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</si>
  <si>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</si>
  <si>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</si>
  <si>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</si>
  <si>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</si>
  <si>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</si>
  <si>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</si>
  <si>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</si>
  <si>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</si>
  <si>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</si>
  <si>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</si>
  <si>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</si>
  <si>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</si>
  <si>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</si>
  <si>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</si>
  <si>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</si>
  <si>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</si>
  <si>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</si>
  <si>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</si>
  <si>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</si>
  <si>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</si>
  <si>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</si>
  <si>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</si>
  <si>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</si>
  <si>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</si>
  <si>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</si>
  <si>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</si>
  <si>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</si>
  <si>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</si>
  <si>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</si>
  <si>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</si>
  <si>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</si>
  <si>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</si>
  <si>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</si>
  <si>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</si>
  <si>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</si>
  <si>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</si>
  <si>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</si>
  <si>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</si>
  <si>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</si>
  <si>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</si>
  <si>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</si>
  <si>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</si>
  <si>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</si>
  <si>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</si>
  <si>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</si>
  <si>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</si>
  <si>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</si>
  <si>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</si>
  <si>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</si>
  <si>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</si>
  <si>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</si>
  <si>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</si>
  <si>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</si>
  <si>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</si>
  <si>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</si>
  <si>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</si>
  <si>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</si>
  <si>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</si>
  <si>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</si>
  <si>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</si>
  <si>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</si>
  <si>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</si>
  <si>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</si>
  <si>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</si>
  <si>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</si>
  <si>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</si>
  <si>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</si>
  <si>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</si>
  <si>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</si>
  <si>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</si>
  <si>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</si>
  <si>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</si>
  <si>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</si>
  <si>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</si>
  <si>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</si>
  <si>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</si>
  <si>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</si>
  <si>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AVANTAGES SOCIAUX NEUF/US</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</si>
  <si>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</si>
  <si>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</si>
  <si>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</si>
  <si>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</si>
  <si>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</si>
  <si>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</si>
  <si>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</si>
  <si>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</si>
  <si>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</si>
  <si>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</si>
  <si>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</si>
  <si>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</si>
  <si>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</si>
  <si>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</si>
  <si>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</si>
  <si>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</si>
  <si>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</si>
  <si>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</si>
  <si>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</si>
  <si>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</si>
  <si>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</si>
  <si>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</si>
  <si>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</si>
  <si>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</si>
  <si>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</si>
  <si>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</si>
  <si>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</si>
  <si>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</si>
  <si>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</si>
  <si>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</si>
  <si>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</si>
  <si>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</si>
  <si>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</si>
  <si>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</si>
  <si>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</si>
  <si>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</si>
  <si>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</si>
  <si>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</si>
  <si>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</si>
  <si>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</si>
  <si>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</si>
  <si>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</si>
  <si>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</si>
  <si>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</si>
  <si>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</si>
  <si>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</si>
  <si>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</si>
  <si>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</si>
  <si>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</si>
  <si>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</si>
  <si>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</si>
  <si>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</si>
  <si>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</si>
  <si>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</si>
  <si>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</si>
  <si>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</si>
  <si>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</si>
  <si>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</si>
  <si>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</si>
  <si>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</si>
  <si>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</si>
  <si>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</si>
  <si>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</si>
  <si>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</si>
  <si>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</si>
  <si>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</si>
  <si>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</si>
  <si>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</si>
  <si>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</si>
  <si>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</si>
  <si>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</si>
  <si>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</si>
  <si>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</si>
  <si>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</si>
  <si>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</si>
  <si>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</si>
  <si>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</si>
  <si>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</si>
  <si>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</si>
  <si>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</si>
  <si>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</si>
  <si>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</si>
  <si>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</si>
  <si>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</si>
  <si>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</si>
  <si>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</si>
  <si>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</si>
  <si>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</si>
  <si>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</si>
  <si>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</si>
  <si>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</si>
  <si>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</si>
  <si>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</si>
  <si>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</si>
  <si>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</si>
  <si>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</si>
  <si>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</si>
  <si>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</si>
  <si>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</si>
  <si>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</si>
  <si>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</si>
  <si>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</si>
  <si>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</si>
  <si>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</si>
  <si>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</si>
  <si>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</si>
  <si>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</si>
  <si>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</si>
  <si>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</si>
  <si>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</si>
  <si>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</si>
  <si>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</si>
  <si>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</si>
  <si>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</si>
  <si>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</si>
  <si>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</si>
  <si>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</si>
  <si>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</si>
  <si>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</si>
  <si>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</si>
  <si>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</si>
  <si>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</si>
  <si>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</si>
  <si>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</si>
  <si>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</si>
  <si>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</si>
  <si>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</si>
  <si>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</si>
  <si>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</si>
  <si>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</si>
  <si>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</si>
  <si>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</si>
  <si>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</si>
  <si>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</si>
  <si>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</si>
  <si>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</si>
  <si>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</si>
  <si>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</si>
  <si>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</si>
  <si>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</si>
  <si>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</si>
  <si>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</si>
  <si>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</si>
  <si>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</si>
  <si>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</si>
  <si>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</si>
  <si>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</si>
  <si>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</si>
  <si>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</si>
  <si>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</si>
  <si>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</si>
  <si>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</si>
  <si>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</si>
  <si>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</si>
  <si>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</si>
  <si>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</si>
  <si>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</si>
  <si>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</si>
  <si>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</si>
  <si>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</si>
  <si>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</si>
  <si>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</si>
  <si>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</si>
  <si>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</si>
  <si>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</si>
  <si>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</si>
  <si>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</si>
  <si>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</si>
  <si>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</si>
  <si>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</si>
  <si>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</si>
  <si>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</si>
  <si>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</si>
  <si>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</si>
  <si>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</si>
  <si>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</si>
  <si>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</si>
  <si>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</si>
  <si>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</si>
  <si>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</si>
  <si>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</si>
  <si>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</si>
  <si>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</si>
  <si>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</si>
  <si>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</si>
  <si>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</si>
  <si>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</si>
  <si>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</si>
  <si>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</si>
  <si>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</si>
  <si>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</si>
  <si>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</si>
  <si>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</si>
  <si>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</si>
  <si>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</si>
  <si>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</si>
  <si>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</si>
  <si>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</si>
  <si>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</si>
  <si>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</si>
  <si>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</si>
  <si>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</si>
  <si>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</si>
  <si>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</si>
  <si>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</si>
  <si>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</si>
  <si>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</si>
  <si>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</si>
  <si>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</si>
  <si>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</si>
  <si>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</si>
  <si>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</si>
  <si>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</si>
  <si>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</si>
  <si>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</si>
  <si>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</si>
  <si>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</si>
  <si>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</si>
  <si>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</si>
  <si>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</si>
  <si>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</si>
  <si>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</si>
  <si>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</si>
  <si>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</si>
  <si>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</si>
  <si>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</si>
  <si>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</si>
  <si>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</si>
  <si>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</si>
  <si>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</si>
  <si>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</si>
  <si>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</si>
  <si>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</si>
  <si>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</si>
  <si>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</si>
  <si>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</si>
  <si>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</si>
  <si>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</si>
  <si>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</si>
  <si>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</si>
  <si>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</si>
  <si>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</si>
  <si>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</si>
  <si>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</si>
  <si>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</si>
  <si>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</si>
  <si>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</si>
  <si>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</si>
  <si>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</si>
  <si>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</si>
  <si>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</si>
  <si>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</si>
  <si>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</si>
  <si>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</si>
  <si>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</si>
  <si>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</si>
  <si>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</si>
  <si>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</si>
  <si>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</si>
  <si>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</si>
  <si>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</si>
  <si>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</si>
  <si>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</si>
  <si>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</si>
  <si>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</si>
  <si>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</si>
  <si>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</si>
  <si>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</si>
  <si>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</si>
  <si>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</si>
  <si>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</si>
  <si>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</si>
  <si>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</si>
  <si>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</si>
  <si>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</si>
  <si>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</si>
  <si>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</si>
  <si>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</si>
  <si>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</si>
  <si>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</si>
  <si>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</si>
  <si>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</si>
  <si>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</si>
  <si>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</si>
  <si>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</si>
  <si>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</si>
  <si>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</si>
  <si>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</si>
  <si>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</si>
  <si>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</si>
  <si>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</si>
  <si>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</si>
  <si>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</si>
  <si>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</si>
  <si>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</si>
  <si>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</si>
  <si>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</si>
  <si>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</si>
  <si>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</si>
  <si>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</si>
  <si>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</si>
  <si>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</si>
  <si>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</si>
  <si>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</si>
  <si>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</si>
  <si>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</si>
  <si>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</si>
  <si>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</si>
  <si>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</si>
  <si>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</si>
  <si>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</si>
  <si>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</si>
  <si>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</si>
  <si>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</si>
  <si>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</si>
  <si>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</si>
  <si>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</si>
  <si>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</si>
  <si>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</si>
  <si>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</si>
  <si>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</si>
  <si>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</si>
  <si>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</si>
  <si>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</si>
  <si>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</si>
  <si>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</si>
  <si>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</si>
  <si>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</si>
  <si>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</si>
  <si>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</si>
  <si>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</si>
  <si>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</si>
  <si>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</si>
  <si>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</si>
  <si>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</si>
  <si>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</si>
  <si>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</si>
  <si>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</si>
  <si>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</si>
  <si>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</si>
  <si>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</si>
  <si>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</si>
  <si>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</si>
  <si>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</si>
  <si>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</si>
  <si>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</si>
  <si>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</si>
  <si>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</si>
  <si>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</si>
  <si>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</si>
  <si>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</si>
  <si>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</si>
  <si>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</si>
  <si>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</si>
  <si>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</si>
  <si>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</si>
  <si>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</si>
  <si>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</si>
  <si>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</si>
  <si>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</si>
  <si>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</si>
  <si>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</si>
  <si>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</si>
  <si>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</si>
  <si>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</si>
  <si>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</si>
  <si>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</si>
  <si>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</si>
  <si>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</si>
  <si>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</si>
  <si>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</si>
  <si>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</si>
  <si>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</si>
  <si>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</si>
  <si>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</si>
  <si>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</si>
  <si>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</si>
  <si>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</si>
  <si>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</si>
  <si>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</si>
  <si>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</si>
  <si>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</si>
  <si>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</si>
  <si>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</si>
  <si>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</si>
  <si>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</si>
  <si>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</si>
  <si>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</si>
  <si>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</si>
  <si>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</si>
  <si>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</si>
  <si>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</si>
  <si>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</si>
  <si>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</si>
  <si>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</si>
  <si>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</si>
  <si>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</si>
  <si>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</si>
  <si>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</si>
  <si>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</si>
  <si>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</si>
  <si>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</si>
  <si>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</si>
  <si>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</si>
  <si>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</si>
  <si>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</si>
  <si>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</si>
  <si>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</si>
  <si>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</si>
  <si>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</si>
  <si>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</si>
  <si>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</si>
  <si>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</si>
  <si>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</si>
  <si>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</si>
  <si>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</si>
  <si>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</si>
  <si>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</si>
  <si>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</si>
  <si>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</si>
  <si>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</si>
  <si>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</si>
  <si>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</si>
  <si>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</si>
  <si>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</si>
  <si>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</si>
  <si>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</si>
  <si>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</si>
  <si>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</si>
  <si>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</si>
  <si>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</si>
  <si>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</si>
  <si>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</si>
  <si>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</si>
  <si>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</si>
  <si>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</si>
  <si>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</si>
  <si>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</si>
  <si>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</si>
  <si>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</si>
  <si>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</si>
  <si>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</si>
  <si>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</si>
  <si>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</si>
  <si>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</si>
  <si>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</si>
  <si>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</si>
  <si>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</si>
  <si>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</si>
  <si>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</si>
  <si>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</si>
  <si>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</si>
  <si>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</si>
  <si>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</si>
  <si>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</si>
  <si>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</si>
  <si>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</si>
  <si>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</si>
  <si>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</si>
  <si>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</si>
  <si>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</si>
  <si>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</si>
  <si>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</si>
  <si>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</si>
  <si>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</si>
  <si>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</si>
  <si>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</si>
  <si>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</si>
  <si>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</si>
  <si>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</si>
  <si>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</si>
  <si>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</si>
  <si>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</si>
  <si>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</si>
  <si>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</si>
  <si>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</si>
  <si>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</si>
  <si>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</si>
  <si>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</si>
  <si>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</si>
  <si>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</si>
  <si>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</si>
  <si>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</si>
  <si>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</si>
  <si>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</si>
  <si>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</si>
  <si>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</si>
  <si>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</si>
  <si>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</si>
  <si>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</si>
  <si>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</si>
  <si>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</si>
  <si>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</si>
  <si>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</si>
  <si>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</si>
  <si>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</si>
  <si>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</si>
  <si>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</si>
  <si>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</si>
  <si>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</si>
  <si>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</si>
  <si>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</si>
  <si>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</si>
  <si>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</si>
  <si>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</si>
  <si>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</si>
  <si>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</si>
  <si>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</si>
  <si>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</si>
  <si>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</si>
  <si>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</si>
  <si>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</si>
  <si>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</si>
  <si>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</si>
  <si>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</si>
  <si>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</si>
  <si>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</si>
  <si>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</si>
  <si>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</si>
  <si>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</si>
  <si>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</si>
  <si>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</si>
  <si>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</si>
  <si>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</si>
  <si>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</si>
  <si>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</si>
  <si>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</si>
  <si>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</si>
  <si>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</si>
  <si>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</si>
  <si>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</si>
  <si>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</si>
  <si>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</si>
  <si>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</si>
  <si>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</si>
  <si>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</si>
  <si>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</si>
  <si>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</si>
  <si>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</si>
  <si>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</si>
  <si>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</si>
  <si>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</si>
  <si>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</si>
  <si>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</si>
  <si>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</si>
  <si>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</si>
  <si>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</si>
  <si>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</si>
  <si>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</si>
  <si>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</si>
  <si>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</si>
  <si>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</si>
  <si>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</si>
  <si>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</si>
  <si>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</si>
  <si>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</si>
  <si>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</si>
  <si>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</si>
  <si>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</si>
  <si>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</si>
  <si>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</si>
  <si>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</si>
  <si>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</si>
  <si>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</si>
  <si>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</si>
  <si>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</si>
  <si>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</si>
  <si>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</si>
  <si>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</si>
  <si>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</si>
  <si>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</si>
  <si>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</si>
  <si>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</si>
  <si>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</si>
  <si>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</si>
  <si>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</si>
  <si>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</si>
  <si>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</si>
  <si>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</si>
  <si>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</si>
  <si>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</si>
  <si>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</si>
  <si>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</si>
  <si>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</si>
  <si>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</si>
  <si>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</si>
  <si>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</si>
  <si>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</si>
  <si>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</si>
  <si>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</si>
  <si>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</si>
  <si>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</si>
  <si>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</si>
  <si>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</si>
  <si>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</si>
  <si>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</si>
  <si>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</si>
  <si>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</si>
  <si>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</si>
  <si>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</si>
  <si>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</si>
  <si>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</si>
  <si>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</si>
  <si>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</si>
  <si>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</si>
  <si>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</si>
  <si>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</si>
  <si>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</si>
  <si>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</si>
  <si>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</si>
  <si>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</si>
  <si>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</si>
  <si>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</si>
  <si>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</si>
  <si>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</si>
  <si>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</si>
  <si>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</si>
  <si>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</si>
  <si>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</si>
  <si>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</si>
  <si>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</si>
  <si>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</si>
  <si>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</si>
  <si>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</si>
  <si>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</si>
  <si>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</si>
  <si>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</si>
  <si>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</si>
  <si>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</si>
  <si>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</si>
  <si>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</si>
  <si>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</si>
  <si>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</si>
  <si>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</si>
  <si>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</si>
  <si>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</si>
  <si>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</si>
  <si>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</si>
  <si>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</si>
  <si>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</si>
  <si>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</si>
  <si>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</si>
  <si>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</si>
  <si>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</si>
  <si>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</si>
  <si>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</si>
  <si>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</si>
  <si>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</si>
  <si>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</si>
  <si>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</si>
  <si>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</si>
  <si>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</si>
  <si>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</si>
  <si>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</si>
  <si>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</si>
  <si>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</si>
  <si>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</si>
  <si>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</si>
  <si>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</si>
  <si>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</si>
  <si>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</si>
  <si>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</si>
  <si>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</si>
  <si>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</si>
  <si>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</si>
  <si>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</si>
  <si>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</si>
  <si>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</si>
  <si>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</si>
  <si>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</si>
  <si>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</si>
  <si>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</si>
  <si>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</si>
  <si>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</si>
  <si>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</si>
  <si>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</si>
  <si>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</si>
  <si>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</si>
  <si>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</si>
  <si>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</si>
  <si>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</si>
  <si>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</si>
  <si>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</si>
  <si>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</si>
  <si>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</si>
  <si>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</si>
  <si>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</si>
  <si>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</si>
  <si>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</si>
  <si>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</si>
  <si>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</si>
  <si>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</si>
  <si>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</si>
  <si>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</si>
  <si>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</si>
  <si>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</si>
  <si>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</si>
  <si>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</si>
  <si>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</si>
  <si>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</si>
  <si>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</si>
  <si>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</si>
  <si>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</si>
  <si>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</si>
  <si>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</si>
  <si>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</si>
  <si>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</si>
  <si>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</si>
  <si>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</si>
  <si>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</si>
  <si>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</si>
  <si>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</si>
  <si>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</si>
  <si>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</si>
  <si>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</si>
  <si>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</si>
  <si>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</si>
  <si>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</si>
  <si>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</si>
  <si>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</si>
  <si>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</si>
  <si>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</si>
  <si>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</si>
  <si>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</si>
  <si>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</si>
  <si>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</si>
  <si>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</si>
  <si>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</si>
  <si>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</si>
  <si>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</si>
  <si>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</si>
  <si>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</si>
  <si>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</si>
  <si>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</si>
  <si>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</si>
  <si>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</si>
  <si>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</si>
  <si>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</si>
  <si>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</si>
  <si>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</si>
  <si>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</si>
  <si>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</si>
  <si>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</si>
  <si>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</si>
  <si>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</si>
  <si>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</si>
  <si>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</si>
  <si>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</si>
  <si>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</si>
  <si>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</si>
  <si>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</si>
  <si>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</si>
  <si>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</si>
  <si>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</si>
  <si>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</si>
  <si>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</si>
  <si>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</si>
  <si>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</si>
  <si>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</si>
  <si>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</si>
  <si>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</si>
  <si>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</si>
  <si>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</si>
  <si>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</si>
  <si>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</si>
  <si>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</si>
  <si>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</si>
  <si>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</si>
  <si>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</si>
  <si>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</si>
  <si>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</si>
  <si>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</si>
  <si>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</si>
  <si>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</si>
  <si>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</si>
  <si>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</si>
  <si>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</si>
  <si>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</si>
  <si>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</si>
  <si>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</si>
  <si>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</si>
  <si>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</si>
  <si>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</si>
  <si>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</si>
  <si>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</si>
  <si>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</si>
  <si>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</si>
  <si>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</si>
  <si>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</si>
  <si>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</si>
  <si>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</si>
  <si>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</si>
  <si>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</si>
  <si>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</si>
  <si>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</si>
  <si>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</si>
  <si>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</si>
  <si>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</si>
  <si>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</si>
  <si>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</si>
  <si>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</si>
  <si>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</si>
  <si>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</si>
  <si>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</si>
  <si>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</si>
  <si>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</si>
  <si>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</si>
  <si>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</si>
  <si>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</si>
  <si>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</si>
  <si>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</si>
  <si>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</si>
  <si>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</si>
  <si>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</si>
  <si>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</si>
  <si>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</si>
  <si>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</si>
  <si>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</si>
  <si>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</si>
  <si>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</si>
  <si>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</si>
  <si>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</si>
  <si>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</si>
  <si>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</si>
  <si>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</si>
  <si>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</si>
  <si>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</si>
  <si>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</si>
  <si>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</si>
  <si>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</si>
  <si>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</si>
  <si>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</si>
  <si>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</si>
  <si>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</si>
  <si>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</si>
  <si>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</si>
  <si>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</si>
  <si>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</si>
  <si>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</si>
  <si>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</si>
  <si>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</si>
  <si>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</si>
  <si>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</si>
  <si>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</si>
  <si>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</si>
  <si>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</si>
  <si>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</si>
  <si>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</si>
  <si>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</si>
  <si>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</si>
  <si>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</si>
  <si>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</si>
  <si>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</si>
  <si>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</si>
  <si>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</si>
  <si>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</si>
  <si>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</si>
  <si>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</si>
  <si>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</si>
  <si>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</si>
  <si>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</si>
  <si>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</si>
  <si>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</si>
  <si>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</si>
  <si>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</si>
  <si>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</si>
  <si>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</si>
  <si>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</si>
  <si>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</si>
  <si>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</si>
  <si>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</si>
  <si>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</si>
  <si>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</si>
  <si>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</si>
  <si>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</si>
  <si>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</si>
  <si>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</si>
  <si>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</si>
  <si>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</si>
  <si>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</si>
  <si>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</si>
  <si>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</si>
  <si>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</si>
  <si>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</si>
  <si>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</si>
  <si>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</si>
  <si>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</si>
  <si>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</si>
  <si>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</si>
  <si>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</si>
  <si>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</si>
  <si>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</si>
  <si>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</si>
  <si>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</si>
  <si>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</si>
  <si>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</si>
  <si>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</si>
  <si>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</si>
  <si>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</si>
  <si>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</si>
  <si>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</si>
  <si>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</si>
  <si>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</si>
  <si>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</si>
  <si>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</si>
  <si>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</si>
  <si>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</si>
  <si>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</si>
  <si>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</si>
  <si>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</si>
  <si>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</si>
  <si>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</si>
  <si>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</si>
  <si>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</si>
  <si>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</si>
  <si>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</si>
  <si>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</si>
  <si>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</si>
  <si>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</si>
  <si>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</si>
  <si>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</si>
  <si>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</si>
  <si>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</si>
  <si>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</si>
  <si>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</si>
  <si>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</si>
  <si>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</si>
  <si>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</si>
  <si>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</si>
  <si>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</si>
  <si>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</si>
  <si>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</si>
  <si>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</si>
  <si>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</si>
  <si>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</si>
  <si>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</si>
  <si>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</si>
  <si>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</si>
  <si>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</si>
  <si>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</si>
  <si>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</si>
  <si>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</si>
  <si>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</si>
  <si>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</si>
  <si>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</si>
  <si>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</si>
  <si>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</si>
  <si>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</si>
  <si>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</si>
  <si>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</si>
  <si>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</si>
  <si>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</si>
  <si>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</si>
  <si>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</si>
  <si>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</si>
  <si>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</si>
  <si>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</si>
  <si>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</si>
  <si>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</si>
  <si>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</si>
  <si>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</si>
  <si>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</si>
  <si>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</si>
  <si>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</si>
  <si>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</si>
  <si>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</si>
  <si>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</si>
  <si>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</si>
  <si>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</si>
  <si>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</si>
  <si>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</si>
  <si>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</si>
  <si>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</si>
  <si>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</si>
  <si>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</si>
  <si>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</si>
  <si>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</si>
  <si>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</si>
  <si>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</si>
  <si>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</si>
  <si>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</si>
  <si>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</si>
  <si>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</si>
  <si>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</si>
  <si>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</si>
  <si>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</si>
  <si>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</si>
  <si>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</si>
  <si>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</si>
  <si>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</si>
  <si>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</si>
  <si>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</si>
  <si>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</si>
  <si>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</si>
  <si>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</si>
  <si>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</si>
  <si>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</si>
  <si>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</si>
  <si>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</si>
  <si>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</si>
  <si>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</si>
  <si>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</si>
  <si>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</si>
  <si>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</si>
  <si>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</si>
  <si>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</si>
  <si>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</si>
  <si>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</si>
  <si>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</si>
  <si>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</si>
  <si>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</si>
  <si>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</si>
  <si>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</si>
  <si>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</si>
  <si>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</si>
  <si>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</si>
  <si>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</si>
  <si>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</si>
  <si>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</si>
  <si>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</si>
  <si>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</si>
  <si>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</si>
  <si>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</si>
  <si>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</si>
  <si>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</si>
  <si>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</si>
  <si>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</si>
  <si>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</si>
  <si>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</si>
  <si>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</si>
  <si>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</si>
  <si>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</si>
  <si>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</si>
  <si>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</si>
  <si>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</si>
  <si>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</si>
  <si>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</si>
  <si>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</si>
  <si>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</si>
  <si>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</si>
  <si>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</si>
  <si>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</si>
  <si>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</si>
  <si>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</si>
  <si>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</si>
  <si>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</si>
  <si>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</si>
  <si>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</si>
  <si>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</si>
  <si>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</si>
  <si>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</si>
  <si>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</si>
  <si>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</si>
  <si>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</si>
  <si>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</si>
  <si>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</si>
  <si>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</si>
  <si>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</si>
  <si>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</si>
  <si>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</si>
  <si>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</si>
  <si>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</si>
  <si>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</si>
  <si>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</si>
  <si>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</si>
  <si>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</si>
  <si>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</si>
  <si>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</si>
  <si>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</si>
  <si>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</si>
  <si>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</si>
  <si>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</si>
  <si>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</si>
  <si>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</si>
  <si>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</si>
  <si>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</si>
  <si>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</si>
  <si>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</si>
  <si>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</si>
  <si>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</si>
  <si>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</si>
  <si>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</si>
  <si>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</si>
  <si>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</si>
  <si>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</si>
  <si>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</si>
  <si>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</si>
  <si>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</si>
  <si>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</si>
  <si>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</si>
  <si>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</si>
  <si>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</si>
  <si>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</si>
  <si>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</si>
  <si>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</si>
  <si>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</si>
  <si>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</si>
  <si>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</si>
  <si>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</si>
  <si>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</si>
  <si>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</si>
  <si>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</si>
  <si>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</si>
  <si>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</si>
  <si>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</si>
  <si>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</si>
  <si>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</si>
  <si>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</si>
  <si>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</si>
  <si>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</si>
  <si>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</si>
  <si>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</si>
  <si>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</si>
  <si>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</si>
  <si>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</si>
  <si>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</si>
  <si>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</si>
  <si>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</si>
  <si>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</si>
  <si>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</si>
  <si>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</si>
  <si>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</si>
  <si>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</si>
  <si>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</si>
  <si>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</si>
  <si>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</si>
  <si>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</si>
  <si>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</si>
  <si>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</si>
  <si>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</si>
  <si>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</si>
  <si>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</si>
  <si>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</si>
  <si>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</si>
  <si>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</si>
  <si>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</si>
  <si>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</si>
  <si>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</si>
  <si>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</si>
  <si>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</si>
  <si>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</si>
  <si>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</si>
  <si>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</si>
  <si>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</si>
  <si>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</si>
  <si>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</si>
  <si>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</si>
  <si>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</si>
  <si>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</si>
  <si>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</si>
  <si>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</si>
  <si>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</si>
  <si>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</si>
  <si>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</si>
  <si>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</si>
  <si>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</si>
  <si>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</si>
  <si>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</si>
  <si>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</si>
  <si>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</si>
  <si>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</si>
  <si>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</si>
  <si>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</si>
  <si>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</si>
  <si>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</si>
  <si>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</si>
  <si>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</si>
  <si>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</si>
  <si>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</si>
  <si>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</si>
  <si>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</si>
  <si>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</si>
  <si>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</si>
  <si>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</si>
  <si>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</si>
  <si>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</si>
  <si>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</si>
  <si>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</si>
  <si>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</si>
  <si>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</si>
  <si>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</si>
  <si>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</si>
  <si>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</si>
  <si>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</si>
  <si>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</si>
  <si>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</si>
  <si>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</si>
  <si>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</si>
  <si>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</si>
  <si>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</si>
  <si>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</si>
  <si>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</si>
  <si>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</si>
  <si>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</si>
  <si>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</si>
  <si>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</si>
  <si>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</si>
  <si>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</si>
  <si>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</si>
  <si>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</si>
  <si>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</si>
  <si>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</si>
  <si>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</si>
  <si>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</si>
  <si>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</si>
  <si>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</si>
  <si>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</si>
  <si>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</si>
  <si>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</si>
  <si>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</si>
  <si>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</si>
  <si>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</si>
  <si>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</si>
  <si>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</si>
  <si>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</si>
  <si>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</si>
  <si>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</si>
  <si>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</si>
  <si>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</si>
  <si>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</si>
  <si>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</si>
  <si>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</si>
  <si>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</si>
  <si>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</si>
  <si>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</si>
  <si>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</si>
  <si>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</si>
  <si>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</si>
  <si>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</si>
  <si>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</si>
  <si>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</si>
  <si>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</si>
  <si>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</si>
  <si>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</si>
  <si>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</si>
  <si>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</si>
  <si>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</si>
  <si>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</si>
  <si>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</si>
  <si>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</si>
  <si>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</si>
  <si>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</si>
  <si>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</si>
  <si>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</si>
  <si>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</si>
  <si>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</si>
  <si>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</si>
  <si>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</si>
  <si>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</si>
  <si>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</si>
  <si>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</si>
  <si>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</si>
  <si>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</si>
  <si>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</si>
  <si>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</si>
  <si>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</si>
  <si>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</si>
  <si>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</si>
  <si>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</si>
  <si>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</si>
  <si>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</si>
  <si>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</si>
  <si>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</si>
  <si>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</si>
  <si>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</si>
  <si>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</si>
  <si>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</si>
  <si>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</si>
  <si>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</si>
  <si>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</si>
  <si>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</si>
  <si>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</si>
  <si>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</si>
  <si>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</si>
  <si>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</si>
  <si>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</si>
  <si>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</si>
  <si>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</si>
  <si>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</si>
  <si>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</si>
  <si>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</si>
  <si>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</si>
  <si>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</si>
  <si>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</si>
  <si>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</si>
  <si>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</si>
  <si>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</si>
  <si>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</si>
  <si>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</si>
  <si>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</si>
  <si>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</si>
  <si>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</si>
  <si>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</si>
  <si>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</si>
  <si>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</si>
  <si>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</si>
  <si>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</si>
  <si>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</si>
  <si>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</si>
  <si>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</si>
  <si>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</si>
  <si>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</si>
  <si>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</si>
  <si>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</si>
  <si>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</si>
  <si>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</si>
  <si>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</si>
  <si>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</si>
  <si>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</si>
  <si>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</si>
  <si>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</si>
  <si>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</si>
  <si>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</si>
  <si>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</si>
  <si>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</si>
  <si>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</si>
  <si>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</si>
  <si>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</si>
  <si>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</si>
  <si>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</si>
  <si>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</si>
  <si>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</si>
  <si>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</si>
  <si>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</si>
  <si>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</si>
  <si>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</si>
  <si>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</si>
  <si>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</si>
  <si>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</si>
  <si>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</si>
  <si>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</si>
  <si>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</si>
  <si>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</si>
  <si>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</si>
  <si>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</si>
  <si>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</si>
  <si>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</si>
  <si>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</si>
  <si>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</si>
  <si>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</si>
  <si>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</si>
  <si>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</si>
  <si>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</si>
  <si>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</si>
  <si>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</si>
  <si>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</si>
  <si>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</si>
  <si>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</si>
  <si>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</si>
  <si>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</si>
  <si>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</si>
  <si>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</si>
  <si>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</si>
  <si>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</si>
  <si>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</si>
  <si>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</si>
  <si>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</si>
  <si>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</si>
  <si>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</si>
  <si>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</si>
  <si>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</si>
  <si>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</si>
  <si>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</si>
  <si>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</si>
  <si>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</si>
  <si>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</si>
  <si>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</si>
  <si>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</si>
  <si>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</si>
  <si>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</si>
  <si>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</si>
  <si>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</si>
  <si>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</si>
  <si>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</si>
  <si>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</si>
  <si>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</si>
  <si>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</si>
  <si>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</si>
  <si>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</si>
  <si>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</si>
  <si>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</si>
  <si>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</si>
  <si>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</si>
  <si>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</si>
  <si>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</si>
  <si>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</si>
  <si>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</si>
  <si>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</si>
  <si>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</si>
  <si>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</si>
  <si>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</si>
  <si>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</si>
  <si>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</si>
  <si>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</si>
  <si>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</si>
  <si>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</si>
  <si>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</si>
  <si>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</si>
  <si>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</si>
  <si>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</si>
  <si>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</si>
  <si>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</si>
  <si>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</si>
  <si>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</si>
  <si>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</si>
  <si>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</si>
  <si>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</si>
  <si>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</si>
  <si>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</si>
  <si>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</si>
  <si>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</si>
  <si>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</si>
  <si>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</si>
  <si>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</si>
  <si>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</si>
  <si>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</si>
  <si>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</si>
  <si>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</si>
  <si>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</si>
  <si>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</si>
  <si>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</si>
  <si>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</si>
  <si>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</si>
  <si>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</si>
  <si>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</si>
  <si>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</si>
  <si>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</si>
  <si>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</si>
  <si>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</si>
  <si>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</si>
  <si>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</si>
  <si>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</si>
  <si>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</si>
  <si>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</si>
  <si>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</si>
  <si>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</si>
  <si>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</si>
  <si>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</si>
  <si>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</si>
  <si>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</si>
  <si>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</si>
  <si>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</si>
  <si>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</si>
  <si>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</si>
  <si>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</si>
  <si>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</si>
  <si>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</si>
  <si>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</si>
  <si>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</si>
  <si>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</si>
  <si>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</si>
  <si>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</si>
  <si>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</si>
  <si>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</si>
  <si>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</si>
  <si>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</si>
  <si>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</si>
  <si>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</si>
  <si>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</si>
  <si>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</si>
  <si>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</si>
  <si>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</si>
  <si>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</si>
  <si>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</si>
  <si>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</si>
  <si>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</si>
  <si>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</si>
  <si>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</si>
  <si>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</si>
  <si>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</si>
  <si>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</si>
  <si>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</si>
  <si>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</si>
  <si>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</si>
  <si>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</si>
  <si>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</si>
  <si>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</si>
  <si>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</si>
  <si>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</si>
  <si>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</si>
  <si>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</si>
  <si>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</si>
  <si>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</si>
  <si>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</si>
  <si>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</si>
  <si>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</si>
  <si>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</si>
  <si>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</si>
  <si>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</si>
  <si>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</si>
  <si>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</si>
  <si>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</si>
  <si>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</si>
  <si>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</si>
  <si>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</si>
  <si>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</si>
  <si>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</si>
  <si>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</si>
  <si>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</si>
  <si>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</si>
  <si>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</si>
  <si>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</si>
  <si>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</si>
  <si>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</si>
  <si>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</si>
  <si>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</si>
  <si>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</si>
  <si>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</si>
  <si>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</si>
  <si>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</si>
  <si>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</si>
  <si>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</si>
  <si>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</si>
  <si>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</si>
  <si>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</si>
  <si>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</si>
  <si>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</si>
  <si>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</si>
  <si>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</si>
  <si>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</si>
  <si>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</si>
  <si>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</si>
  <si>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</si>
  <si>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</si>
  <si>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</si>
  <si>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</si>
  <si>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</si>
  <si>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</si>
  <si>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</si>
  <si>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</si>
  <si>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</si>
  <si>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</si>
  <si>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</si>
  <si>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</si>
  <si>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</si>
  <si>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</si>
  <si>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</si>
  <si>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</si>
  <si>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</si>
  <si>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</si>
  <si>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</si>
  <si>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</si>
  <si>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</si>
  <si>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</si>
  <si>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</si>
  <si>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</si>
  <si>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</si>
  <si>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</si>
  <si>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</si>
  <si>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</si>
  <si>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</si>
  <si>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</si>
  <si>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</si>
  <si>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</si>
  <si>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</si>
  <si>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</si>
  <si>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</si>
  <si>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</si>
  <si>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</si>
  <si>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</si>
  <si>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</si>
  <si>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</si>
  <si>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</si>
  <si>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</si>
  <si>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</si>
  <si>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</si>
  <si>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</si>
  <si>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</si>
  <si>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</si>
  <si>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</si>
  <si>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</si>
  <si>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</si>
  <si>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</si>
  <si>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</si>
  <si>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</si>
  <si>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</si>
  <si>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</si>
  <si>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</si>
  <si>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</si>
  <si>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</si>
  <si>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</si>
  <si>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</si>
  <si>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</si>
  <si>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</si>
  <si>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</si>
  <si>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</si>
  <si>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</si>
  <si>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</si>
  <si>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</si>
  <si>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</si>
  <si>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</si>
  <si>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</si>
  <si>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</si>
  <si>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</si>
  <si>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</si>
  <si>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</si>
  <si>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</si>
  <si>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</si>
  <si>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</si>
  <si>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</si>
  <si>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</si>
  <si>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</si>
  <si>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</si>
  <si>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</si>
  <si>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</si>
  <si>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</si>
  <si>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</si>
  <si>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</si>
  <si>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</si>
  <si>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</si>
  <si>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</si>
  <si>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</si>
  <si>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</si>
  <si>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</si>
  <si>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</si>
  <si>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</si>
  <si>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</si>
  <si>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</si>
  <si>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</si>
  <si>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</si>
  <si>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</si>
  <si>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</si>
  <si>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</si>
  <si>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</si>
  <si>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</si>
  <si>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</si>
  <si>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</si>
  <si>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</si>
  <si>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</si>
  <si>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</si>
  <si>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</si>
  <si>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</si>
  <si>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</si>
  <si>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</si>
  <si>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</si>
  <si>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</si>
  <si>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</si>
  <si>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</si>
  <si>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</si>
  <si>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</si>
  <si>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</si>
  <si>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</si>
  <si>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</si>
  <si>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</si>
  <si>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</si>
  <si>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</si>
  <si>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</si>
  <si>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</si>
  <si>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</si>
  <si>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</si>
  <si>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</si>
  <si>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</si>
  <si>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</si>
  <si>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</si>
  <si>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</si>
  <si>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</si>
  <si>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</si>
  <si>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</si>
  <si>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</si>
  <si>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</si>
  <si>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</si>
  <si>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</si>
  <si>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</si>
  <si>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</si>
  <si>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</si>
  <si>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</si>
  <si>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</si>
  <si>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</si>
  <si>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</si>
  <si>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</si>
  <si>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</si>
  <si>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</si>
  <si>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</si>
  <si>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</si>
  <si>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</si>
  <si>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</si>
  <si>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</si>
  <si>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</si>
  <si>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</si>
  <si>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</si>
  <si>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</si>
  <si>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</si>
  <si>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</si>
  <si>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</si>
  <si>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</si>
  <si>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</si>
  <si>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</si>
  <si>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</si>
  <si>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</si>
  <si>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</si>
  <si>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</si>
  <si>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</si>
  <si>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</si>
  <si>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</si>
  <si>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</si>
  <si>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</si>
  <si>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</si>
  <si>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</si>
  <si>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</si>
  <si>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</si>
  <si>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</si>
  <si>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</si>
  <si>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</si>
  <si>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</si>
  <si>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</si>
  <si>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</si>
  <si>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</si>
  <si>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</si>
  <si>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</si>
  <si>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</si>
  <si>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</si>
  <si>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</si>
  <si>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</si>
  <si>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</si>
  <si>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</si>
  <si>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</si>
  <si>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</si>
  <si>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</si>
  <si>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</si>
  <si>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</si>
  <si>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</si>
  <si>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</si>
  <si>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</si>
  <si>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</si>
  <si>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</si>
  <si>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</si>
  <si>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</si>
  <si>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</si>
  <si>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</si>
  <si>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</si>
  <si>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</si>
  <si>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</si>
  <si>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</si>
  <si>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</si>
  <si>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</si>
  <si>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</si>
  <si>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</si>
  <si>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</si>
  <si>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</si>
  <si>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</si>
  <si>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</si>
  <si>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</si>
  <si>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</si>
  <si>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</si>
  <si>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</si>
  <si>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</si>
  <si>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</si>
  <si>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</si>
  <si>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</si>
  <si>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</si>
  <si>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</si>
  <si>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</si>
  <si>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</si>
  <si>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</si>
  <si>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</si>
  <si>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</si>
  <si>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</si>
  <si>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</si>
  <si>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</si>
  <si>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</si>
  <si>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</si>
  <si>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</si>
  <si>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</si>
  <si>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</si>
  <si>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</si>
  <si>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</si>
  <si>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</si>
  <si>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</si>
  <si>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</si>
  <si>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</si>
  <si>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</si>
  <si>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</si>
  <si>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</si>
  <si>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</si>
  <si>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</si>
  <si>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</si>
  <si>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</si>
  <si>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</si>
  <si>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</si>
  <si>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</si>
  <si>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</si>
  <si>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</si>
  <si>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</si>
  <si>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</si>
  <si>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</si>
  <si>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</si>
  <si>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</si>
  <si>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</si>
  <si>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</si>
  <si>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</si>
  <si>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</si>
  <si>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</si>
  <si>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</si>
  <si>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</si>
  <si>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</si>
  <si>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</si>
  <si>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</si>
  <si>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</si>
  <si>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</si>
  <si>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</si>
  <si>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</si>
  <si>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</si>
  <si>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</si>
  <si>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</si>
  <si>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</si>
  <si>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</si>
  <si>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</si>
  <si>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</si>
  <si>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</si>
  <si>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</si>
  <si>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</si>
  <si>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</si>
  <si>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</si>
  <si>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</si>
  <si>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</si>
  <si>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</si>
  <si>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</si>
  <si>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</si>
  <si>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</si>
  <si>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</si>
  <si>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</si>
  <si>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</si>
  <si>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</si>
  <si>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</si>
  <si>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</si>
  <si>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</si>
  <si>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</si>
  <si>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</si>
  <si>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</si>
  <si>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</si>
  <si>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</si>
  <si>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</si>
  <si>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</si>
  <si>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</si>
  <si>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</si>
  <si>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</si>
  <si>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</si>
  <si>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</si>
  <si>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</si>
  <si>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</si>
  <si>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</si>
  <si>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</si>
  <si>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</si>
  <si>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</si>
  <si>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</si>
  <si>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</si>
  <si>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</si>
  <si>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</si>
  <si>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A partir de juin</t>
  </si>
  <si>
    <t>Dette à Long terme</t>
  </si>
  <si>
    <t>Total Dépt. Wholesale autres</t>
  </si>
  <si>
    <t>M-O Garantie</t>
  </si>
  <si>
    <t>G0161</t>
  </si>
  <si>
    <t>G0162</t>
  </si>
  <si>
    <t>G02344</t>
  </si>
  <si>
    <t>SALAIRES CONSEILLERS TECH</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</si>
  <si>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</si>
  <si>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</si>
  <si>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</si>
  <si>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</si>
  <si>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</si>
  <si>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</si>
  <si>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</si>
  <si>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</si>
  <si>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</si>
  <si>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</si>
  <si>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</si>
  <si>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</si>
  <si>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</si>
  <si>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</si>
  <si>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</si>
  <si>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</si>
  <si>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G44602</t>
  </si>
  <si>
    <t>VTES-AUTO AUTRE MARQ</t>
  </si>
  <si>
    <t>G44603</t>
  </si>
  <si>
    <t>VTES-RACHAT BAIL AUTO</t>
  </si>
  <si>
    <t>G45002</t>
  </si>
  <si>
    <t>VTES- CAMION AUTRE MARQ</t>
  </si>
  <si>
    <t>G45003</t>
  </si>
  <si>
    <t>VTES-RACHAT BAIL CAMION</t>
  </si>
  <si>
    <t>G64602</t>
  </si>
  <si>
    <t>COUT-AUTO AUTRE MARQ</t>
  </si>
  <si>
    <t>G64603</t>
  </si>
  <si>
    <t>COUT-RACHAT BAIL AUTO</t>
  </si>
  <si>
    <t>G65002</t>
  </si>
  <si>
    <t>COUT- CAMION AUTRE MARQ</t>
  </si>
  <si>
    <t>G65003</t>
  </si>
  <si>
    <t>COUT-RACHAT BAIL CAMION</t>
  </si>
  <si>
    <t>G90550</t>
  </si>
  <si>
    <t>DEALER FINANCE - SPLIT</t>
  </si>
  <si>
    <t>G90551</t>
  </si>
  <si>
    <t>DEALER FINANCE - NEUF</t>
  </si>
  <si>
    <t>G90552</t>
  </si>
  <si>
    <t>DEALER FINANCE - USAGE</t>
  </si>
  <si>
    <t>FRAIS DE DOSSIER NEUF</t>
  </si>
  <si>
    <t>FRAIS DE DOSSIER USAGÉ</t>
  </si>
  <si>
    <t>Frais assurances</t>
  </si>
  <si>
    <t>FRAIS DE DOSSIER - NEUF</t>
  </si>
  <si>
    <t>FRAIS DE DOSSIER USAGE</t>
  </si>
  <si>
    <t>G45202</t>
  </si>
  <si>
    <t>VTES- WHOLESALES M</t>
  </si>
  <si>
    <t>G65202</t>
  </si>
  <si>
    <t>G0110</t>
  </si>
  <si>
    <t>COMMISSIONS       60% 40%</t>
  </si>
  <si>
    <t>G0140</t>
  </si>
  <si>
    <t>ENTRETIEN DEMO</t>
  </si>
  <si>
    <t>G0141</t>
  </si>
  <si>
    <t>ENTRETIEN STOCK NEUF</t>
  </si>
  <si>
    <t>G0142</t>
  </si>
  <si>
    <t>ENTRETIEN STOCK USAGE</t>
  </si>
  <si>
    <t>G0143</t>
  </si>
  <si>
    <t>ENTRETIEN STOCK USA</t>
  </si>
  <si>
    <t>G0677</t>
  </si>
  <si>
    <t>REPRISE TRAVAIL SAAQ</t>
  </si>
  <si>
    <t>doit revoir les amortissements après avoir passé les régularisations</t>
  </si>
  <si>
    <t>M-A sal + com - reclassé AAD</t>
  </si>
  <si>
    <t>Réel vs Budget</t>
  </si>
  <si>
    <t>Réel vs 2025</t>
  </si>
  <si>
    <t>Unités neuf</t>
  </si>
  <si>
    <t>Unités usagé</t>
  </si>
  <si>
    <t>Profit brut neuf</t>
  </si>
  <si>
    <t>Profit brut usagé</t>
  </si>
  <si>
    <t>Profit brut service</t>
  </si>
  <si>
    <t>Profit brut pièces</t>
  </si>
  <si>
    <t>Total profit brut</t>
  </si>
  <si>
    <t xml:space="preserve">Autres revenus </t>
  </si>
  <si>
    <t>Dépenses</t>
  </si>
  <si>
    <t>Amort. &amp; Rev int</t>
  </si>
  <si>
    <t>Profit net</t>
  </si>
  <si>
    <t>Budget AAD</t>
  </si>
  <si>
    <t>2025 AAD</t>
  </si>
  <si>
    <t>Amort. &amp; intérêts</t>
  </si>
  <si>
    <t>Q3</t>
  </si>
  <si>
    <t>Réel Q2 2025</t>
  </si>
  <si>
    <t>Budget Q2</t>
  </si>
  <si>
    <t>2024 Q2</t>
  </si>
  <si>
    <t>Réel vs 2024</t>
  </si>
  <si>
    <t>Réel 2026</t>
  </si>
  <si>
    <t>Réel AAD 2026</t>
  </si>
  <si>
    <t>Unités Flottes</t>
  </si>
  <si>
    <t>Profit brut wholesale autres</t>
  </si>
  <si>
    <t>Profit brut carrosserie</t>
  </si>
  <si>
    <t>Profit brut SAAQ</t>
  </si>
  <si>
    <t xml:space="preserve">                                                                                                                                                                                                                                                                                                                                                                                                                                                                                                                                                                                                                                                                                                                                                                                                                                                                                                                                                                                                                                                                                                                                                                                                                                                                                                                                                                                                                                                                                                                                                                                                                                                                                                                                                                                                                                                                                                                                                                                                                                                                                                                                                                                                                                                                                                                                                                                                                                                                                                                                                                                                                                                                                                                                                                                                                                                                                                                                                                                                                                                                                                                                                                                                                                                                                                                                                                                                                                                                                                                                                                                                                                                                                                                                                                                                                                                                                                                                                                                                                                                                                                                                                                                                                                                                                                                                                                                                                                                                                                                                                                                                                                                                                                                                                                                                                                                                                                                                                                                                                                                                                                                                                                                                                                                                                                                                                                                                                                                                                                                                                                                                                                                                                                                                                                                                                                                                                                                                                                                                                                                                                                                                                                                                                                                                                                                                                                                                                                                                                                                                                                                                                                                                                                                                                                                                                                                                                                                                                                                                                                                                                                                                                                                                                                                                                                                                                                                                                                                                                                                                                                                                                                                                                                                                                                                                                                                                                                                                                                                                                                                                                                                                                                                                                                                                                                                                                                                                                                                                                                                                                                                                                                                                                                                                                                                                                                                                                                                                                                                                                                                                                                                                                                                                                                                                                                                                                                                                                                                                                                                                                                                                                                                                                                                                                                                                                                                                                                                                                                                                                                                                                                    </t>
  </si>
  <si>
    <t>EF</t>
  </si>
  <si>
    <t>G01101</t>
  </si>
  <si>
    <t>COMMISSIONS VEH. NEUF/USA</t>
  </si>
  <si>
    <t>G0134</t>
  </si>
  <si>
    <t>FRAIS LIVRAISON SERVICE</t>
  </si>
  <si>
    <t>G02001</t>
  </si>
  <si>
    <t>G02101</t>
  </si>
  <si>
    <t>SALAIRES CADRES NEUF/USAG</t>
  </si>
  <si>
    <t>G02201</t>
  </si>
  <si>
    <t>SALAIRES BUREAU NEUF/USAG</t>
  </si>
  <si>
    <t>G02301</t>
  </si>
  <si>
    <t>SALAIRES AUTRES NEUF/USAG</t>
  </si>
  <si>
    <t>G02501</t>
  </si>
  <si>
    <t>TAXES PAYROLL NEUF/USAGE</t>
  </si>
  <si>
    <t>G02701</t>
  </si>
  <si>
    <t>G02901</t>
  </si>
  <si>
    <t>FONDS PENSION NEUF/USAGE</t>
  </si>
  <si>
    <t>G32104</t>
  </si>
  <si>
    <t>COMPTES DE DEPENSES A/P</t>
  </si>
  <si>
    <t>G32313</t>
  </si>
  <si>
    <t>CNT A PAYER</t>
  </si>
  <si>
    <t>G020101</t>
  </si>
  <si>
    <t>G021101</t>
  </si>
  <si>
    <t>SALAIRES CADRES NEUFS/USA</t>
  </si>
  <si>
    <t>G022101</t>
  </si>
  <si>
    <t>SALAIRES BUREAU NEUFS/USA</t>
  </si>
  <si>
    <t>G023101</t>
  </si>
  <si>
    <t>SALAIRES AUTRES NEUFS/USA</t>
  </si>
  <si>
    <t>G025101</t>
  </si>
  <si>
    <t>TAXES PAYROLL NEUFS/USAGE</t>
  </si>
  <si>
    <t>G027101</t>
  </si>
  <si>
    <t>G029101</t>
  </si>
  <si>
    <t>FONDS PENSION VEH. NF/US</t>
  </si>
  <si>
    <t>FONDS PENSION SAAQ</t>
  </si>
  <si>
    <t>DEPENSES DIVERSES-SAAQ</t>
  </si>
  <si>
    <t>G217</t>
  </si>
  <si>
    <t>RENUM. CADRES SAAQ</t>
  </si>
  <si>
    <t>AR PIECES - SERVICE</t>
  </si>
  <si>
    <t>AR -VEHICULE</t>
  </si>
  <si>
    <t>AR - CARROSSERIE</t>
  </si>
  <si>
    <t>AR -VENTES</t>
  </si>
  <si>
    <t>AR- EMPLOYÉ</t>
  </si>
  <si>
    <t>AR VEH. WHOLESALE</t>
  </si>
  <si>
    <t>AR VEH. FLOTTES</t>
  </si>
  <si>
    <t>AR VEH. US MANHEIM</t>
  </si>
  <si>
    <t>AR VEH. EBLOCK</t>
  </si>
  <si>
    <t>AR VEH LOCATION SAUVAGEAU</t>
  </si>
  <si>
    <t>AR VEH JIM PATTISON LEASE</t>
  </si>
  <si>
    <t>AR VEH.9482-3176 QUEB INC</t>
  </si>
  <si>
    <t>AR VEH.  HAWKESBURY</t>
  </si>
  <si>
    <t>AR VEH. BMW SHERBROOKE</t>
  </si>
  <si>
    <t>AR VEH. LOCATION LMB INC</t>
  </si>
  <si>
    <t>AR VEH. VOLKS BROSSARD</t>
  </si>
  <si>
    <t>AR VEH. HYUNDAI LONGUEUIL</t>
  </si>
  <si>
    <t>AR VEH.GAR Y.M.DESMARRAIS</t>
  </si>
  <si>
    <t>AR VEH.SIMPLICITÉ</t>
  </si>
  <si>
    <t>AR VEH.159191 CANADA INC</t>
  </si>
  <si>
    <t>AVANCE 13721515 CANADA</t>
  </si>
  <si>
    <t>AVANCE 9446-0680 QC INC</t>
  </si>
  <si>
    <t>AVANCE LOCATION LMB</t>
  </si>
  <si>
    <t>AVANCE 9341-5701 QC INC</t>
  </si>
  <si>
    <t>AVANCE 17089147 INC</t>
  </si>
  <si>
    <t>AVANCE 9509-9016</t>
  </si>
  <si>
    <t>AVANCE HYUNDAI LONGUEUIL</t>
  </si>
  <si>
    <t>TRAVAUX EN COURS SERVICE</t>
  </si>
  <si>
    <t>G30035</t>
  </si>
  <si>
    <t>AP VEH BMW SHERBROOKE</t>
  </si>
  <si>
    <t>G30041</t>
  </si>
  <si>
    <t>AP VEH LOCATION LMB</t>
  </si>
  <si>
    <t>T.V.Q. A PAYER</t>
  </si>
  <si>
    <t>ACC VENDU NON INSTALLE</t>
  </si>
  <si>
    <t>VTES-VOIT.OCC.GM N-CERT</t>
  </si>
  <si>
    <t>VTES - CAMION DET CERTIFI</t>
  </si>
  <si>
    <t>VTES-CAM OCC. GM N-CERT</t>
  </si>
  <si>
    <t>VENTES USA</t>
  </si>
  <si>
    <t>G46015</t>
  </si>
  <si>
    <t>VTE ESTHETIQUE CLIENT</t>
  </si>
  <si>
    <t>G46050</t>
  </si>
  <si>
    <t>VTE M-0 ELECTRIQUE   CLT</t>
  </si>
  <si>
    <t>G46111</t>
  </si>
  <si>
    <t>VTES M-O CLIENT FLOTTES</t>
  </si>
  <si>
    <t>M-D'O.GARANTIE S.A.A.Q.</t>
  </si>
  <si>
    <t>VTE - M.O LOURD -S.A,A.Q</t>
  </si>
  <si>
    <t>G46150</t>
  </si>
  <si>
    <t>VTE M-O ELECTIQUE FLOTTE</t>
  </si>
  <si>
    <t>G46305</t>
  </si>
  <si>
    <t>VTE ESTHETIQUE INTERNE</t>
  </si>
  <si>
    <t>VTES-MO INTERN S.A.A.Q.</t>
  </si>
  <si>
    <t>VTE -M.D. CLIENT-PEINTURE</t>
  </si>
  <si>
    <t>VTE -M.D. CARROS.INTERNE</t>
  </si>
  <si>
    <t>VTE -M.D. PEINTURE INT</t>
  </si>
  <si>
    <t>VTE -PCE CARR.CLIENT.CAM.</t>
  </si>
  <si>
    <t>VTES -PEINTURE CARROSS.</t>
  </si>
  <si>
    <t>G64140</t>
  </si>
  <si>
    <t>COUT - M.O LOURD -SAAQ</t>
  </si>
  <si>
    <t>COUT-AUTO OCC.GM N-CERT</t>
  </si>
  <si>
    <t>COUT-OCC.CAMION DET CERTI</t>
  </si>
  <si>
    <t>COUT-CAMION OCC.GM N-CERT</t>
  </si>
  <si>
    <t>G66015</t>
  </si>
  <si>
    <t>COUT ESTHETIQUE CLIENT</t>
  </si>
  <si>
    <t>G66050</t>
  </si>
  <si>
    <t>COUT M-0 ELECTRIQUE   CLT</t>
  </si>
  <si>
    <t>G66111</t>
  </si>
  <si>
    <t>COUT M-O CLIENT FLOTTES</t>
  </si>
  <si>
    <t>G66150</t>
  </si>
  <si>
    <t>COUT M-O ELECTIQUE FLOTTE</t>
  </si>
  <si>
    <t>G66305</t>
  </si>
  <si>
    <t>COUT ESTHETIQUE INTERNE</t>
  </si>
  <si>
    <t>G45401</t>
  </si>
  <si>
    <t>VTES ANTIROUILLE USAGE</t>
  </si>
  <si>
    <t>G45403</t>
  </si>
  <si>
    <t>VTE VITRE-PEINT-TISS- US</t>
  </si>
  <si>
    <t>G45405</t>
  </si>
  <si>
    <t>VTES ANTIVOL-TAG - US</t>
  </si>
  <si>
    <t>G65401</t>
  </si>
  <si>
    <t>COUT ANTIROUILLE USAGE</t>
  </si>
  <si>
    <t>G65403</t>
  </si>
  <si>
    <t>COUT VITRE-PEINT-TISS- US</t>
  </si>
  <si>
    <t>G65405</t>
  </si>
  <si>
    <t>COUT ANTIVOL-TAG - US</t>
  </si>
  <si>
    <t>Ajouter les salaires de bases + boni de 2025 pour Gaetan</t>
  </si>
  <si>
    <t>109k credit GM</t>
  </si>
  <si>
    <t>Manquait salaire de base</t>
  </si>
  <si>
    <t>Crédit Eblock ??</t>
  </si>
  <si>
    <t>Trader mai + juin</t>
  </si>
  <si>
    <t>Loyer 71050$ + Lacolle 5000$ - 320, Route 132 mai 5202$</t>
  </si>
  <si>
    <t>Carl + com Tristan, Frederick</t>
  </si>
  <si>
    <t>Ristourne M-O Carrosserie</t>
  </si>
  <si>
    <t>Frais document reclassé</t>
  </si>
  <si>
    <t>3 pmt remb client, veh au service pendant 3 mois  quelques jours après la livraison</t>
  </si>
  <si>
    <t xml:space="preserve">Changement batterie </t>
  </si>
  <si>
    <t>Ajusté 500$ profit WS LMB AAD *50%</t>
  </si>
  <si>
    <t xml:space="preserve">Reclassé comm Julien </t>
  </si>
  <si>
    <t>Julien, Mathieu, M-E + comm  - crédit Hawkesburry - 150$ can/ auto US STM - Ajusté 500$ profit WS LMB AAD *50%</t>
  </si>
  <si>
    <t>Beaucoup de BT, à vérifier avec Pat à son retour</t>
  </si>
  <si>
    <t>A partir de juillet</t>
  </si>
  <si>
    <t>Année à date Juin</t>
  </si>
  <si>
    <t>Q2</t>
  </si>
  <si>
    <t>BUDGET  REVISE</t>
  </si>
  <si>
    <t>UNFTÉ</t>
  </si>
  <si>
    <t>RBSC neuf</t>
  </si>
  <si>
    <t>BUDGET  RÉVISÉ</t>
  </si>
  <si>
    <t>US</t>
  </si>
  <si>
    <t>RBSC used</t>
  </si>
  <si>
    <t>Programme 360</t>
  </si>
  <si>
    <t>Mitsubishi</t>
  </si>
  <si>
    <t>Facility Fund</t>
  </si>
  <si>
    <t>Réalisé  Q2 2026</t>
  </si>
  <si>
    <t>% Selon floor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</si>
</sst>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8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2"/>
      <color theme="1"/>
      <name val="Arial"/>
      <family val="2"/>
      <scheme val="minor"/>
    </font>
  </fonts>
  <fills count="4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s>
  <borders count="23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style="thin">
        <color indexed="64"/>
      </left>
      <right/>
      <top style="thick">
        <color rgb="FF000000"/>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medium">
        <color indexed="64"/>
      </right>
      <top/>
      <bottom/>
      <diagonal/>
    </border>
    <border>
      <left style="dashed">
        <color indexed="64"/>
      </left>
      <right style="medium">
        <color indexed="64"/>
      </right>
      <top/>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dashed">
        <color indexed="64"/>
      </left>
      <right style="medium">
        <color indexed="64"/>
      </right>
      <top style="double">
        <color indexed="64"/>
      </top>
      <bottom style="thin">
        <color indexed="64"/>
      </bottom>
      <diagonal/>
    </border>
    <border>
      <left style="medium">
        <color indexed="64"/>
      </left>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right/>
      <top style="double">
        <color indexed="64"/>
      </top>
      <bottom style="medium">
        <color indexed="64"/>
      </bottom>
      <diagonal/>
    </border>
    <border>
      <left style="dashed">
        <color indexed="64"/>
      </left>
      <right style="medium">
        <color indexed="64"/>
      </right>
      <top style="double">
        <color indexed="64"/>
      </top>
      <bottom style="medium">
        <color indexed="64"/>
      </bottom>
      <diagonal/>
    </border>
    <border>
      <left style="dashed">
        <color indexed="64"/>
      </left>
      <right style="medium">
        <color indexed="64"/>
      </right>
      <top style="medium">
        <color indexed="64"/>
      </top>
      <bottom style="dashed">
        <color indexed="64"/>
      </bottom>
      <diagonal/>
    </border>
    <border>
      <left/>
      <right style="thick">
        <color rgb="FF000000"/>
      </right>
      <top style="thin">
        <color indexed="64"/>
      </top>
      <bottom/>
      <diagonal/>
    </border>
    <border>
      <left style="thick">
        <color rgb="FF000000"/>
      </left>
      <right/>
      <top style="thin">
        <color indexed="64"/>
      </top>
      <bottom/>
      <diagonal/>
    </border>
  </borders>
  <cellStyleXfs count="11337">
    <xf numFmtId="0" fontId="0" fillId="0" borderId="0"/>
    <xf numFmtId="43" fontId="122" fillId="0" borderId="0" applyFont="0" applyFill="0" applyBorder="0" applyAlignment="0" applyProtection="0"/>
    <xf numFmtId="9" fontId="122" fillId="0" borderId="0" applyFont="0" applyFill="0" applyBorder="0" applyAlignment="0" applyProtection="0"/>
    <xf numFmtId="166" fontId="170" fillId="0" borderId="0"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166"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0" fontId="113" fillId="0" borderId="1"/>
    <xf numFmtId="165" fontId="113" fillId="0" borderId="1" applyFont="0" applyFill="0" applyBorder="0" applyAlignment="0" applyProtection="0"/>
    <xf numFmtId="166"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166"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0" fontId="108" fillId="0" borderId="1"/>
    <xf numFmtId="165" fontId="108" fillId="0" borderId="1" applyFont="0" applyFill="0" applyBorder="0" applyAlignment="0" applyProtection="0"/>
    <xf numFmtId="166"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166"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6"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6"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6"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5" fontId="88" fillId="0" borderId="1" applyFont="0" applyFill="0" applyBorder="0" applyAlignment="0" applyProtection="0"/>
    <xf numFmtId="9" fontId="88" fillId="0" borderId="1" applyFont="0" applyFill="0" applyBorder="0" applyAlignment="0" applyProtection="0"/>
    <xf numFmtId="166"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6"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6"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0" fontId="77" fillId="0" borderId="1"/>
    <xf numFmtId="9" fontId="77" fillId="0" borderId="1" applyFont="0" applyFill="0" applyBorder="0" applyAlignment="0" applyProtection="0"/>
    <xf numFmtId="44"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4" fillId="0" borderId="1"/>
    <xf numFmtId="0" fontId="73" fillId="0" borderId="1"/>
    <xf numFmtId="0" fontId="72" fillId="0" borderId="1"/>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6"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9" fontId="71" fillId="0" borderId="1" applyFont="0" applyFill="0" applyBorder="0" applyAlignment="0" applyProtection="0"/>
    <xf numFmtId="164"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0" fontId="71" fillId="0" borderId="1"/>
    <xf numFmtId="0" fontId="71" fillId="0" borderId="1"/>
    <xf numFmtId="0" fontId="70" fillId="0" borderId="1"/>
    <xf numFmtId="0" fontId="69" fillId="0" borderId="1"/>
    <xf numFmtId="0" fontId="68" fillId="0" borderId="1"/>
    <xf numFmtId="0" fontId="67" fillId="0" borderId="1"/>
    <xf numFmtId="0" fontId="66"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cellStyleXfs>
  <cellXfs count="1271">
    <xf numFmtId="0" fontId="0" fillId="0" borderId="0" xfId="0"/>
    <xf numFmtId="0" fontId="119" fillId="0" borderId="0" xfId="0" applyFont="1"/>
    <xf numFmtId="0" fontId="120" fillId="2" borderId="1" xfId="0" applyFont="1" applyFill="1" applyBorder="1" applyAlignment="1">
      <alignment horizontal="center"/>
    </xf>
    <xf numFmtId="0" fontId="120" fillId="0" borderId="0" xfId="0" applyFont="1"/>
    <xf numFmtId="0" fontId="121" fillId="0" borderId="0" xfId="0" applyFont="1" applyAlignment="1">
      <alignment horizontal="center"/>
    </xf>
    <xf numFmtId="0" fontId="122" fillId="0" borderId="0" xfId="0" applyFont="1"/>
    <xf numFmtId="0" fontId="119" fillId="0" borderId="0" xfId="0" applyFont="1" applyAlignment="1">
      <alignment horizontal="center"/>
    </xf>
    <xf numFmtId="167" fontId="120" fillId="0" borderId="0" xfId="0" applyNumberFormat="1" applyFont="1" applyAlignment="1">
      <alignment horizontal="center"/>
    </xf>
    <xf numFmtId="0" fontId="123" fillId="0" borderId="0" xfId="0" applyFont="1" applyAlignment="1">
      <alignment horizontal="left"/>
    </xf>
    <xf numFmtId="0" fontId="124" fillId="0" borderId="0" xfId="0" applyFont="1" applyAlignment="1">
      <alignment horizontal="center"/>
    </xf>
    <xf numFmtId="0" fontId="124" fillId="0" borderId="0" xfId="0" applyFont="1" applyAlignment="1">
      <alignment horizontal="right"/>
    </xf>
    <xf numFmtId="0" fontId="123" fillId="0" borderId="0" xfId="0" applyFont="1"/>
    <xf numFmtId="0" fontId="120" fillId="0" borderId="2" xfId="0" applyFont="1" applyBorder="1"/>
    <xf numFmtId="0" fontId="125" fillId="0" borderId="3" xfId="0" applyFont="1" applyBorder="1"/>
    <xf numFmtId="169" fontId="125" fillId="0" borderId="0" xfId="0" applyNumberFormat="1" applyFont="1"/>
    <xf numFmtId="0" fontId="126" fillId="0" borderId="6" xfId="0" applyFont="1" applyBorder="1"/>
    <xf numFmtId="168" fontId="126" fillId="0" borderId="7" xfId="0" applyNumberFormat="1" applyFont="1" applyBorder="1"/>
    <xf numFmtId="169" fontId="126" fillId="0" borderId="0" xfId="0" applyNumberFormat="1" applyFont="1"/>
    <xf numFmtId="0" fontId="125" fillId="0" borderId="8" xfId="0" applyFont="1" applyBorder="1"/>
    <xf numFmtId="168" fontId="125" fillId="0" borderId="9" xfId="0" applyNumberFormat="1" applyFont="1" applyBorder="1"/>
    <xf numFmtId="0" fontId="126" fillId="0" borderId="8" xfId="0" applyFont="1" applyBorder="1"/>
    <xf numFmtId="0" fontId="126" fillId="3" borderId="10" xfId="0" applyFont="1" applyFill="1" applyBorder="1"/>
    <xf numFmtId="168" fontId="126" fillId="3" borderId="11" xfId="0" applyNumberFormat="1" applyFont="1" applyFill="1" applyBorder="1"/>
    <xf numFmtId="0" fontId="126" fillId="3" borderId="12" xfId="0" applyFont="1" applyFill="1" applyBorder="1"/>
    <xf numFmtId="168" fontId="126" fillId="3" borderId="13" xfId="0" applyNumberFormat="1" applyFont="1" applyFill="1" applyBorder="1"/>
    <xf numFmtId="0" fontId="126" fillId="0" borderId="0" xfId="0" applyFont="1"/>
    <xf numFmtId="169" fontId="120" fillId="0" borderId="0" xfId="0" applyNumberFormat="1" applyFont="1"/>
    <xf numFmtId="0" fontId="120" fillId="0" borderId="8" xfId="0" applyFont="1" applyBorder="1"/>
    <xf numFmtId="168" fontId="120" fillId="0" borderId="9" xfId="0" applyNumberFormat="1" applyFont="1" applyBorder="1"/>
    <xf numFmtId="170" fontId="120" fillId="0" borderId="0" xfId="0" applyNumberFormat="1" applyFont="1"/>
    <xf numFmtId="0" fontId="120" fillId="0" borderId="0" xfId="0" applyFont="1" applyAlignment="1">
      <alignment horizontal="center"/>
    </xf>
    <xf numFmtId="0" fontId="128" fillId="0" borderId="0" xfId="0" applyFont="1" applyAlignment="1">
      <alignment horizontal="center"/>
    </xf>
    <xf numFmtId="0" fontId="124" fillId="4" borderId="15" xfId="0" applyFont="1" applyFill="1" applyBorder="1" applyAlignment="1">
      <alignment horizontal="center"/>
    </xf>
    <xf numFmtId="0" fontId="124" fillId="0" borderId="0" xfId="0" applyFont="1"/>
    <xf numFmtId="171" fontId="129" fillId="0" borderId="0" xfId="0" applyNumberFormat="1" applyFont="1" applyAlignment="1">
      <alignment horizontal="left"/>
    </xf>
    <xf numFmtId="0" fontId="129" fillId="0" borderId="0" xfId="0" applyFont="1"/>
    <xf numFmtId="0" fontId="130" fillId="0" borderId="0" xfId="0" applyFont="1" applyAlignment="1">
      <alignment horizontal="center"/>
    </xf>
    <xf numFmtId="0" fontId="123" fillId="5" borderId="16" xfId="0" applyFont="1" applyFill="1" applyBorder="1" applyAlignment="1">
      <alignment horizontal="center"/>
    </xf>
    <xf numFmtId="0" fontId="130" fillId="0" borderId="0" xfId="0" applyFont="1"/>
    <xf numFmtId="0" fontId="130" fillId="5" borderId="19" xfId="0" applyFont="1" applyFill="1" applyBorder="1"/>
    <xf numFmtId="0" fontId="130" fillId="5" borderId="22" xfId="0" applyFont="1" applyFill="1" applyBorder="1"/>
    <xf numFmtId="0" fontId="130" fillId="5" borderId="20" xfId="0" applyFont="1" applyFill="1" applyBorder="1"/>
    <xf numFmtId="0" fontId="123" fillId="5" borderId="19" xfId="0" applyFont="1" applyFill="1" applyBorder="1"/>
    <xf numFmtId="0" fontId="123" fillId="5" borderId="22" xfId="0" applyFont="1" applyFill="1" applyBorder="1"/>
    <xf numFmtId="0" fontId="123" fillId="5" borderId="20" xfId="0" applyFont="1" applyFill="1" applyBorder="1"/>
    <xf numFmtId="0" fontId="130" fillId="5" borderId="1" xfId="0" applyFont="1" applyFill="1" applyBorder="1"/>
    <xf numFmtId="0" fontId="123" fillId="5" borderId="10" xfId="0" applyFont="1" applyFill="1" applyBorder="1"/>
    <xf numFmtId="0" fontId="123" fillId="5" borderId="12" xfId="0" applyFont="1" applyFill="1" applyBorder="1"/>
    <xf numFmtId="0" fontId="123" fillId="5" borderId="1" xfId="0" applyFont="1" applyFill="1" applyBorder="1"/>
    <xf numFmtId="0" fontId="123" fillId="5" borderId="20" xfId="0" applyFont="1" applyFill="1" applyBorder="1" applyAlignment="1">
      <alignment horizontal="left"/>
    </xf>
    <xf numFmtId="0" fontId="123" fillId="5" borderId="28" xfId="0" applyFont="1" applyFill="1" applyBorder="1"/>
    <xf numFmtId="0" fontId="131" fillId="5" borderId="20" xfId="0" applyFont="1" applyFill="1" applyBorder="1"/>
    <xf numFmtId="0" fontId="131" fillId="5" borderId="22" xfId="0" applyFont="1" applyFill="1" applyBorder="1"/>
    <xf numFmtId="0" fontId="123" fillId="5" borderId="31" xfId="0" applyFont="1" applyFill="1" applyBorder="1"/>
    <xf numFmtId="0" fontId="123" fillId="5" borderId="32" xfId="0" applyFont="1" applyFill="1" applyBorder="1"/>
    <xf numFmtId="0" fontId="132" fillId="5" borderId="1" xfId="0" applyFont="1" applyFill="1" applyBorder="1"/>
    <xf numFmtId="0" fontId="132" fillId="0" borderId="0" xfId="0" applyFont="1"/>
    <xf numFmtId="0" fontId="129" fillId="5" borderId="1" xfId="0" applyFont="1" applyFill="1" applyBorder="1"/>
    <xf numFmtId="0" fontId="124" fillId="5" borderId="1" xfId="0" applyFont="1" applyFill="1" applyBorder="1"/>
    <xf numFmtId="171" fontId="129" fillId="5" borderId="1" xfId="0" applyNumberFormat="1" applyFont="1" applyFill="1" applyBorder="1" applyAlignment="1">
      <alignment horizontal="left"/>
    </xf>
    <xf numFmtId="0" fontId="131" fillId="5" borderId="19" xfId="0" applyFont="1" applyFill="1" applyBorder="1"/>
    <xf numFmtId="0" fontId="123" fillId="5" borderId="33" xfId="0" applyFont="1" applyFill="1" applyBorder="1"/>
    <xf numFmtId="0" fontId="123" fillId="5" borderId="34" xfId="0" applyFont="1" applyFill="1" applyBorder="1"/>
    <xf numFmtId="0" fontId="123" fillId="5" borderId="36" xfId="0" applyFont="1" applyFill="1" applyBorder="1"/>
    <xf numFmtId="0" fontId="133" fillId="5" borderId="1" xfId="0" applyFont="1" applyFill="1" applyBorder="1" applyAlignment="1">
      <alignment horizontal="center" vertical="center"/>
    </xf>
    <xf numFmtId="0" fontId="133" fillId="5" borderId="22" xfId="0" applyFont="1" applyFill="1" applyBorder="1"/>
    <xf numFmtId="0" fontId="133" fillId="5" borderId="20" xfId="0" applyFont="1" applyFill="1" applyBorder="1"/>
    <xf numFmtId="0" fontId="133" fillId="5" borderId="28" xfId="0" applyFont="1" applyFill="1" applyBorder="1"/>
    <xf numFmtId="0" fontId="133" fillId="5" borderId="19" xfId="0" applyFont="1" applyFill="1" applyBorder="1"/>
    <xf numFmtId="0" fontId="133" fillId="5" borderId="36" xfId="0" applyFont="1" applyFill="1" applyBorder="1"/>
    <xf numFmtId="0" fontId="133" fillId="5" borderId="39" xfId="0" applyFont="1" applyFill="1" applyBorder="1"/>
    <xf numFmtId="0" fontId="129" fillId="5" borderId="40" xfId="0" applyFont="1" applyFill="1" applyBorder="1"/>
    <xf numFmtId="0" fontId="131" fillId="5" borderId="40" xfId="0" applyFont="1" applyFill="1" applyBorder="1"/>
    <xf numFmtId="0" fontId="130" fillId="5" borderId="40" xfId="0" applyFont="1" applyFill="1" applyBorder="1"/>
    <xf numFmtId="0" fontId="130" fillId="5" borderId="41" xfId="0" applyFont="1" applyFill="1" applyBorder="1"/>
    <xf numFmtId="0" fontId="133" fillId="5" borderId="42" xfId="0" applyFont="1" applyFill="1" applyBorder="1"/>
    <xf numFmtId="0" fontId="134" fillId="6" borderId="1" xfId="0" applyFont="1" applyFill="1" applyBorder="1"/>
    <xf numFmtId="0" fontId="129" fillId="6" borderId="1" xfId="0" applyFont="1" applyFill="1" applyBorder="1"/>
    <xf numFmtId="0" fontId="135" fillId="6" borderId="1" xfId="0" applyFont="1" applyFill="1" applyBorder="1"/>
    <xf numFmtId="0" fontId="136" fillId="6" borderId="1" xfId="0" applyFont="1" applyFill="1" applyBorder="1" applyAlignment="1">
      <alignment horizontal="center" vertical="center"/>
    </xf>
    <xf numFmtId="0" fontId="129" fillId="6" borderId="1" xfId="0" applyFont="1" applyFill="1" applyBorder="1" applyAlignment="1">
      <alignment horizontal="center" vertical="center"/>
    </xf>
    <xf numFmtId="0" fontId="134" fillId="6" borderId="1" xfId="0" applyFont="1" applyFill="1" applyBorder="1" applyAlignment="1">
      <alignment horizontal="center"/>
    </xf>
    <xf numFmtId="0" fontId="129" fillId="6" borderId="1" xfId="0" applyFont="1" applyFill="1" applyBorder="1" applyAlignment="1">
      <alignment horizontal="center"/>
    </xf>
    <xf numFmtId="0" fontId="137" fillId="6" borderId="1" xfId="0" applyFont="1" applyFill="1" applyBorder="1" applyAlignment="1">
      <alignment horizontal="center"/>
    </xf>
    <xf numFmtId="173" fontId="129" fillId="6" borderId="1" xfId="0" applyNumberFormat="1" applyFont="1" applyFill="1" applyBorder="1"/>
    <xf numFmtId="37" fontId="129" fillId="6" borderId="1" xfId="0" applyNumberFormat="1" applyFont="1" applyFill="1" applyBorder="1"/>
    <xf numFmtId="173" fontId="134" fillId="6" borderId="1" xfId="0" applyNumberFormat="1" applyFont="1" applyFill="1" applyBorder="1"/>
    <xf numFmtId="37" fontId="134" fillId="6" borderId="1" xfId="0" applyNumberFormat="1" applyFont="1" applyFill="1" applyBorder="1"/>
    <xf numFmtId="0" fontId="138" fillId="6" borderId="1" xfId="0" applyFont="1" applyFill="1" applyBorder="1"/>
    <xf numFmtId="0" fontId="137" fillId="6" borderId="1" xfId="0" applyFont="1" applyFill="1" applyBorder="1" applyAlignment="1">
      <alignment horizontal="left"/>
    </xf>
    <xf numFmtId="0" fontId="139" fillId="6" borderId="1" xfId="0" applyFont="1" applyFill="1" applyBorder="1"/>
    <xf numFmtId="37" fontId="129" fillId="0" borderId="0" xfId="0" applyNumberFormat="1" applyFont="1"/>
    <xf numFmtId="0" fontId="140" fillId="0" borderId="0" xfId="0" applyFont="1"/>
    <xf numFmtId="0" fontId="141" fillId="0" borderId="0" xfId="0" applyFont="1"/>
    <xf numFmtId="0" fontId="142" fillId="0" borderId="0" xfId="0" applyFont="1" applyAlignment="1">
      <alignment horizontal="center"/>
    </xf>
    <xf numFmtId="0" fontId="119" fillId="7" borderId="1" xfId="0" applyFont="1" applyFill="1" applyBorder="1" applyAlignment="1">
      <alignment horizontal="center"/>
    </xf>
    <xf numFmtId="0" fontId="119" fillId="8" borderId="44" xfId="0" applyFont="1" applyFill="1" applyBorder="1" applyAlignment="1">
      <alignment horizontal="center" vertical="center" wrapText="1"/>
    </xf>
    <xf numFmtId="0" fontId="119" fillId="8" borderId="45" xfId="0" applyFont="1" applyFill="1" applyBorder="1" applyAlignment="1">
      <alignment horizontal="center" vertical="center" wrapText="1"/>
    </xf>
    <xf numFmtId="0" fontId="119" fillId="8" borderId="46" xfId="0" applyFont="1" applyFill="1" applyBorder="1" applyAlignment="1">
      <alignment horizontal="center" vertical="center" wrapText="1"/>
    </xf>
    <xf numFmtId="0" fontId="119" fillId="8" borderId="47" xfId="0" applyFont="1" applyFill="1" applyBorder="1" applyAlignment="1">
      <alignment horizontal="center" vertical="center" wrapText="1"/>
    </xf>
    <xf numFmtId="167" fontId="143" fillId="9" borderId="51" xfId="0" applyNumberFormat="1" applyFont="1" applyFill="1" applyBorder="1" applyAlignment="1">
      <alignment horizontal="center" vertical="center"/>
    </xf>
    <xf numFmtId="167" fontId="143" fillId="9" borderId="52" xfId="0" applyNumberFormat="1" applyFont="1" applyFill="1" applyBorder="1" applyAlignment="1">
      <alignment horizontal="center" vertical="center"/>
    </xf>
    <xf numFmtId="3" fontId="119" fillId="9" borderId="51" xfId="0" applyNumberFormat="1" applyFont="1" applyFill="1" applyBorder="1" applyAlignment="1">
      <alignment horizontal="center" vertical="center"/>
    </xf>
    <xf numFmtId="3" fontId="119" fillId="9" borderId="52" xfId="0" applyNumberFormat="1" applyFont="1" applyFill="1" applyBorder="1" applyAlignment="1">
      <alignment horizontal="center" vertical="center"/>
    </xf>
    <xf numFmtId="0" fontId="120" fillId="9" borderId="53" xfId="0" applyFont="1" applyFill="1" applyBorder="1" applyAlignment="1">
      <alignment wrapText="1"/>
    </xf>
    <xf numFmtId="0" fontId="120" fillId="0" borderId="43" xfId="0" applyFont="1" applyBorder="1" applyAlignment="1">
      <alignment horizontal="center" vertical="center" wrapText="1"/>
    </xf>
    <xf numFmtId="0" fontId="120" fillId="0" borderId="43" xfId="0" applyFont="1" applyBorder="1" applyAlignment="1">
      <alignment horizontal="center" vertical="center"/>
    </xf>
    <xf numFmtId="0" fontId="120" fillId="0" borderId="54" xfId="0" applyFont="1" applyBorder="1" applyAlignment="1">
      <alignment horizontal="left" vertical="center" wrapText="1"/>
    </xf>
    <xf numFmtId="37" fontId="120" fillId="0" borderId="0" xfId="0" applyNumberFormat="1" applyFont="1" applyAlignment="1">
      <alignment horizontal="center" vertical="center"/>
    </xf>
    <xf numFmtId="37" fontId="120" fillId="0" borderId="55" xfId="0" applyNumberFormat="1" applyFont="1" applyBorder="1" applyAlignment="1">
      <alignment horizontal="center" vertical="center"/>
    </xf>
    <xf numFmtId="0" fontId="120" fillId="0" borderId="56" xfId="0" applyFont="1" applyBorder="1" applyAlignment="1">
      <alignment horizontal="center" vertical="center" wrapText="1"/>
    </xf>
    <xf numFmtId="0" fontId="120" fillId="0" borderId="56" xfId="0" applyFont="1" applyBorder="1" applyAlignment="1">
      <alignment horizontal="center" vertical="center"/>
    </xf>
    <xf numFmtId="0" fontId="120" fillId="0" borderId="55" xfId="0" applyFont="1" applyBorder="1" applyAlignment="1">
      <alignment horizontal="left" vertical="center" wrapText="1"/>
    </xf>
    <xf numFmtId="0" fontId="120" fillId="0" borderId="54" xfId="0" applyFont="1" applyBorder="1" applyAlignment="1">
      <alignment horizontal="center" vertical="center" wrapText="1"/>
    </xf>
    <xf numFmtId="0" fontId="120" fillId="0" borderId="55" xfId="0" applyFont="1" applyBorder="1" applyAlignment="1">
      <alignment horizontal="center" vertical="center" wrapText="1"/>
    </xf>
    <xf numFmtId="0" fontId="120" fillId="0" borderId="48" xfId="0" applyFont="1" applyBorder="1" applyAlignment="1">
      <alignment horizontal="center" vertical="center" wrapText="1"/>
    </xf>
    <xf numFmtId="0" fontId="120" fillId="0" borderId="48" xfId="0" applyFont="1" applyBorder="1" applyAlignment="1">
      <alignment horizontal="center" vertical="center"/>
    </xf>
    <xf numFmtId="0" fontId="120" fillId="0" borderId="57" xfId="0" applyFont="1" applyBorder="1" applyAlignment="1">
      <alignment horizontal="center" vertical="center" wrapText="1"/>
    </xf>
    <xf numFmtId="0" fontId="120" fillId="0" borderId="58" xfId="0" applyFont="1" applyBorder="1" applyAlignment="1">
      <alignment horizontal="center" vertical="center" wrapText="1"/>
    </xf>
    <xf numFmtId="37" fontId="120" fillId="0" borderId="57" xfId="0" applyNumberFormat="1" applyFont="1" applyBorder="1" applyAlignment="1">
      <alignment horizontal="center" vertical="center"/>
    </xf>
    <xf numFmtId="37" fontId="120" fillId="0" borderId="59" xfId="0" applyNumberFormat="1" applyFont="1" applyBorder="1" applyAlignment="1">
      <alignment horizontal="center" vertical="center"/>
    </xf>
    <xf numFmtId="0" fontId="120" fillId="0" borderId="0" xfId="0" applyFont="1" applyAlignment="1">
      <alignment wrapText="1"/>
    </xf>
    <xf numFmtId="0" fontId="120" fillId="0" borderId="0" xfId="0" applyFont="1" applyAlignment="1">
      <alignment horizontal="center" wrapText="1"/>
    </xf>
    <xf numFmtId="0" fontId="120" fillId="0" borderId="0" xfId="0" applyFont="1" applyAlignment="1">
      <alignment horizontal="right"/>
    </xf>
    <xf numFmtId="43" fontId="120" fillId="0" borderId="0" xfId="0" applyNumberFormat="1" applyFont="1" applyAlignment="1">
      <alignment horizontal="center"/>
    </xf>
    <xf numFmtId="0" fontId="120" fillId="0" borderId="60" xfId="0" applyFont="1" applyBorder="1" applyAlignment="1">
      <alignment horizontal="right" vertical="center"/>
    </xf>
    <xf numFmtId="0" fontId="120" fillId="0" borderId="60" xfId="0" applyFont="1" applyBorder="1" applyAlignment="1">
      <alignment vertical="center"/>
    </xf>
    <xf numFmtId="0" fontId="120" fillId="7" borderId="60" xfId="0" applyFont="1" applyFill="1" applyBorder="1" applyAlignment="1">
      <alignment horizontal="right" vertical="center" wrapText="1"/>
    </xf>
    <xf numFmtId="0" fontId="120" fillId="0" borderId="60" xfId="0" applyFont="1" applyBorder="1" applyAlignment="1">
      <alignment horizontal="center" vertical="center"/>
    </xf>
    <xf numFmtId="0" fontId="120" fillId="0" borderId="60" xfId="0" applyFont="1" applyBorder="1" applyAlignment="1">
      <alignment horizontal="center" vertical="center" wrapText="1"/>
    </xf>
    <xf numFmtId="0" fontId="120" fillId="0" borderId="0" xfId="0" applyFont="1" applyAlignment="1">
      <alignment horizontal="left"/>
    </xf>
    <xf numFmtId="43" fontId="120" fillId="0" borderId="0" xfId="0" applyNumberFormat="1" applyFont="1"/>
    <xf numFmtId="43" fontId="120" fillId="0" borderId="61" xfId="0" applyNumberFormat="1" applyFont="1" applyBorder="1"/>
    <xf numFmtId="43" fontId="120" fillId="0" borderId="62" xfId="0" applyNumberFormat="1" applyFont="1" applyBorder="1"/>
    <xf numFmtId="175" fontId="120" fillId="0" borderId="63" xfId="0" applyNumberFormat="1" applyFont="1" applyBorder="1"/>
    <xf numFmtId="0" fontId="121" fillId="0" borderId="0" xfId="0" applyFont="1"/>
    <xf numFmtId="176" fontId="121" fillId="0" borderId="0" xfId="0" applyNumberFormat="1" applyFont="1" applyAlignment="1">
      <alignment horizontal="left"/>
    </xf>
    <xf numFmtId="0" fontId="145" fillId="0" borderId="0" xfId="0" applyFont="1" applyAlignment="1">
      <alignment horizontal="center"/>
    </xf>
    <xf numFmtId="49" fontId="121" fillId="0" borderId="0" xfId="0" applyNumberFormat="1" applyFont="1" applyAlignment="1">
      <alignment horizontal="center" vertical="center"/>
    </xf>
    <xf numFmtId="170" fontId="121" fillId="10" borderId="1" xfId="0" applyNumberFormat="1" applyFont="1" applyFill="1" applyBorder="1" applyAlignment="1">
      <alignment horizontal="center" vertical="center"/>
    </xf>
    <xf numFmtId="170" fontId="121" fillId="10" borderId="1" xfId="0" applyNumberFormat="1" applyFont="1" applyFill="1" applyBorder="1" applyAlignment="1">
      <alignment horizontal="center"/>
    </xf>
    <xf numFmtId="173" fontId="121" fillId="0" borderId="0" xfId="0" applyNumberFormat="1" applyFont="1" applyAlignment="1">
      <alignment horizontal="center"/>
    </xf>
    <xf numFmtId="170" fontId="121" fillId="0" borderId="0" xfId="0" applyNumberFormat="1" applyFont="1"/>
    <xf numFmtId="43" fontId="121" fillId="0" borderId="0" xfId="0" applyNumberFormat="1" applyFont="1" applyAlignment="1">
      <alignment horizontal="center"/>
    </xf>
    <xf numFmtId="0" fontId="121" fillId="11" borderId="1" xfId="0" applyFont="1" applyFill="1" applyBorder="1" applyAlignment="1">
      <alignment horizontal="center"/>
    </xf>
    <xf numFmtId="177" fontId="121" fillId="0" borderId="0" xfId="0" applyNumberFormat="1" applyFont="1"/>
    <xf numFmtId="44" fontId="121" fillId="0" borderId="0" xfId="0" applyNumberFormat="1" applyFont="1"/>
    <xf numFmtId="0" fontId="121" fillId="11" borderId="1" xfId="0" applyFont="1" applyFill="1" applyBorder="1" applyAlignment="1">
      <alignment horizontal="right"/>
    </xf>
    <xf numFmtId="43" fontId="121" fillId="11" borderId="1" xfId="0" applyNumberFormat="1" applyFont="1" applyFill="1" applyBorder="1"/>
    <xf numFmtId="0" fontId="119" fillId="12" borderId="60" xfId="0" applyFont="1" applyFill="1" applyBorder="1" applyAlignment="1">
      <alignment horizontal="center"/>
    </xf>
    <xf numFmtId="0" fontId="119" fillId="12" borderId="64" xfId="0" applyFont="1" applyFill="1" applyBorder="1" applyAlignment="1">
      <alignment horizontal="center"/>
    </xf>
    <xf numFmtId="0" fontId="119" fillId="12" borderId="65" xfId="0" applyFont="1" applyFill="1" applyBorder="1" applyAlignment="1">
      <alignment horizontal="center"/>
    </xf>
    <xf numFmtId="0" fontId="119" fillId="12" borderId="66" xfId="0" applyFont="1" applyFill="1" applyBorder="1" applyAlignment="1">
      <alignment horizontal="center"/>
    </xf>
    <xf numFmtId="0" fontId="119" fillId="12" borderId="67" xfId="0" applyFont="1" applyFill="1" applyBorder="1" applyAlignment="1">
      <alignment horizontal="center"/>
    </xf>
    <xf numFmtId="0" fontId="119" fillId="0" borderId="68" xfId="0" applyFont="1" applyBorder="1"/>
    <xf numFmtId="37" fontId="119" fillId="0" borderId="69" xfId="0" applyNumberFormat="1" applyFont="1" applyBorder="1" applyAlignment="1">
      <alignment horizontal="center"/>
    </xf>
    <xf numFmtId="1" fontId="119" fillId="0" borderId="71" xfId="0" applyNumberFormat="1" applyFont="1" applyBorder="1" applyAlignment="1">
      <alignment horizontal="center"/>
    </xf>
    <xf numFmtId="1" fontId="119" fillId="0" borderId="72" xfId="0" applyNumberFormat="1" applyFont="1" applyBorder="1" applyAlignment="1">
      <alignment horizontal="center"/>
    </xf>
    <xf numFmtId="9" fontId="119" fillId="0" borderId="73" xfId="0" applyNumberFormat="1" applyFont="1" applyBorder="1" applyAlignment="1">
      <alignment horizontal="center"/>
    </xf>
    <xf numFmtId="9" fontId="119" fillId="0" borderId="74" xfId="0" applyNumberFormat="1" applyFont="1" applyBorder="1" applyAlignment="1">
      <alignment horizontal="center"/>
    </xf>
    <xf numFmtId="0" fontId="120" fillId="0" borderId="68" xfId="0" applyFont="1" applyBorder="1"/>
    <xf numFmtId="167" fontId="120" fillId="0" borderId="69" xfId="0" applyNumberFormat="1" applyFont="1" applyBorder="1" applyAlignment="1">
      <alignment horizontal="center"/>
    </xf>
    <xf numFmtId="167" fontId="120" fillId="0" borderId="71" xfId="0" applyNumberFormat="1" applyFont="1" applyBorder="1" applyAlignment="1">
      <alignment horizontal="center"/>
    </xf>
    <xf numFmtId="167" fontId="120" fillId="0" borderId="72" xfId="0" applyNumberFormat="1" applyFont="1" applyBorder="1" applyAlignment="1">
      <alignment horizontal="center"/>
    </xf>
    <xf numFmtId="9" fontId="120" fillId="0" borderId="69" xfId="0" applyNumberFormat="1" applyFont="1" applyBorder="1" applyAlignment="1">
      <alignment horizontal="center"/>
    </xf>
    <xf numFmtId="9" fontId="120" fillId="0" borderId="71" xfId="0" applyNumberFormat="1" applyFont="1" applyBorder="1" applyAlignment="1">
      <alignment horizontal="center"/>
    </xf>
    <xf numFmtId="9" fontId="120" fillId="0" borderId="75" xfId="0" applyNumberFormat="1" applyFont="1" applyBorder="1" applyAlignment="1">
      <alignment horizontal="center"/>
    </xf>
    <xf numFmtId="2" fontId="120" fillId="0" borderId="71" xfId="0" applyNumberFormat="1" applyFont="1" applyBorder="1" applyAlignment="1">
      <alignment horizontal="center"/>
    </xf>
    <xf numFmtId="2" fontId="120" fillId="0" borderId="72" xfId="0" applyNumberFormat="1" applyFont="1" applyBorder="1" applyAlignment="1">
      <alignment horizontal="center"/>
    </xf>
    <xf numFmtId="9" fontId="120" fillId="0" borderId="72" xfId="0" applyNumberFormat="1" applyFont="1" applyBorder="1" applyAlignment="1">
      <alignment horizontal="center"/>
    </xf>
    <xf numFmtId="0" fontId="119" fillId="0" borderId="76" xfId="0" applyFont="1" applyBorder="1"/>
    <xf numFmtId="0" fontId="120" fillId="0" borderId="77" xfId="0" applyFont="1" applyBorder="1"/>
    <xf numFmtId="167" fontId="120" fillId="0" borderId="78" xfId="0" applyNumberFormat="1" applyFont="1" applyBorder="1" applyAlignment="1">
      <alignment horizontal="center"/>
    </xf>
    <xf numFmtId="167" fontId="120" fillId="0" borderId="79" xfId="0" applyNumberFormat="1" applyFont="1" applyBorder="1" applyAlignment="1">
      <alignment horizontal="center"/>
    </xf>
    <xf numFmtId="9" fontId="120" fillId="0" borderId="78" xfId="0" applyNumberFormat="1" applyFont="1" applyBorder="1" applyAlignment="1">
      <alignment horizontal="center"/>
    </xf>
    <xf numFmtId="9" fontId="120" fillId="0" borderId="80" xfId="0" applyNumberFormat="1" applyFont="1" applyBorder="1" applyAlignment="1">
      <alignment horizontal="center"/>
    </xf>
    <xf numFmtId="0" fontId="120" fillId="0" borderId="68" xfId="0" applyFont="1" applyBorder="1" applyAlignment="1">
      <alignment horizontal="left"/>
    </xf>
    <xf numFmtId="0" fontId="120" fillId="0" borderId="69" xfId="0" applyFont="1" applyBorder="1" applyAlignment="1">
      <alignment horizontal="center"/>
    </xf>
    <xf numFmtId="0" fontId="120" fillId="0" borderId="81" xfId="0" applyFont="1" applyBorder="1" applyAlignment="1">
      <alignment horizontal="left"/>
    </xf>
    <xf numFmtId="167" fontId="120" fillId="0" borderId="82" xfId="0" applyNumberFormat="1" applyFont="1" applyBorder="1" applyAlignment="1">
      <alignment horizontal="center"/>
    </xf>
    <xf numFmtId="167" fontId="120" fillId="0" borderId="84" xfId="0" applyNumberFormat="1" applyFont="1" applyBorder="1" applyAlignment="1">
      <alignment horizontal="center"/>
    </xf>
    <xf numFmtId="167" fontId="120" fillId="0" borderId="85" xfId="0" applyNumberFormat="1" applyFont="1" applyBorder="1" applyAlignment="1">
      <alignment horizontal="center"/>
    </xf>
    <xf numFmtId="9" fontId="120" fillId="0" borderId="84" xfId="0" applyNumberFormat="1" applyFont="1" applyBorder="1" applyAlignment="1">
      <alignment horizontal="center"/>
    </xf>
    <xf numFmtId="9" fontId="120" fillId="0" borderId="86" xfId="0" applyNumberFormat="1" applyFont="1" applyBorder="1" applyAlignment="1">
      <alignment horizontal="center"/>
    </xf>
    <xf numFmtId="167" fontId="120" fillId="0" borderId="0" xfId="0" applyNumberFormat="1" applyFont="1"/>
    <xf numFmtId="0" fontId="119" fillId="14" borderId="60" xfId="0" applyFont="1" applyFill="1" applyBorder="1" applyAlignment="1">
      <alignment horizontal="center"/>
    </xf>
    <xf numFmtId="0" fontId="119" fillId="14" borderId="64" xfId="0" applyFont="1" applyFill="1" applyBorder="1" applyAlignment="1">
      <alignment horizontal="center"/>
    </xf>
    <xf numFmtId="0" fontId="119" fillId="14" borderId="65" xfId="0" applyFont="1" applyFill="1" applyBorder="1" applyAlignment="1">
      <alignment horizontal="center"/>
    </xf>
    <xf numFmtId="0" fontId="119" fillId="14" borderId="67" xfId="0" applyFont="1" applyFill="1" applyBorder="1" applyAlignment="1">
      <alignment horizontal="center"/>
    </xf>
    <xf numFmtId="0" fontId="119" fillId="15" borderId="60" xfId="0" applyFont="1" applyFill="1" applyBorder="1" applyAlignment="1">
      <alignment horizontal="center"/>
    </xf>
    <xf numFmtId="177" fontId="120" fillId="0" borderId="69" xfId="0" applyNumberFormat="1" applyFont="1" applyBorder="1" applyAlignment="1">
      <alignment horizontal="center"/>
    </xf>
    <xf numFmtId="0" fontId="119" fillId="9" borderId="60" xfId="0" applyFont="1" applyFill="1" applyBorder="1" applyAlignment="1">
      <alignment horizontal="center"/>
    </xf>
    <xf numFmtId="0" fontId="119" fillId="9" borderId="64" xfId="0" applyFont="1" applyFill="1" applyBorder="1" applyAlignment="1">
      <alignment horizontal="center"/>
    </xf>
    <xf numFmtId="0" fontId="119" fillId="9" borderId="65" xfId="0" applyFont="1" applyFill="1" applyBorder="1" applyAlignment="1">
      <alignment horizontal="center"/>
    </xf>
    <xf numFmtId="0" fontId="119" fillId="9" borderId="67" xfId="0" applyFont="1" applyFill="1" applyBorder="1" applyAlignment="1">
      <alignment horizontal="center"/>
    </xf>
    <xf numFmtId="167" fontId="119" fillId="0" borderId="69" xfId="0" applyNumberFormat="1" applyFont="1" applyBorder="1" applyAlignment="1">
      <alignment horizontal="center"/>
    </xf>
    <xf numFmtId="167" fontId="119" fillId="0" borderId="71" xfId="0" applyNumberFormat="1" applyFont="1" applyBorder="1" applyAlignment="1">
      <alignment horizontal="center"/>
    </xf>
    <xf numFmtId="167" fontId="119" fillId="0" borderId="72" xfId="0" applyNumberFormat="1" applyFont="1" applyBorder="1" applyAlignment="1">
      <alignment horizontal="center"/>
    </xf>
    <xf numFmtId="9" fontId="119" fillId="0" borderId="71" xfId="0" applyNumberFormat="1" applyFont="1" applyBorder="1" applyAlignment="1">
      <alignment horizontal="center"/>
    </xf>
    <xf numFmtId="9" fontId="119" fillId="0" borderId="75" xfId="0" applyNumberFormat="1" applyFont="1" applyBorder="1" applyAlignment="1">
      <alignment horizontal="center"/>
    </xf>
    <xf numFmtId="0" fontId="120" fillId="0" borderId="81" xfId="0" applyFont="1" applyBorder="1"/>
    <xf numFmtId="0" fontId="119" fillId="8" borderId="60" xfId="0" applyFont="1" applyFill="1" applyBorder="1" applyAlignment="1">
      <alignment horizontal="center"/>
    </xf>
    <xf numFmtId="0" fontId="119" fillId="8" borderId="64" xfId="0" applyFont="1" applyFill="1" applyBorder="1" applyAlignment="1">
      <alignment horizontal="center"/>
    </xf>
    <xf numFmtId="0" fontId="119" fillId="8" borderId="65" xfId="0" applyFont="1" applyFill="1" applyBorder="1" applyAlignment="1">
      <alignment horizontal="center"/>
    </xf>
    <xf numFmtId="0" fontId="119" fillId="8" borderId="67" xfId="0" applyFont="1" applyFill="1" applyBorder="1" applyAlignment="1">
      <alignment horizontal="center"/>
    </xf>
    <xf numFmtId="0" fontId="119" fillId="16" borderId="60" xfId="0" applyFont="1" applyFill="1" applyBorder="1" applyAlignment="1">
      <alignment horizontal="center"/>
    </xf>
    <xf numFmtId="0" fontId="119" fillId="0" borderId="68" xfId="0" applyFont="1" applyBorder="1" applyAlignment="1">
      <alignment horizontal="left"/>
    </xf>
    <xf numFmtId="0" fontId="119" fillId="17" borderId="60" xfId="0" applyFont="1" applyFill="1" applyBorder="1" applyAlignment="1">
      <alignment horizontal="center"/>
    </xf>
    <xf numFmtId="0" fontId="119" fillId="17" borderId="64" xfId="0" applyFont="1" applyFill="1" applyBorder="1" applyAlignment="1">
      <alignment horizontal="center"/>
    </xf>
    <xf numFmtId="0" fontId="119" fillId="17" borderId="65" xfId="0" applyFont="1" applyFill="1" applyBorder="1" applyAlignment="1">
      <alignment horizontal="center"/>
    </xf>
    <xf numFmtId="0" fontId="119" fillId="17" borderId="67" xfId="0" applyFont="1" applyFill="1" applyBorder="1" applyAlignment="1">
      <alignment horizontal="center"/>
    </xf>
    <xf numFmtId="0" fontId="119" fillId="18" borderId="87" xfId="0" applyFont="1" applyFill="1" applyBorder="1" applyAlignment="1">
      <alignment horizontal="center"/>
    </xf>
    <xf numFmtId="1" fontId="120" fillId="0" borderId="69" xfId="0" applyNumberFormat="1" applyFont="1" applyBorder="1" applyAlignment="1">
      <alignment horizontal="center"/>
    </xf>
    <xf numFmtId="1" fontId="120" fillId="0" borderId="71" xfId="0" applyNumberFormat="1" applyFont="1" applyBorder="1" applyAlignment="1">
      <alignment horizontal="center"/>
    </xf>
    <xf numFmtId="1" fontId="120" fillId="0" borderId="72" xfId="0" applyNumberFormat="1" applyFont="1" applyBorder="1" applyAlignment="1">
      <alignment horizontal="center"/>
    </xf>
    <xf numFmtId="0" fontId="119" fillId="19" borderId="60" xfId="0" applyFont="1" applyFill="1" applyBorder="1" applyAlignment="1">
      <alignment horizontal="center"/>
    </xf>
    <xf numFmtId="0" fontId="119" fillId="19" borderId="64" xfId="0" applyFont="1" applyFill="1" applyBorder="1" applyAlignment="1">
      <alignment horizontal="center"/>
    </xf>
    <xf numFmtId="0" fontId="119" fillId="19" borderId="65" xfId="0" applyFont="1" applyFill="1" applyBorder="1" applyAlignment="1">
      <alignment horizontal="center"/>
    </xf>
    <xf numFmtId="0" fontId="119" fillId="19" borderId="67" xfId="0" applyFont="1" applyFill="1" applyBorder="1" applyAlignment="1">
      <alignment horizontal="center"/>
    </xf>
    <xf numFmtId="0" fontId="119" fillId="20" borderId="60" xfId="0" applyFont="1" applyFill="1" applyBorder="1" applyAlignment="1">
      <alignment horizontal="center"/>
    </xf>
    <xf numFmtId="167" fontId="120" fillId="0" borderId="73" xfId="0" applyNumberFormat="1" applyFont="1" applyBorder="1" applyAlignment="1">
      <alignment horizontal="center"/>
    </xf>
    <xf numFmtId="167" fontId="120" fillId="0" borderId="89" xfId="0" applyNumberFormat="1" applyFont="1" applyBorder="1" applyAlignment="1">
      <alignment horizontal="center"/>
    </xf>
    <xf numFmtId="173" fontId="120" fillId="0" borderId="69" xfId="0" applyNumberFormat="1" applyFont="1" applyBorder="1" applyAlignment="1">
      <alignment horizontal="center"/>
    </xf>
    <xf numFmtId="173" fontId="120" fillId="0" borderId="82" xfId="0" applyNumberFormat="1" applyFont="1" applyBorder="1" applyAlignment="1">
      <alignment horizontal="center"/>
    </xf>
    <xf numFmtId="2" fontId="120" fillId="0" borderId="84" xfId="0" applyNumberFormat="1" applyFont="1" applyBorder="1" applyAlignment="1">
      <alignment horizontal="center"/>
    </xf>
    <xf numFmtId="2" fontId="120" fillId="0" borderId="85" xfId="0" applyNumberFormat="1" applyFont="1" applyBorder="1" applyAlignment="1">
      <alignment horizontal="center"/>
    </xf>
    <xf numFmtId="0" fontId="124" fillId="0" borderId="0" xfId="0" applyFont="1" applyAlignment="1">
      <alignment horizontal="center" vertical="center"/>
    </xf>
    <xf numFmtId="0" fontId="129" fillId="0" borderId="0" xfId="0" applyFont="1" applyAlignment="1">
      <alignment horizontal="center"/>
    </xf>
    <xf numFmtId="0" fontId="148" fillId="21" borderId="10" xfId="0" applyFont="1" applyFill="1" applyBorder="1"/>
    <xf numFmtId="0" fontId="149" fillId="21" borderId="11" xfId="0" applyFont="1" applyFill="1" applyBorder="1"/>
    <xf numFmtId="0" fontId="130" fillId="0" borderId="3" xfId="0" applyFont="1" applyBorder="1"/>
    <xf numFmtId="0" fontId="150" fillId="21" borderId="20" xfId="0" applyFont="1" applyFill="1" applyBorder="1"/>
    <xf numFmtId="10" fontId="150" fillId="21" borderId="21" xfId="0" applyNumberFormat="1" applyFont="1" applyFill="1" applyBorder="1"/>
    <xf numFmtId="0" fontId="130" fillId="0" borderId="6" xfId="0" applyFont="1" applyBorder="1"/>
    <xf numFmtId="3" fontId="130" fillId="0" borderId="90" xfId="0" applyNumberFormat="1" applyFont="1" applyBorder="1" applyAlignment="1">
      <alignment horizontal="center"/>
    </xf>
    <xf numFmtId="3" fontId="130" fillId="0" borderId="0" xfId="0" applyNumberFormat="1" applyFont="1" applyAlignment="1">
      <alignment horizontal="center"/>
    </xf>
    <xf numFmtId="3" fontId="130" fillId="0" borderId="9" xfId="0" applyNumberFormat="1" applyFont="1" applyBorder="1" applyAlignment="1">
      <alignment horizontal="center"/>
    </xf>
    <xf numFmtId="3" fontId="130" fillId="0" borderId="8" xfId="0" applyNumberFormat="1" applyFont="1" applyBorder="1" applyAlignment="1">
      <alignment horizontal="center"/>
    </xf>
    <xf numFmtId="0" fontId="130" fillId="0" borderId="91" xfId="0" applyFont="1" applyBorder="1"/>
    <xf numFmtId="3" fontId="130" fillId="0" borderId="14" xfId="0" applyNumberFormat="1" applyFont="1" applyBorder="1" applyAlignment="1">
      <alignment horizontal="center"/>
    </xf>
    <xf numFmtId="3" fontId="130" fillId="0" borderId="5" xfId="0" applyNumberFormat="1" applyFont="1" applyBorder="1"/>
    <xf numFmtId="3" fontId="130" fillId="0" borderId="14" xfId="0" applyNumberFormat="1" applyFont="1" applyBorder="1" applyAlignment="1">
      <alignment horizontal="right"/>
    </xf>
    <xf numFmtId="3" fontId="130" fillId="0" borderId="91" xfId="0" applyNumberFormat="1" applyFont="1" applyBorder="1" applyAlignment="1">
      <alignment horizontal="center"/>
    </xf>
    <xf numFmtId="0" fontId="130" fillId="0" borderId="8" xfId="0" applyFont="1" applyBorder="1"/>
    <xf numFmtId="3" fontId="130" fillId="0" borderId="0" xfId="0" applyNumberFormat="1" applyFont="1"/>
    <xf numFmtId="3" fontId="130" fillId="0" borderId="8" xfId="0" applyNumberFormat="1" applyFont="1" applyBorder="1"/>
    <xf numFmtId="3" fontId="130" fillId="0" borderId="9" xfId="0" applyNumberFormat="1" applyFont="1" applyBorder="1"/>
    <xf numFmtId="0" fontId="149" fillId="21" borderId="12" xfId="0" applyFont="1" applyFill="1" applyBorder="1"/>
    <xf numFmtId="10" fontId="150" fillId="21" borderId="13" xfId="0" applyNumberFormat="1" applyFont="1" applyFill="1" applyBorder="1"/>
    <xf numFmtId="0" fontId="123" fillId="0" borderId="6" xfId="0" applyFont="1" applyBorder="1"/>
    <xf numFmtId="3" fontId="123" fillId="0" borderId="90" xfId="0" applyNumberFormat="1" applyFont="1" applyBorder="1"/>
    <xf numFmtId="3" fontId="123" fillId="0" borderId="7" xfId="0" applyNumberFormat="1" applyFont="1" applyBorder="1"/>
    <xf numFmtId="3" fontId="123" fillId="0" borderId="6" xfId="0" applyNumberFormat="1" applyFont="1" applyBorder="1"/>
    <xf numFmtId="0" fontId="130" fillId="0" borderId="9" xfId="0" applyFont="1" applyBorder="1"/>
    <xf numFmtId="173" fontId="123" fillId="0" borderId="8" xfId="0" applyNumberFormat="1" applyFont="1" applyBorder="1"/>
    <xf numFmtId="173" fontId="123" fillId="0" borderId="9" xfId="0" applyNumberFormat="1" applyFont="1" applyBorder="1"/>
    <xf numFmtId="0" fontId="123" fillId="0" borderId="91" xfId="0" applyFont="1" applyBorder="1"/>
    <xf numFmtId="3" fontId="130" fillId="0" borderId="91" xfId="0" applyNumberFormat="1" applyFont="1" applyBorder="1"/>
    <xf numFmtId="3" fontId="123" fillId="0" borderId="91" xfId="0" applyNumberFormat="1" applyFont="1" applyBorder="1"/>
    <xf numFmtId="3" fontId="123" fillId="0" borderId="14" xfId="0" applyNumberFormat="1" applyFont="1" applyBorder="1"/>
    <xf numFmtId="0" fontId="123" fillId="0" borderId="8" xfId="0" applyFont="1" applyBorder="1"/>
    <xf numFmtId="3" fontId="130" fillId="0" borderId="90" xfId="0" applyNumberFormat="1" applyFont="1" applyBorder="1"/>
    <xf numFmtId="3" fontId="130" fillId="0" borderId="7" xfId="0" applyNumberFormat="1" applyFont="1" applyBorder="1"/>
    <xf numFmtId="3" fontId="130" fillId="0" borderId="6" xfId="0" applyNumberFormat="1" applyFont="1" applyBorder="1"/>
    <xf numFmtId="43" fontId="130" fillId="0" borderId="0" xfId="0" applyNumberFormat="1" applyFont="1"/>
    <xf numFmtId="3" fontId="123" fillId="0" borderId="8" xfId="0" applyNumberFormat="1" applyFont="1" applyBorder="1"/>
    <xf numFmtId="37" fontId="130" fillId="0" borderId="9" xfId="0" applyNumberFormat="1" applyFont="1" applyBorder="1"/>
    <xf numFmtId="37" fontId="130" fillId="0" borderId="8" xfId="0" applyNumberFormat="1" applyFont="1" applyBorder="1"/>
    <xf numFmtId="0" fontId="123" fillId="3" borderId="10" xfId="0" applyFont="1" applyFill="1" applyBorder="1"/>
    <xf numFmtId="37" fontId="123" fillId="3" borderId="26" xfId="0" applyNumberFormat="1" applyFont="1" applyFill="1" applyBorder="1"/>
    <xf numFmtId="3" fontId="123" fillId="3" borderId="26" xfId="0" applyNumberFormat="1" applyFont="1" applyFill="1" applyBorder="1"/>
    <xf numFmtId="37" fontId="123" fillId="3" borderId="11" xfId="0" applyNumberFormat="1" applyFont="1" applyFill="1" applyBorder="1"/>
    <xf numFmtId="37" fontId="123" fillId="3" borderId="10" xfId="0" applyNumberFormat="1" applyFont="1" applyFill="1" applyBorder="1"/>
    <xf numFmtId="0" fontId="123" fillId="3" borderId="12" xfId="0" applyFont="1" applyFill="1" applyBorder="1"/>
    <xf numFmtId="0" fontId="123" fillId="3" borderId="27" xfId="0" applyFont="1" applyFill="1" applyBorder="1"/>
    <xf numFmtId="0" fontId="123" fillId="3" borderId="13" xfId="0" applyFont="1" applyFill="1" applyBorder="1"/>
    <xf numFmtId="173" fontId="123" fillId="3" borderId="12" xfId="0" applyNumberFormat="1" applyFont="1" applyFill="1" applyBorder="1"/>
    <xf numFmtId="173" fontId="123" fillId="3" borderId="13" xfId="0" applyNumberFormat="1" applyFont="1" applyFill="1" applyBorder="1"/>
    <xf numFmtId="0" fontId="123" fillId="0" borderId="9" xfId="0" applyFont="1" applyBorder="1"/>
    <xf numFmtId="0" fontId="123" fillId="0" borderId="8" xfId="0" applyFont="1" applyBorder="1" applyAlignment="1">
      <alignment horizontal="left"/>
    </xf>
    <xf numFmtId="173" fontId="130" fillId="0" borderId="0" xfId="0" applyNumberFormat="1" applyFont="1" applyAlignment="1">
      <alignment horizontal="right"/>
    </xf>
    <xf numFmtId="37" fontId="130" fillId="0" borderId="0" xfId="0" applyNumberFormat="1" applyFont="1"/>
    <xf numFmtId="173" fontId="130" fillId="0" borderId="8" xfId="0" applyNumberFormat="1" applyFont="1" applyBorder="1"/>
    <xf numFmtId="173" fontId="130" fillId="0" borderId="14" xfId="0" applyNumberFormat="1" applyFont="1" applyBorder="1" applyAlignment="1">
      <alignment horizontal="right"/>
    </xf>
    <xf numFmtId="37" fontId="130" fillId="0" borderId="14" xfId="0" applyNumberFormat="1" applyFont="1" applyBorder="1"/>
    <xf numFmtId="173" fontId="130" fillId="0" borderId="91" xfId="0" applyNumberFormat="1" applyFont="1" applyBorder="1"/>
    <xf numFmtId="37" fontId="130" fillId="0" borderId="5" xfId="0" applyNumberFormat="1" applyFont="1" applyBorder="1"/>
    <xf numFmtId="0" fontId="130" fillId="0" borderId="0" xfId="0" applyFont="1" applyAlignment="1">
      <alignment horizontal="right"/>
    </xf>
    <xf numFmtId="0" fontId="130" fillId="0" borderId="8" xfId="0" applyFont="1" applyBorder="1" applyAlignment="1">
      <alignment horizontal="right"/>
    </xf>
    <xf numFmtId="0" fontId="130" fillId="0" borderId="14" xfId="0" applyFont="1" applyBorder="1" applyAlignment="1">
      <alignment horizontal="right"/>
    </xf>
    <xf numFmtId="0" fontId="130" fillId="0" borderId="91" xfId="0" applyFont="1" applyBorder="1" applyAlignment="1">
      <alignment horizontal="right"/>
    </xf>
    <xf numFmtId="0" fontId="123" fillId="3" borderId="28" xfId="0" applyFont="1" applyFill="1" applyBorder="1"/>
    <xf numFmtId="0" fontId="123" fillId="3" borderId="29" xfId="0" applyFont="1" applyFill="1" applyBorder="1" applyAlignment="1">
      <alignment horizontal="center"/>
    </xf>
    <xf numFmtId="173" fontId="123" fillId="3" borderId="29" xfId="0" applyNumberFormat="1" applyFont="1" applyFill="1" applyBorder="1"/>
    <xf numFmtId="37" fontId="123" fillId="3" borderId="30" xfId="0" applyNumberFormat="1" applyFont="1" applyFill="1" applyBorder="1"/>
    <xf numFmtId="0" fontId="123" fillId="3" borderId="28" xfId="0" applyFont="1" applyFill="1" applyBorder="1" applyAlignment="1">
      <alignment horizontal="center"/>
    </xf>
    <xf numFmtId="0" fontId="130" fillId="3" borderId="31" xfId="0" applyFont="1" applyFill="1" applyBorder="1"/>
    <xf numFmtId="0" fontId="130" fillId="3" borderId="28" xfId="0" applyFont="1" applyFill="1" applyBorder="1"/>
    <xf numFmtId="0" fontId="131" fillId="0" borderId="8" xfId="0" applyFont="1" applyBorder="1"/>
    <xf numFmtId="0" fontId="131" fillId="0" borderId="91" xfId="0" applyFont="1" applyBorder="1"/>
    <xf numFmtId="0" fontId="130" fillId="0" borderId="90" xfId="0" applyFont="1" applyBorder="1" applyAlignment="1">
      <alignment horizontal="right"/>
    </xf>
    <xf numFmtId="0" fontId="130" fillId="0" borderId="90" xfId="0" applyFont="1" applyBorder="1"/>
    <xf numFmtId="0" fontId="130" fillId="0" borderId="6" xfId="0" applyFont="1" applyBorder="1" applyAlignment="1">
      <alignment horizontal="right"/>
    </xf>
    <xf numFmtId="37" fontId="130" fillId="0" borderId="7" xfId="0" applyNumberFormat="1" applyFont="1" applyBorder="1"/>
    <xf numFmtId="0" fontId="130" fillId="0" borderId="14" xfId="0" applyFont="1" applyBorder="1"/>
    <xf numFmtId="37" fontId="123" fillId="0" borderId="0" xfId="0" applyNumberFormat="1" applyFont="1"/>
    <xf numFmtId="1" fontId="130" fillId="0" borderId="8" xfId="0" applyNumberFormat="1" applyFont="1" applyBorder="1"/>
    <xf numFmtId="170" fontId="130" fillId="0" borderId="0" xfId="0" applyNumberFormat="1" applyFont="1"/>
    <xf numFmtId="0" fontId="123" fillId="6" borderId="20" xfId="0" applyFont="1" applyFill="1" applyBorder="1"/>
    <xf numFmtId="0" fontId="130" fillId="6" borderId="1" xfId="0" applyFont="1" applyFill="1" applyBorder="1"/>
    <xf numFmtId="0" fontId="123" fillId="6" borderId="1" xfId="0" applyFont="1" applyFill="1" applyBorder="1"/>
    <xf numFmtId="37" fontId="123" fillId="6" borderId="21" xfId="0" applyNumberFormat="1" applyFont="1" applyFill="1" applyBorder="1"/>
    <xf numFmtId="0" fontId="130" fillId="6" borderId="20" xfId="0" applyFont="1" applyFill="1" applyBorder="1"/>
    <xf numFmtId="0" fontId="130" fillId="6" borderId="22" xfId="0" applyFont="1" applyFill="1" applyBorder="1"/>
    <xf numFmtId="0" fontId="130" fillId="6" borderId="23" xfId="0" applyFont="1" applyFill="1" applyBorder="1"/>
    <xf numFmtId="37" fontId="123" fillId="6" borderId="24" xfId="0" applyNumberFormat="1" applyFont="1" applyFill="1" applyBorder="1"/>
    <xf numFmtId="1" fontId="132" fillId="0" borderId="0" xfId="0" applyNumberFormat="1" applyFont="1"/>
    <xf numFmtId="37" fontId="132" fillId="0" borderId="0" xfId="0" applyNumberFormat="1" applyFont="1"/>
    <xf numFmtId="0" fontId="130" fillId="0" borderId="9" xfId="0" applyFont="1" applyBorder="1" applyAlignment="1">
      <alignment horizontal="center"/>
    </xf>
    <xf numFmtId="0" fontId="130" fillId="0" borderId="8" xfId="0" applyFont="1" applyBorder="1" applyAlignment="1">
      <alignment horizontal="center"/>
    </xf>
    <xf numFmtId="0" fontId="130" fillId="0" borderId="91" xfId="0" applyFont="1" applyBorder="1" applyAlignment="1">
      <alignment horizontal="center"/>
    </xf>
    <xf numFmtId="0" fontId="130" fillId="0" borderId="5" xfId="0" applyFont="1" applyBorder="1" applyAlignment="1">
      <alignment horizontal="center"/>
    </xf>
    <xf numFmtId="0" fontId="152" fillId="0" borderId="0" xfId="0" applyFont="1"/>
    <xf numFmtId="39" fontId="130" fillId="0" borderId="0" xfId="0" applyNumberFormat="1" applyFont="1"/>
    <xf numFmtId="3" fontId="123" fillId="0" borderId="5" xfId="0" applyNumberFormat="1" applyFont="1" applyBorder="1"/>
    <xf numFmtId="172" fontId="130" fillId="0" borderId="0" xfId="0" applyNumberFormat="1" applyFont="1"/>
    <xf numFmtId="173" fontId="123" fillId="9" borderId="13" xfId="0" applyNumberFormat="1" applyFont="1" applyFill="1" applyBorder="1"/>
    <xf numFmtId="173" fontId="130" fillId="0" borderId="0" xfId="0" applyNumberFormat="1" applyFont="1"/>
    <xf numFmtId="173" fontId="130" fillId="0" borderId="14" xfId="0" applyNumberFormat="1" applyFont="1" applyBorder="1"/>
    <xf numFmtId="0" fontId="123" fillId="0" borderId="0" xfId="0" applyFont="1" applyAlignment="1">
      <alignment horizontal="center"/>
    </xf>
    <xf numFmtId="173" fontId="123" fillId="0" borderId="0" xfId="0" applyNumberFormat="1" applyFont="1"/>
    <xf numFmtId="0" fontId="123" fillId="0" borderId="8" xfId="0" applyFont="1" applyBorder="1" applyAlignment="1">
      <alignment horizontal="center"/>
    </xf>
    <xf numFmtId="173" fontId="130" fillId="0" borderId="9" xfId="0" applyNumberFormat="1" applyFont="1" applyBorder="1"/>
    <xf numFmtId="39" fontId="130" fillId="0" borderId="14" xfId="0" applyNumberFormat="1" applyFont="1" applyBorder="1" applyAlignment="1">
      <alignment horizontal="center"/>
    </xf>
    <xf numFmtId="173" fontId="130" fillId="0" borderId="5" xfId="0" applyNumberFormat="1" applyFont="1" applyBorder="1"/>
    <xf numFmtId="37" fontId="130" fillId="0" borderId="91" xfId="0" applyNumberFormat="1" applyFont="1" applyBorder="1"/>
    <xf numFmtId="37" fontId="130" fillId="0" borderId="90" xfId="0" applyNumberFormat="1" applyFont="1" applyBorder="1"/>
    <xf numFmtId="37" fontId="130" fillId="0" borderId="6" xfId="0" applyNumberFormat="1" applyFont="1" applyBorder="1"/>
    <xf numFmtId="10" fontId="130" fillId="0" borderId="0" xfId="0" applyNumberFormat="1" applyFont="1"/>
    <xf numFmtId="173" fontId="123" fillId="0" borderId="5" xfId="0" applyNumberFormat="1" applyFont="1" applyBorder="1"/>
    <xf numFmtId="173" fontId="130" fillId="0" borderId="6" xfId="0" applyNumberFormat="1" applyFont="1" applyBorder="1"/>
    <xf numFmtId="172" fontId="123" fillId="0" borderId="0" xfId="0" applyNumberFormat="1" applyFont="1"/>
    <xf numFmtId="37" fontId="123" fillId="0" borderId="8" xfId="0" applyNumberFormat="1" applyFont="1" applyBorder="1"/>
    <xf numFmtId="37" fontId="123" fillId="0" borderId="9" xfId="0" applyNumberFormat="1" applyFont="1" applyBorder="1"/>
    <xf numFmtId="37" fontId="123" fillId="0" borderId="5" xfId="0" applyNumberFormat="1" applyFont="1" applyBorder="1"/>
    <xf numFmtId="37" fontId="130" fillId="0" borderId="93" xfId="0" applyNumberFormat="1" applyFont="1" applyBorder="1"/>
    <xf numFmtId="0" fontId="123" fillId="6" borderId="10" xfId="0" applyFont="1" applyFill="1" applyBorder="1"/>
    <xf numFmtId="37" fontId="123" fillId="6" borderId="26" xfId="0" applyNumberFormat="1" applyFont="1" applyFill="1" applyBorder="1"/>
    <xf numFmtId="37" fontId="123" fillId="6" borderId="11" xfId="0" applyNumberFormat="1" applyFont="1" applyFill="1" applyBorder="1"/>
    <xf numFmtId="37" fontId="123" fillId="6" borderId="10" xfId="0" applyNumberFormat="1" applyFont="1" applyFill="1" applyBorder="1"/>
    <xf numFmtId="0" fontId="123" fillId="6" borderId="22" xfId="0" applyFont="1" applyFill="1" applyBorder="1"/>
    <xf numFmtId="37" fontId="123" fillId="6" borderId="23" xfId="0" applyNumberFormat="1" applyFont="1" applyFill="1" applyBorder="1"/>
    <xf numFmtId="39" fontId="123" fillId="6" borderId="23" xfId="0" applyNumberFormat="1" applyFont="1" applyFill="1" applyBorder="1" applyAlignment="1">
      <alignment horizontal="center"/>
    </xf>
    <xf numFmtId="173" fontId="123" fillId="6" borderId="24" xfId="0" applyNumberFormat="1" applyFont="1" applyFill="1" applyBorder="1"/>
    <xf numFmtId="37" fontId="123" fillId="6" borderId="22" xfId="0" applyNumberFormat="1" applyFont="1" applyFill="1" applyBorder="1"/>
    <xf numFmtId="37" fontId="123" fillId="0" borderId="90" xfId="0" applyNumberFormat="1" applyFont="1" applyBorder="1"/>
    <xf numFmtId="37" fontId="123" fillId="0" borderId="7" xfId="0" applyNumberFormat="1" applyFont="1" applyBorder="1"/>
    <xf numFmtId="37" fontId="123" fillId="0" borderId="6" xfId="0" applyNumberFormat="1" applyFont="1" applyBorder="1"/>
    <xf numFmtId="0" fontId="123" fillId="6" borderId="19" xfId="0" applyFont="1" applyFill="1" applyBorder="1"/>
    <xf numFmtId="37" fontId="123" fillId="6" borderId="15" xfId="0" applyNumberFormat="1" applyFont="1" applyFill="1" applyBorder="1"/>
    <xf numFmtId="172" fontId="123" fillId="6" borderId="15" xfId="0" applyNumberFormat="1" applyFont="1" applyFill="1" applyBorder="1"/>
    <xf numFmtId="37" fontId="123" fillId="6" borderId="25" xfId="0" applyNumberFormat="1" applyFont="1" applyFill="1" applyBorder="1"/>
    <xf numFmtId="37" fontId="123" fillId="6" borderId="19" xfId="0" applyNumberFormat="1" applyFont="1" applyFill="1" applyBorder="1"/>
    <xf numFmtId="173" fontId="123" fillId="3" borderId="10" xfId="0" applyNumberFormat="1" applyFont="1" applyFill="1" applyBorder="1"/>
    <xf numFmtId="37" fontId="130" fillId="0" borderId="0" xfId="0" applyNumberFormat="1" applyFont="1" applyAlignment="1">
      <alignment horizontal="center"/>
    </xf>
    <xf numFmtId="0" fontId="130" fillId="0" borderId="14" xfId="0" applyFont="1" applyBorder="1" applyAlignment="1">
      <alignment horizontal="center"/>
    </xf>
    <xf numFmtId="1" fontId="130" fillId="0" borderId="6" xfId="0" applyNumberFormat="1" applyFont="1" applyBorder="1"/>
    <xf numFmtId="172" fontId="130" fillId="0" borderId="14" xfId="0" applyNumberFormat="1" applyFont="1" applyBorder="1"/>
    <xf numFmtId="2" fontId="130" fillId="0" borderId="14" xfId="0" applyNumberFormat="1" applyFont="1" applyBorder="1"/>
    <xf numFmtId="0" fontId="131" fillId="0" borderId="6" xfId="0" applyFont="1" applyBorder="1"/>
    <xf numFmtId="173" fontId="123" fillId="0" borderId="90" xfId="0" applyNumberFormat="1" applyFont="1" applyBorder="1"/>
    <xf numFmtId="173" fontId="123" fillId="0" borderId="6" xfId="0" applyNumberFormat="1" applyFont="1" applyBorder="1"/>
    <xf numFmtId="0" fontId="130" fillId="0" borderId="5" xfId="0" applyFont="1" applyBorder="1"/>
    <xf numFmtId="173" fontId="123" fillId="3" borderId="26" xfId="0" applyNumberFormat="1" applyFont="1" applyFill="1" applyBorder="1"/>
    <xf numFmtId="6" fontId="130" fillId="0" borderId="0" xfId="0" applyNumberFormat="1" applyFont="1"/>
    <xf numFmtId="0" fontId="153" fillId="22" borderId="1" xfId="0" applyFont="1" applyFill="1" applyBorder="1"/>
    <xf numFmtId="0" fontId="133" fillId="0" borderId="0" xfId="0" applyFont="1" applyAlignment="1">
      <alignment horizontal="center" vertical="center"/>
    </xf>
    <xf numFmtId="0" fontId="130" fillId="0" borderId="96" xfId="0" applyFont="1" applyBorder="1" applyAlignment="1">
      <alignment horizontal="left"/>
    </xf>
    <xf numFmtId="0" fontId="123" fillId="0" borderId="97" xfId="0" applyFont="1" applyBorder="1" applyAlignment="1">
      <alignment horizontal="center" vertical="center"/>
    </xf>
    <xf numFmtId="0" fontId="130" fillId="0" borderId="85" xfId="0" applyFont="1" applyBorder="1" applyAlignment="1">
      <alignment horizontal="center"/>
    </xf>
    <xf numFmtId="0" fontId="130" fillId="0" borderId="83" xfId="0" applyFont="1" applyBorder="1" applyAlignment="1">
      <alignment horizontal="center"/>
    </xf>
    <xf numFmtId="0" fontId="130" fillId="0" borderId="101" xfId="0" applyFont="1" applyBorder="1" applyAlignment="1">
      <alignment horizontal="center"/>
    </xf>
    <xf numFmtId="0" fontId="131" fillId="0" borderId="14" xfId="0" applyFont="1" applyBorder="1"/>
    <xf numFmtId="37" fontId="131" fillId="0" borderId="85" xfId="0" applyNumberFormat="1" applyFont="1" applyBorder="1"/>
    <xf numFmtId="37" fontId="131" fillId="0" borderId="83" xfId="0" applyNumberFormat="1" applyFont="1" applyBorder="1"/>
    <xf numFmtId="37" fontId="131" fillId="0" borderId="14" xfId="0" applyNumberFormat="1" applyFont="1" applyBorder="1"/>
    <xf numFmtId="173" fontId="131" fillId="0" borderId="14" xfId="0" applyNumberFormat="1" applyFont="1" applyBorder="1"/>
    <xf numFmtId="37" fontId="131" fillId="0" borderId="101" xfId="0" applyNumberFormat="1" applyFont="1" applyBorder="1"/>
    <xf numFmtId="173" fontId="131" fillId="0" borderId="5" xfId="0" applyNumberFormat="1" applyFont="1" applyBorder="1"/>
    <xf numFmtId="0" fontId="133" fillId="3" borderId="22" xfId="0" applyFont="1" applyFill="1" applyBorder="1"/>
    <xf numFmtId="0" fontId="133" fillId="3" borderId="23" xfId="0" applyFont="1" applyFill="1" applyBorder="1"/>
    <xf numFmtId="37" fontId="133" fillId="3" borderId="102" xfId="0" applyNumberFormat="1" applyFont="1" applyFill="1" applyBorder="1"/>
    <xf numFmtId="37" fontId="133" fillId="3" borderId="103" xfId="0" applyNumberFormat="1" applyFont="1" applyFill="1" applyBorder="1"/>
    <xf numFmtId="37" fontId="133" fillId="3" borderId="23" xfId="0" applyNumberFormat="1" applyFont="1" applyFill="1" applyBorder="1"/>
    <xf numFmtId="173" fontId="133" fillId="3" borderId="23" xfId="0" applyNumberFormat="1" applyFont="1" applyFill="1" applyBorder="1"/>
    <xf numFmtId="37" fontId="133" fillId="3" borderId="104" xfId="0" applyNumberFormat="1" applyFont="1" applyFill="1" applyBorder="1"/>
    <xf numFmtId="173" fontId="133" fillId="3" borderId="24" xfId="0" applyNumberFormat="1" applyFont="1" applyFill="1" applyBorder="1"/>
    <xf numFmtId="0" fontId="133" fillId="0" borderId="8" xfId="0" applyFont="1" applyBorder="1"/>
    <xf numFmtId="0" fontId="131" fillId="0" borderId="0" xfId="0" applyFont="1"/>
    <xf numFmtId="37" fontId="131" fillId="0" borderId="72" xfId="0" applyNumberFormat="1" applyFont="1" applyBorder="1"/>
    <xf numFmtId="37" fontId="131" fillId="0" borderId="70" xfId="0" applyNumberFormat="1" applyFont="1" applyBorder="1"/>
    <xf numFmtId="37" fontId="131" fillId="0" borderId="0" xfId="0" applyNumberFormat="1" applyFont="1"/>
    <xf numFmtId="173" fontId="131" fillId="0" borderId="0" xfId="0" applyNumberFormat="1" applyFont="1"/>
    <xf numFmtId="37" fontId="131" fillId="0" borderId="55" xfId="0" applyNumberFormat="1" applyFont="1" applyBorder="1"/>
    <xf numFmtId="173" fontId="131" fillId="0" borderId="7" xfId="0" applyNumberFormat="1" applyFont="1" applyBorder="1"/>
    <xf numFmtId="0" fontId="131" fillId="0" borderId="0" xfId="0" applyFont="1" applyAlignment="1">
      <alignment horizontal="right"/>
    </xf>
    <xf numFmtId="172" fontId="131" fillId="0" borderId="0" xfId="0" applyNumberFormat="1" applyFont="1"/>
    <xf numFmtId="0" fontId="131" fillId="0" borderId="70" xfId="0" applyFont="1" applyBorder="1"/>
    <xf numFmtId="173" fontId="131" fillId="0" borderId="9" xfId="0" applyNumberFormat="1" applyFont="1" applyBorder="1"/>
    <xf numFmtId="0" fontId="131" fillId="0" borderId="14" xfId="0" applyFont="1" applyBorder="1" applyAlignment="1">
      <alignment horizontal="right"/>
    </xf>
    <xf numFmtId="172" fontId="131" fillId="0" borderId="14" xfId="0" applyNumberFormat="1" applyFont="1" applyBorder="1"/>
    <xf numFmtId="0" fontId="131" fillId="0" borderId="83" xfId="0" applyFont="1" applyBorder="1"/>
    <xf numFmtId="173" fontId="131" fillId="0" borderId="85" xfId="0" applyNumberFormat="1" applyFont="1" applyBorder="1"/>
    <xf numFmtId="0" fontId="133" fillId="3" borderId="28" xfId="0" applyFont="1" applyFill="1" applyBorder="1"/>
    <xf numFmtId="0" fontId="133" fillId="3" borderId="29" xfId="0" applyFont="1" applyFill="1" applyBorder="1"/>
    <xf numFmtId="173" fontId="133" fillId="3" borderId="29" xfId="0" applyNumberFormat="1" applyFont="1" applyFill="1" applyBorder="1"/>
    <xf numFmtId="37" fontId="133" fillId="3" borderId="67" xfId="0" applyNumberFormat="1" applyFont="1" applyFill="1" applyBorder="1"/>
    <xf numFmtId="173" fontId="133" fillId="3" borderId="31" xfId="0" applyNumberFormat="1" applyFont="1" applyFill="1" applyBorder="1"/>
    <xf numFmtId="0" fontId="133" fillId="3" borderId="31" xfId="0" applyFont="1" applyFill="1" applyBorder="1"/>
    <xf numFmtId="37" fontId="133" fillId="3" borderId="29" xfId="0" applyNumberFormat="1" applyFont="1" applyFill="1" applyBorder="1"/>
    <xf numFmtId="173" fontId="131" fillId="0" borderId="72" xfId="0" applyNumberFormat="1" applyFont="1" applyBorder="1"/>
    <xf numFmtId="172" fontId="133" fillId="3" borderId="29" xfId="0" applyNumberFormat="1" applyFont="1" applyFill="1" applyBorder="1"/>
    <xf numFmtId="37" fontId="133" fillId="3" borderId="31" xfId="0" applyNumberFormat="1" applyFont="1" applyFill="1" applyBorder="1"/>
    <xf numFmtId="37" fontId="133" fillId="3" borderId="106" xfId="0" applyNumberFormat="1" applyFont="1" applyFill="1" applyBorder="1"/>
    <xf numFmtId="0" fontId="131" fillId="0" borderId="90" xfId="0" applyFont="1" applyBorder="1" applyAlignment="1">
      <alignment horizontal="right"/>
    </xf>
    <xf numFmtId="0" fontId="131" fillId="0" borderId="90" xfId="0" applyFont="1" applyBorder="1"/>
    <xf numFmtId="37" fontId="131" fillId="0" borderId="89" xfId="0" applyNumberFormat="1" applyFont="1" applyBorder="1"/>
    <xf numFmtId="0" fontId="131" fillId="0" borderId="88" xfId="0" applyFont="1" applyBorder="1"/>
    <xf numFmtId="172" fontId="131" fillId="0" borderId="90" xfId="0" applyNumberFormat="1" applyFont="1" applyBorder="1"/>
    <xf numFmtId="37" fontId="131" fillId="0" borderId="90" xfId="0" applyNumberFormat="1" applyFont="1" applyBorder="1"/>
    <xf numFmtId="173" fontId="131" fillId="0" borderId="90" xfId="0" applyNumberFormat="1" applyFont="1" applyBorder="1"/>
    <xf numFmtId="37" fontId="131" fillId="0" borderId="107" xfId="0" applyNumberFormat="1" applyFont="1" applyBorder="1"/>
    <xf numFmtId="9" fontId="121" fillId="0" borderId="0" xfId="0" applyNumberFormat="1" applyFont="1"/>
    <xf numFmtId="37" fontId="131" fillId="0" borderId="88" xfId="0" applyNumberFormat="1" applyFont="1" applyBorder="1"/>
    <xf numFmtId="0" fontId="131" fillId="3" borderId="29" xfId="0" applyFont="1" applyFill="1" applyBorder="1"/>
    <xf numFmtId="3" fontId="133" fillId="3" borderId="29" xfId="0" applyNumberFormat="1" applyFont="1" applyFill="1" applyBorder="1" applyAlignment="1">
      <alignment horizontal="center"/>
    </xf>
    <xf numFmtId="173" fontId="133" fillId="3" borderId="30" xfId="0" applyNumberFormat="1" applyFont="1" applyFill="1" applyBorder="1"/>
    <xf numFmtId="173" fontId="133" fillId="0" borderId="0" xfId="0" applyNumberFormat="1" applyFont="1"/>
    <xf numFmtId="0" fontId="133" fillId="0" borderId="0" xfId="0" applyFont="1"/>
    <xf numFmtId="173" fontId="131" fillId="0" borderId="89" xfId="0" applyNumberFormat="1" applyFont="1" applyBorder="1"/>
    <xf numFmtId="0" fontId="131" fillId="0" borderId="72" xfId="0" applyFont="1" applyBorder="1"/>
    <xf numFmtId="0" fontId="131" fillId="0" borderId="55" xfId="0" applyFont="1" applyBorder="1"/>
    <xf numFmtId="173" fontId="131" fillId="0" borderId="108" xfId="0" applyNumberFormat="1" applyFont="1" applyBorder="1"/>
    <xf numFmtId="173" fontId="133" fillId="0" borderId="90" xfId="0" applyNumberFormat="1" applyFont="1" applyBorder="1"/>
    <xf numFmtId="0" fontId="133" fillId="0" borderId="90" xfId="0" applyFont="1" applyBorder="1"/>
    <xf numFmtId="173" fontId="133" fillId="0" borderId="88" xfId="0" applyNumberFormat="1" applyFont="1" applyBorder="1"/>
    <xf numFmtId="37" fontId="133" fillId="0" borderId="88" xfId="0" applyNumberFormat="1" applyFont="1" applyBorder="1"/>
    <xf numFmtId="37" fontId="133" fillId="0" borderId="90" xfId="0" applyNumberFormat="1" applyFont="1" applyBorder="1"/>
    <xf numFmtId="37" fontId="133" fillId="0" borderId="0" xfId="0" applyNumberFormat="1" applyFont="1"/>
    <xf numFmtId="1" fontId="133" fillId="0" borderId="0" xfId="0" applyNumberFormat="1" applyFont="1"/>
    <xf numFmtId="37" fontId="133" fillId="0" borderId="70" xfId="0" applyNumberFormat="1" applyFont="1" applyBorder="1"/>
    <xf numFmtId="173" fontId="133" fillId="0" borderId="70" xfId="0" applyNumberFormat="1" applyFont="1" applyBorder="1"/>
    <xf numFmtId="43" fontId="133" fillId="0" borderId="70" xfId="0" applyNumberFormat="1" applyFont="1" applyBorder="1"/>
    <xf numFmtId="37" fontId="131" fillId="3" borderId="106" xfId="0" applyNumberFormat="1" applyFont="1" applyFill="1" applyBorder="1"/>
    <xf numFmtId="0" fontId="133" fillId="6" borderId="19" xfId="0" applyFont="1" applyFill="1" applyBorder="1"/>
    <xf numFmtId="0" fontId="133" fillId="6" borderId="15" xfId="0" applyFont="1" applyFill="1" applyBorder="1"/>
    <xf numFmtId="37" fontId="133" fillId="6" borderId="15" xfId="0" applyNumberFormat="1" applyFont="1" applyFill="1" applyBorder="1"/>
    <xf numFmtId="37" fontId="131" fillId="6" borderId="109" xfId="0" applyNumberFormat="1" applyFont="1" applyFill="1" applyBorder="1"/>
    <xf numFmtId="0" fontId="131" fillId="6" borderId="15" xfId="0" applyFont="1" applyFill="1" applyBorder="1"/>
    <xf numFmtId="37" fontId="131" fillId="6" borderId="110" xfId="0" applyNumberFormat="1" applyFont="1" applyFill="1" applyBorder="1"/>
    <xf numFmtId="37" fontId="131" fillId="6" borderId="1" xfId="0" applyNumberFormat="1" applyFont="1" applyFill="1" applyBorder="1"/>
    <xf numFmtId="173" fontId="131" fillId="6" borderId="1" xfId="0" applyNumberFormat="1" applyFont="1" applyFill="1" applyBorder="1"/>
    <xf numFmtId="37" fontId="131" fillId="6" borderId="111" xfId="0" applyNumberFormat="1" applyFont="1" applyFill="1" applyBorder="1"/>
    <xf numFmtId="173" fontId="131" fillId="0" borderId="94" xfId="0" applyNumberFormat="1" applyFont="1" applyBorder="1"/>
    <xf numFmtId="0" fontId="133" fillId="3" borderId="36" xfId="0" applyFont="1" applyFill="1" applyBorder="1"/>
    <xf numFmtId="0" fontId="133" fillId="3" borderId="37" xfId="0" applyFont="1" applyFill="1" applyBorder="1"/>
    <xf numFmtId="0" fontId="133" fillId="3" borderId="37" xfId="0" applyFont="1" applyFill="1" applyBorder="1" applyAlignment="1">
      <alignment horizontal="center"/>
    </xf>
    <xf numFmtId="173" fontId="133" fillId="3" borderId="37" xfId="0" applyNumberFormat="1" applyFont="1" applyFill="1" applyBorder="1"/>
    <xf numFmtId="37" fontId="133" fillId="3" borderId="112" xfId="0" applyNumberFormat="1" applyFont="1" applyFill="1" applyBorder="1"/>
    <xf numFmtId="37" fontId="133" fillId="3" borderId="37" xfId="0" applyNumberFormat="1" applyFont="1" applyFill="1" applyBorder="1"/>
    <xf numFmtId="37" fontId="133" fillId="3" borderId="113" xfId="0" applyNumberFormat="1" applyFont="1" applyFill="1" applyBorder="1"/>
    <xf numFmtId="173" fontId="133" fillId="3" borderId="114" xfId="0" applyNumberFormat="1" applyFont="1" applyFill="1" applyBorder="1"/>
    <xf numFmtId="37" fontId="133" fillId="3" borderId="115" xfId="0" applyNumberFormat="1" applyFont="1" applyFill="1" applyBorder="1"/>
    <xf numFmtId="173" fontId="133" fillId="3" borderId="13" xfId="0" applyNumberFormat="1" applyFont="1" applyFill="1" applyBorder="1"/>
    <xf numFmtId="37" fontId="133" fillId="3" borderId="116" xfId="0" applyNumberFormat="1" applyFont="1" applyFill="1" applyBorder="1"/>
    <xf numFmtId="37" fontId="133" fillId="3" borderId="117" xfId="0" applyNumberFormat="1" applyFont="1" applyFill="1" applyBorder="1"/>
    <xf numFmtId="173" fontId="133" fillId="3" borderId="118" xfId="0" applyNumberFormat="1" applyFont="1" applyFill="1" applyBorder="1"/>
    <xf numFmtId="0" fontId="129" fillId="0" borderId="8" xfId="0" applyFont="1" applyBorder="1"/>
    <xf numFmtId="37" fontId="129" fillId="0" borderId="72" xfId="0" applyNumberFormat="1" applyFont="1" applyBorder="1"/>
    <xf numFmtId="0" fontId="129" fillId="0" borderId="72" xfId="0" applyFont="1" applyBorder="1"/>
    <xf numFmtId="0" fontId="129" fillId="0" borderId="55" xfId="0" applyFont="1" applyBorder="1"/>
    <xf numFmtId="0" fontId="129" fillId="0" borderId="9" xfId="0" applyFont="1" applyBorder="1"/>
    <xf numFmtId="173" fontId="133" fillId="3" borderId="38" xfId="0" applyNumberFormat="1" applyFont="1" applyFill="1" applyBorder="1"/>
    <xf numFmtId="176" fontId="129" fillId="0" borderId="0" xfId="0" applyNumberFormat="1" applyFont="1" applyAlignment="1">
      <alignment horizontal="right"/>
    </xf>
    <xf numFmtId="43" fontId="129" fillId="0" borderId="0" xfId="0" applyNumberFormat="1" applyFont="1"/>
    <xf numFmtId="0" fontId="154" fillId="0" borderId="0" xfId="0" applyFont="1" applyAlignment="1">
      <alignment horizontal="center" vertical="top"/>
    </xf>
    <xf numFmtId="0" fontId="156" fillId="23" borderId="122" xfId="0" applyFont="1" applyFill="1" applyBorder="1" applyAlignment="1">
      <alignment horizontal="center" vertical="center" wrapText="1"/>
    </xf>
    <xf numFmtId="0" fontId="120" fillId="8" borderId="1" xfId="0" applyFont="1" applyFill="1" applyBorder="1" applyAlignment="1">
      <alignment horizontal="center"/>
    </xf>
    <xf numFmtId="178" fontId="121" fillId="0" borderId="0" xfId="0" applyNumberFormat="1" applyFont="1" applyAlignment="1">
      <alignment horizontal="center"/>
    </xf>
    <xf numFmtId="0" fontId="119" fillId="7" borderId="1" xfId="0" applyFont="1" applyFill="1" applyBorder="1"/>
    <xf numFmtId="0" fontId="120" fillId="7" borderId="1" xfId="0" applyFont="1" applyFill="1" applyBorder="1"/>
    <xf numFmtId="0" fontId="158" fillId="0" borderId="0" xfId="0" applyFont="1"/>
    <xf numFmtId="0" fontId="159" fillId="25" borderId="123" xfId="0" applyFont="1" applyFill="1" applyBorder="1"/>
    <xf numFmtId="0" fontId="159" fillId="25" borderId="124" xfId="0" applyFont="1" applyFill="1" applyBorder="1"/>
    <xf numFmtId="0" fontId="159" fillId="25" borderId="125" xfId="0" applyFont="1" applyFill="1" applyBorder="1"/>
    <xf numFmtId="3" fontId="160" fillId="25" borderId="126" xfId="0" applyNumberFormat="1" applyFont="1" applyFill="1" applyBorder="1" applyAlignment="1">
      <alignment horizontal="center"/>
    </xf>
    <xf numFmtId="3" fontId="160" fillId="25" borderId="0" xfId="0" applyNumberFormat="1" applyFont="1" applyFill="1" applyAlignment="1">
      <alignment horizontal="center"/>
    </xf>
    <xf numFmtId="3" fontId="160" fillId="25" borderId="127" xfId="0" applyNumberFormat="1" applyFont="1" applyFill="1" applyBorder="1" applyAlignment="1">
      <alignment horizontal="center"/>
    </xf>
    <xf numFmtId="3" fontId="160" fillId="25" borderId="128" xfId="0" applyNumberFormat="1" applyFont="1" applyFill="1" applyBorder="1" applyAlignment="1">
      <alignment horizontal="center"/>
    </xf>
    <xf numFmtId="3" fontId="160" fillId="25" borderId="129" xfId="0" applyNumberFormat="1" applyFont="1" applyFill="1" applyBorder="1" applyAlignment="1">
      <alignment horizontal="center"/>
    </xf>
    <xf numFmtId="3" fontId="160" fillId="25" borderId="130" xfId="0" applyNumberFormat="1" applyFont="1" applyFill="1" applyBorder="1" applyAlignment="1">
      <alignment horizontal="right"/>
    </xf>
    <xf numFmtId="3" fontId="160" fillId="25" borderId="130" xfId="0" applyNumberFormat="1" applyFont="1" applyFill="1" applyBorder="1" applyAlignment="1" applyProtection="1">
      <alignment horizontal="right"/>
      <protection locked="0"/>
    </xf>
    <xf numFmtId="3" fontId="160" fillId="25" borderId="126" xfId="0" applyNumberFormat="1" applyFont="1" applyFill="1" applyBorder="1"/>
    <xf numFmtId="3" fontId="160" fillId="25" borderId="0" xfId="0" applyNumberFormat="1" applyFont="1" applyFill="1"/>
    <xf numFmtId="3" fontId="160" fillId="25" borderId="127" xfId="0" applyNumberFormat="1" applyFont="1" applyFill="1" applyBorder="1"/>
    <xf numFmtId="3" fontId="160" fillId="25" borderId="126" xfId="0" applyNumberFormat="1" applyFont="1" applyFill="1" applyBorder="1" applyProtection="1">
      <protection locked="0"/>
    </xf>
    <xf numFmtId="3" fontId="160" fillId="25" borderId="127" xfId="0" applyNumberFormat="1" applyFont="1" applyFill="1" applyBorder="1" applyProtection="1">
      <protection locked="0"/>
    </xf>
    <xf numFmtId="0" fontId="160" fillId="25" borderId="126" xfId="0" applyFont="1" applyFill="1" applyBorder="1"/>
    <xf numFmtId="0" fontId="160" fillId="25" borderId="127" xfId="0" applyFont="1" applyFill="1" applyBorder="1"/>
    <xf numFmtId="3" fontId="160" fillId="25" borderId="131" xfId="0" applyNumberFormat="1" applyFont="1" applyFill="1" applyBorder="1"/>
    <xf numFmtId="3" fontId="160" fillId="25" borderId="132" xfId="0" applyNumberFormat="1" applyFont="1" applyFill="1" applyBorder="1"/>
    <xf numFmtId="3" fontId="160" fillId="25" borderId="133" xfId="0" applyNumberFormat="1" applyFont="1" applyFill="1" applyBorder="1"/>
    <xf numFmtId="3" fontId="160" fillId="25" borderId="131" xfId="0" applyNumberFormat="1" applyFont="1" applyFill="1" applyBorder="1" applyProtection="1">
      <protection locked="0"/>
    </xf>
    <xf numFmtId="3" fontId="160" fillId="25" borderId="133" xfId="0" applyNumberFormat="1" applyFont="1" applyFill="1" applyBorder="1" applyProtection="1">
      <protection locked="0"/>
    </xf>
    <xf numFmtId="0" fontId="160" fillId="25" borderId="0" xfId="0" applyFont="1" applyFill="1"/>
    <xf numFmtId="37" fontId="160" fillId="25" borderId="127" xfId="0" applyNumberFormat="1" applyFont="1" applyFill="1" applyBorder="1"/>
    <xf numFmtId="37" fontId="159" fillId="26" borderId="134" xfId="0" applyNumberFormat="1" applyFont="1" applyFill="1" applyBorder="1"/>
    <xf numFmtId="172" fontId="159" fillId="26" borderId="135" xfId="0" applyNumberFormat="1" applyFont="1" applyFill="1" applyBorder="1"/>
    <xf numFmtId="37" fontId="159" fillId="26" borderId="136" xfId="0" applyNumberFormat="1" applyFont="1" applyFill="1" applyBorder="1"/>
    <xf numFmtId="0" fontId="159" fillId="26" borderId="137" xfId="0" applyFont="1" applyFill="1" applyBorder="1"/>
    <xf numFmtId="0" fontId="159" fillId="26" borderId="138" xfId="0" applyFont="1" applyFill="1" applyBorder="1"/>
    <xf numFmtId="0" fontId="159" fillId="26" borderId="139" xfId="0" applyFont="1" applyFill="1" applyBorder="1"/>
    <xf numFmtId="0" fontId="159" fillId="27" borderId="126" xfId="0" applyFont="1" applyFill="1" applyBorder="1"/>
    <xf numFmtId="0" fontId="159" fillId="27" borderId="0" xfId="0" applyFont="1" applyFill="1"/>
    <xf numFmtId="0" fontId="159" fillId="27" borderId="127" xfId="0" applyFont="1" applyFill="1" applyBorder="1"/>
    <xf numFmtId="0" fontId="160" fillId="25" borderId="0" xfId="0" applyFont="1" applyFill="1" applyAlignment="1">
      <alignment horizontal="center"/>
    </xf>
    <xf numFmtId="9" fontId="160" fillId="25" borderId="126" xfId="2" applyFont="1" applyFill="1" applyBorder="1"/>
    <xf numFmtId="37" fontId="160" fillId="25" borderId="0" xfId="0" applyNumberFormat="1" applyFont="1" applyFill="1"/>
    <xf numFmtId="37" fontId="160" fillId="25" borderId="127" xfId="0" applyNumberFormat="1" applyFont="1" applyFill="1" applyBorder="1" applyProtection="1">
      <protection locked="0"/>
    </xf>
    <xf numFmtId="9" fontId="160" fillId="25" borderId="128" xfId="2" applyFont="1" applyFill="1" applyBorder="1"/>
    <xf numFmtId="37" fontId="160" fillId="25" borderId="129" xfId="0" applyNumberFormat="1" applyFont="1" applyFill="1" applyBorder="1"/>
    <xf numFmtId="37" fontId="160" fillId="25" borderId="130" xfId="0" applyNumberFormat="1" applyFont="1" applyFill="1" applyBorder="1"/>
    <xf numFmtId="37" fontId="160" fillId="25" borderId="130" xfId="0" applyNumberFormat="1" applyFont="1" applyFill="1" applyBorder="1" applyProtection="1">
      <protection locked="0"/>
    </xf>
    <xf numFmtId="0" fontId="160" fillId="25" borderId="128" xfId="0" applyFont="1" applyFill="1" applyBorder="1"/>
    <xf numFmtId="0" fontId="160" fillId="25" borderId="129" xfId="0" applyFont="1" applyFill="1" applyBorder="1"/>
    <xf numFmtId="0" fontId="160" fillId="25" borderId="131" xfId="0" applyFont="1" applyFill="1" applyBorder="1"/>
    <xf numFmtId="0" fontId="160" fillId="25" borderId="132" xfId="0" applyFont="1" applyFill="1" applyBorder="1"/>
    <xf numFmtId="37" fontId="160" fillId="25" borderId="133" xfId="0" applyNumberFormat="1" applyFont="1" applyFill="1" applyBorder="1"/>
    <xf numFmtId="37" fontId="160" fillId="25" borderId="133" xfId="0" applyNumberFormat="1" applyFont="1" applyFill="1" applyBorder="1" applyProtection="1">
      <protection locked="0"/>
    </xf>
    <xf numFmtId="0" fontId="159" fillId="26" borderId="140" xfId="0" applyFont="1" applyFill="1" applyBorder="1" applyAlignment="1">
      <alignment horizontal="center"/>
    </xf>
    <xf numFmtId="37" fontId="159" fillId="26" borderId="141" xfId="0" applyNumberFormat="1" applyFont="1" applyFill="1" applyBorder="1"/>
    <xf numFmtId="0" fontId="160" fillId="27" borderId="128" xfId="0" applyFont="1" applyFill="1" applyBorder="1"/>
    <xf numFmtId="0" fontId="160" fillId="27" borderId="129" xfId="0" applyFont="1" applyFill="1" applyBorder="1"/>
    <xf numFmtId="37" fontId="159" fillId="27" borderId="127" xfId="0" applyNumberFormat="1" applyFont="1" applyFill="1" applyBorder="1"/>
    <xf numFmtId="0" fontId="161" fillId="25" borderId="0" xfId="0" applyFont="1" applyFill="1"/>
    <xf numFmtId="37" fontId="161" fillId="25" borderId="0" xfId="0" applyNumberFormat="1" applyFont="1" applyFill="1"/>
    <xf numFmtId="0" fontId="162" fillId="25" borderId="0" xfId="0" applyFont="1" applyFill="1"/>
    <xf numFmtId="0" fontId="163" fillId="25" borderId="0" xfId="0" applyFont="1" applyFill="1"/>
    <xf numFmtId="0" fontId="160" fillId="25" borderId="126" xfId="0" applyFont="1" applyFill="1" applyBorder="1" applyAlignment="1">
      <alignment horizontal="center"/>
    </xf>
    <xf numFmtId="0" fontId="160" fillId="25" borderId="127" xfId="0" applyFont="1" applyFill="1" applyBorder="1" applyAlignment="1">
      <alignment horizontal="center"/>
    </xf>
    <xf numFmtId="3" fontId="160" fillId="25" borderId="130" xfId="0" applyNumberFormat="1" applyFont="1" applyFill="1" applyBorder="1" applyAlignment="1" applyProtection="1">
      <alignment horizontal="center"/>
      <protection locked="0"/>
    </xf>
    <xf numFmtId="3" fontId="160" fillId="25" borderId="128" xfId="0" applyNumberFormat="1" applyFont="1" applyFill="1" applyBorder="1"/>
    <xf numFmtId="3" fontId="160" fillId="25" borderId="129" xfId="0" applyNumberFormat="1" applyFont="1" applyFill="1" applyBorder="1"/>
    <xf numFmtId="3" fontId="160" fillId="25" borderId="130" xfId="0" applyNumberFormat="1" applyFont="1" applyFill="1" applyBorder="1"/>
    <xf numFmtId="0" fontId="159" fillId="25" borderId="126" xfId="0" applyFont="1" applyFill="1" applyBorder="1"/>
    <xf numFmtId="0" fontId="159" fillId="25" borderId="0" xfId="0" applyFont="1" applyFill="1"/>
    <xf numFmtId="0" fontId="159" fillId="25" borderId="127" xfId="0" applyFont="1" applyFill="1" applyBorder="1"/>
    <xf numFmtId="0" fontId="160" fillId="25" borderId="126" xfId="0" applyFont="1" applyFill="1" applyBorder="1" applyAlignment="1">
      <alignment horizontal="right"/>
    </xf>
    <xf numFmtId="173" fontId="160" fillId="25" borderId="0" xfId="0" applyNumberFormat="1" applyFont="1" applyFill="1"/>
    <xf numFmtId="37" fontId="162" fillId="25" borderId="0" xfId="0" applyNumberFormat="1" applyFont="1" applyFill="1"/>
    <xf numFmtId="37" fontId="160" fillId="25" borderId="126" xfId="0" applyNumberFormat="1" applyFont="1" applyFill="1" applyBorder="1"/>
    <xf numFmtId="37" fontId="160" fillId="25" borderId="126" xfId="0" applyNumberFormat="1" applyFont="1" applyFill="1" applyBorder="1" applyProtection="1">
      <protection locked="0"/>
    </xf>
    <xf numFmtId="37" fontId="160" fillId="25" borderId="0" xfId="0" applyNumberFormat="1" applyFont="1" applyFill="1" applyProtection="1">
      <protection locked="0"/>
    </xf>
    <xf numFmtId="173" fontId="160" fillId="25" borderId="127" xfId="0" applyNumberFormat="1" applyFont="1" applyFill="1" applyBorder="1"/>
    <xf numFmtId="37" fontId="160" fillId="25" borderId="128" xfId="0" applyNumberFormat="1" applyFont="1" applyFill="1" applyBorder="1"/>
    <xf numFmtId="2" fontId="160" fillId="25" borderId="129" xfId="0" applyNumberFormat="1" applyFont="1" applyFill="1" applyBorder="1"/>
    <xf numFmtId="173" fontId="160" fillId="25" borderId="130" xfId="0" applyNumberFormat="1" applyFont="1" applyFill="1" applyBorder="1"/>
    <xf numFmtId="172" fontId="160" fillId="25" borderId="0" xfId="0" applyNumberFormat="1" applyFont="1" applyFill="1"/>
    <xf numFmtId="174" fontId="160" fillId="25" borderId="0" xfId="0" applyNumberFormat="1" applyFont="1" applyFill="1"/>
    <xf numFmtId="37" fontId="159" fillId="25" borderId="126" xfId="0" applyNumberFormat="1" applyFont="1" applyFill="1" applyBorder="1"/>
    <xf numFmtId="172" fontId="159" fillId="25" borderId="0" xfId="0" applyNumberFormat="1" applyFont="1" applyFill="1"/>
    <xf numFmtId="37" fontId="159" fillId="25" borderId="128" xfId="0" applyNumberFormat="1" applyFont="1" applyFill="1" applyBorder="1"/>
    <xf numFmtId="174" fontId="160" fillId="25" borderId="129" xfId="0" applyNumberFormat="1" applyFont="1" applyFill="1" applyBorder="1"/>
    <xf numFmtId="37" fontId="159" fillId="27" borderId="134" xfId="0" applyNumberFormat="1" applyFont="1" applyFill="1" applyBorder="1"/>
    <xf numFmtId="37" fontId="159" fillId="27" borderId="135" xfId="0" applyNumberFormat="1" applyFont="1" applyFill="1" applyBorder="1"/>
    <xf numFmtId="37" fontId="159" fillId="27" borderId="136" xfId="0" applyNumberFormat="1" applyFont="1" applyFill="1" applyBorder="1"/>
    <xf numFmtId="37" fontId="159" fillId="27" borderId="128" xfId="0" applyNumberFormat="1" applyFont="1" applyFill="1" applyBorder="1"/>
    <xf numFmtId="39" fontId="159" fillId="27" borderId="129" xfId="0" applyNumberFormat="1" applyFont="1" applyFill="1" applyBorder="1"/>
    <xf numFmtId="173" fontId="159" fillId="25" borderId="127" xfId="0" applyNumberFormat="1" applyFont="1" applyFill="1" applyBorder="1"/>
    <xf numFmtId="172" fontId="160" fillId="25" borderId="0" xfId="0" applyNumberFormat="1" applyFont="1" applyFill="1" applyProtection="1">
      <protection locked="0"/>
    </xf>
    <xf numFmtId="172" fontId="160" fillId="25" borderId="129" xfId="0" applyNumberFormat="1" applyFont="1" applyFill="1" applyBorder="1"/>
    <xf numFmtId="37" fontId="159" fillId="26" borderId="135" xfId="0" applyNumberFormat="1" applyFont="1" applyFill="1" applyBorder="1"/>
    <xf numFmtId="173" fontId="159" fillId="26" borderId="139" xfId="0" applyNumberFormat="1" applyFont="1" applyFill="1" applyBorder="1"/>
    <xf numFmtId="173" fontId="159" fillId="27" borderId="127" xfId="0" applyNumberFormat="1" applyFont="1" applyFill="1" applyBorder="1"/>
    <xf numFmtId="0" fontId="160" fillId="25" borderId="130" xfId="0" applyFont="1" applyFill="1" applyBorder="1"/>
    <xf numFmtId="173" fontId="160" fillId="25" borderId="0" xfId="2" applyNumberFormat="1" applyFont="1" applyFill="1"/>
    <xf numFmtId="173" fontId="160" fillId="25" borderId="132" xfId="0" applyNumberFormat="1" applyFont="1" applyFill="1" applyBorder="1"/>
    <xf numFmtId="37" fontId="160" fillId="25" borderId="131" xfId="0" applyNumberFormat="1" applyFont="1" applyFill="1" applyBorder="1" applyProtection="1">
      <protection locked="0"/>
    </xf>
    <xf numFmtId="173" fontId="159" fillId="26" borderId="135" xfId="0" applyNumberFormat="1" applyFont="1" applyFill="1" applyBorder="1"/>
    <xf numFmtId="37" fontId="159" fillId="27" borderId="126" xfId="0" applyNumberFormat="1" applyFont="1" applyFill="1" applyBorder="1"/>
    <xf numFmtId="172" fontId="159" fillId="27" borderId="0" xfId="0" applyNumberFormat="1" applyFont="1" applyFill="1"/>
    <xf numFmtId="37" fontId="159" fillId="25" borderId="0" xfId="0" applyNumberFormat="1" applyFont="1" applyFill="1"/>
    <xf numFmtId="0" fontId="160" fillId="26" borderId="142" xfId="0" applyFont="1" applyFill="1" applyBorder="1"/>
    <xf numFmtId="0" fontId="160" fillId="26" borderId="143" xfId="0" applyFont="1" applyFill="1" applyBorder="1"/>
    <xf numFmtId="37" fontId="159" fillId="26" borderId="144" xfId="0" applyNumberFormat="1" applyFont="1" applyFill="1" applyBorder="1"/>
    <xf numFmtId="0" fontId="162" fillId="25" borderId="0" xfId="0" applyFont="1" applyFill="1" applyAlignment="1">
      <alignment horizontal="center"/>
    </xf>
    <xf numFmtId="0" fontId="162" fillId="25" borderId="138" xfId="0" applyFont="1" applyFill="1" applyBorder="1" applyAlignment="1">
      <alignment horizontal="center"/>
    </xf>
    <xf numFmtId="37" fontId="162" fillId="25" borderId="138" xfId="0" applyNumberFormat="1" applyFont="1" applyFill="1" applyBorder="1" applyAlignment="1">
      <alignment horizontal="center"/>
    </xf>
    <xf numFmtId="0" fontId="160" fillId="25" borderId="145" xfId="0" applyFont="1" applyFill="1" applyBorder="1" applyAlignment="1">
      <alignment horizontal="center"/>
    </xf>
    <xf numFmtId="0" fontId="160" fillId="25" borderId="129" xfId="0" applyFont="1" applyFill="1" applyBorder="1" applyAlignment="1">
      <alignment horizontal="center"/>
    </xf>
    <xf numFmtId="0" fontId="160" fillId="25" borderId="146" xfId="0" applyFont="1" applyFill="1" applyBorder="1" applyAlignment="1">
      <alignment horizontal="center"/>
    </xf>
    <xf numFmtId="37" fontId="164" fillId="25" borderId="145" xfId="0" applyNumberFormat="1" applyFont="1" applyFill="1" applyBorder="1"/>
    <xf numFmtId="37" fontId="164" fillId="25" borderId="129" xfId="0" applyNumberFormat="1" applyFont="1" applyFill="1" applyBorder="1"/>
    <xf numFmtId="37" fontId="164" fillId="25" borderId="146" xfId="0" applyNumberFormat="1" applyFont="1" applyFill="1" applyBorder="1"/>
    <xf numFmtId="37" fontId="165" fillId="26" borderId="145" xfId="0" applyNumberFormat="1" applyFont="1" applyFill="1" applyBorder="1"/>
    <xf numFmtId="37" fontId="165" fillId="26" borderId="129" xfId="0" applyNumberFormat="1" applyFont="1" applyFill="1" applyBorder="1"/>
    <xf numFmtId="37" fontId="165" fillId="26" borderId="146" xfId="0" applyNumberFormat="1" applyFont="1" applyFill="1" applyBorder="1"/>
    <xf numFmtId="37" fontId="164" fillId="25" borderId="147" xfId="0" applyNumberFormat="1" applyFont="1" applyFill="1" applyBorder="1"/>
    <xf numFmtId="0" fontId="164" fillId="25" borderId="0" xfId="0" applyFont="1" applyFill="1"/>
    <xf numFmtId="37" fontId="164" fillId="25" borderId="148" xfId="0" applyNumberFormat="1" applyFont="1" applyFill="1" applyBorder="1"/>
    <xf numFmtId="173" fontId="164" fillId="25" borderId="147" xfId="2" applyNumberFormat="1" applyFont="1" applyFill="1" applyBorder="1"/>
    <xf numFmtId="172" fontId="164" fillId="25" borderId="0" xfId="0" applyNumberFormat="1" applyFont="1" applyFill="1"/>
    <xf numFmtId="0" fontId="164" fillId="25" borderId="147" xfId="0" applyFont="1" applyFill="1" applyBorder="1"/>
    <xf numFmtId="173" fontId="164" fillId="25" borderId="145" xfId="2" applyNumberFormat="1" applyFont="1" applyFill="1" applyBorder="1"/>
    <xf numFmtId="172" fontId="164" fillId="25" borderId="129" xfId="0" applyNumberFormat="1" applyFont="1" applyFill="1" applyBorder="1"/>
    <xf numFmtId="0" fontId="164" fillId="25" borderId="145" xfId="0" applyFont="1" applyFill="1" applyBorder="1"/>
    <xf numFmtId="37" fontId="164" fillId="25" borderId="148" xfId="0" applyNumberFormat="1" applyFont="1" applyFill="1" applyBorder="1" applyProtection="1">
      <protection locked="0"/>
    </xf>
    <xf numFmtId="173" fontId="164" fillId="25" borderId="129" xfId="2" applyNumberFormat="1" applyFont="1" applyFill="1" applyBorder="1"/>
    <xf numFmtId="173" fontId="164" fillId="25" borderId="0" xfId="2" applyNumberFormat="1" applyFont="1" applyFill="1"/>
    <xf numFmtId="0" fontId="164" fillId="25" borderId="149" xfId="0" applyFont="1" applyFill="1" applyBorder="1"/>
    <xf numFmtId="172" fontId="164" fillId="25" borderId="132" xfId="0" applyNumberFormat="1" applyFont="1" applyFill="1" applyBorder="1"/>
    <xf numFmtId="37" fontId="164" fillId="25" borderId="150" xfId="0" applyNumberFormat="1" applyFont="1" applyFill="1" applyBorder="1"/>
    <xf numFmtId="37" fontId="164" fillId="25" borderId="146" xfId="0" applyNumberFormat="1" applyFont="1" applyFill="1" applyBorder="1" applyProtection="1">
      <protection locked="0"/>
    </xf>
    <xf numFmtId="0" fontId="166" fillId="25" borderId="147" xfId="0" applyFont="1" applyFill="1" applyBorder="1"/>
    <xf numFmtId="0" fontId="166" fillId="25" borderId="0" xfId="0" applyFont="1" applyFill="1"/>
    <xf numFmtId="37" fontId="166" fillId="25" borderId="148" xfId="0" applyNumberFormat="1" applyFont="1" applyFill="1" applyBorder="1"/>
    <xf numFmtId="173" fontId="165" fillId="25" borderId="147" xfId="0" applyNumberFormat="1" applyFont="1" applyFill="1" applyBorder="1"/>
    <xf numFmtId="0" fontId="165" fillId="25" borderId="0" xfId="0" applyFont="1" applyFill="1"/>
    <xf numFmtId="173" fontId="165" fillId="25" borderId="145" xfId="0" applyNumberFormat="1" applyFont="1" applyFill="1" applyBorder="1"/>
    <xf numFmtId="0" fontId="165" fillId="26" borderId="151" xfId="0" applyFont="1" applyFill="1" applyBorder="1" applyAlignment="1">
      <alignment horizontal="center"/>
    </xf>
    <xf numFmtId="173" fontId="165" fillId="26" borderId="152" xfId="0" applyNumberFormat="1" applyFont="1" applyFill="1" applyBorder="1"/>
    <xf numFmtId="37" fontId="165" fillId="26" borderId="153" xfId="0" applyNumberFormat="1" applyFont="1" applyFill="1" applyBorder="1"/>
    <xf numFmtId="0" fontId="165" fillId="26" borderId="154" xfId="0" applyFont="1" applyFill="1" applyBorder="1" applyAlignment="1">
      <alignment horizontal="center"/>
    </xf>
    <xf numFmtId="173" fontId="165" fillId="26" borderId="143" xfId="0" applyNumberFormat="1" applyFont="1" applyFill="1" applyBorder="1"/>
    <xf numFmtId="37" fontId="165" fillId="26" borderId="155" xfId="0" applyNumberFormat="1" applyFont="1" applyFill="1" applyBorder="1"/>
    <xf numFmtId="39" fontId="164" fillId="25" borderId="0" xfId="0" applyNumberFormat="1" applyFont="1" applyFill="1"/>
    <xf numFmtId="0" fontId="165" fillId="26" borderId="156" xfId="0" applyFont="1" applyFill="1" applyBorder="1" applyAlignment="1">
      <alignment horizontal="center"/>
    </xf>
    <xf numFmtId="173" fontId="165" fillId="26" borderId="156" xfId="0" applyNumberFormat="1" applyFont="1" applyFill="1" applyBorder="1"/>
    <xf numFmtId="37" fontId="165" fillId="26" borderId="156" xfId="0" applyNumberFormat="1" applyFont="1" applyFill="1" applyBorder="1"/>
    <xf numFmtId="0" fontId="165" fillId="26" borderId="157" xfId="0" applyFont="1" applyFill="1" applyBorder="1" applyAlignment="1">
      <alignment horizontal="center"/>
    </xf>
    <xf numFmtId="37" fontId="165" fillId="26" borderId="158" xfId="0" applyNumberFormat="1" applyFont="1" applyFill="1" applyBorder="1"/>
    <xf numFmtId="0" fontId="168" fillId="25" borderId="0" xfId="0" applyFont="1" applyFill="1"/>
    <xf numFmtId="0" fontId="168" fillId="25" borderId="147" xfId="0" applyFont="1" applyFill="1" applyBorder="1"/>
    <xf numFmtId="0" fontId="168" fillId="25" borderId="148" xfId="0" applyFont="1" applyFill="1" applyBorder="1"/>
    <xf numFmtId="37" fontId="164" fillId="25" borderId="0" xfId="0" applyNumberFormat="1" applyFont="1" applyFill="1"/>
    <xf numFmtId="0" fontId="162" fillId="25" borderId="147" xfId="0" applyFont="1" applyFill="1" applyBorder="1"/>
    <xf numFmtId="0" fontId="160" fillId="25" borderId="147" xfId="0" applyFont="1" applyFill="1" applyBorder="1"/>
    <xf numFmtId="0" fontId="159" fillId="25" borderId="147" xfId="0" applyFont="1" applyFill="1" applyBorder="1"/>
    <xf numFmtId="0" fontId="165" fillId="26" borderId="159" xfId="0" applyFont="1" applyFill="1" applyBorder="1" applyAlignment="1">
      <alignment horizontal="center"/>
    </xf>
    <xf numFmtId="173" fontId="165" fillId="26" borderId="159" xfId="0" applyNumberFormat="1" applyFont="1" applyFill="1" applyBorder="1"/>
    <xf numFmtId="37" fontId="165" fillId="26" borderId="159" xfId="0" applyNumberFormat="1" applyFont="1" applyFill="1" applyBorder="1"/>
    <xf numFmtId="0" fontId="165" fillId="26" borderId="160" xfId="0" applyFont="1" applyFill="1" applyBorder="1" applyAlignment="1">
      <alignment horizontal="center"/>
    </xf>
    <xf numFmtId="37" fontId="165" fillId="26" borderId="161" xfId="0" applyNumberFormat="1" applyFont="1" applyFill="1" applyBorder="1"/>
    <xf numFmtId="0" fontId="151" fillId="28" borderId="1" xfId="0" applyFont="1" applyFill="1" applyBorder="1"/>
    <xf numFmtId="0" fontId="151" fillId="28" borderId="1" xfId="0" applyFont="1" applyFill="1" applyBorder="1" applyAlignment="1">
      <alignment horizontal="center" vertical="center"/>
    </xf>
    <xf numFmtId="0" fontId="151" fillId="28" borderId="1" xfId="0" applyFont="1" applyFill="1" applyBorder="1" applyAlignment="1">
      <alignment horizontal="right"/>
    </xf>
    <xf numFmtId="0" fontId="151" fillId="28" borderId="1" xfId="0" applyFont="1" applyFill="1" applyBorder="1" applyAlignment="1">
      <alignment vertical="center"/>
    </xf>
    <xf numFmtId="43" fontId="129" fillId="0" borderId="0" xfId="1" applyFont="1"/>
    <xf numFmtId="37" fontId="130" fillId="0" borderId="21" xfId="0" applyNumberFormat="1" applyFont="1" applyBorder="1"/>
    <xf numFmtId="37" fontId="131" fillId="0" borderId="1" xfId="0" applyNumberFormat="1" applyFont="1" applyBorder="1"/>
    <xf numFmtId="0" fontId="119" fillId="0" borderId="162" xfId="0" applyFont="1" applyBorder="1" applyAlignment="1">
      <alignment horizontal="center" vertical="center"/>
    </xf>
    <xf numFmtId="0" fontId="120" fillId="0" borderId="164" xfId="0" applyFont="1" applyBorder="1" applyAlignment="1">
      <alignment horizontal="center" vertical="center"/>
    </xf>
    <xf numFmtId="167" fontId="119" fillId="0" borderId="165" xfId="0" applyNumberFormat="1" applyFont="1" applyBorder="1" applyAlignment="1">
      <alignment horizontal="center" vertical="center"/>
    </xf>
    <xf numFmtId="167" fontId="120" fillId="0" borderId="165" xfId="0" applyNumberFormat="1" applyFont="1" applyBorder="1" applyAlignment="1">
      <alignment horizontal="center" vertical="center"/>
    </xf>
    <xf numFmtId="0" fontId="120" fillId="0" borderId="166" xfId="0" applyFont="1" applyBorder="1" applyAlignment="1">
      <alignment horizontal="center" vertical="center"/>
    </xf>
    <xf numFmtId="167" fontId="120" fillId="0" borderId="167" xfId="0" applyNumberFormat="1" applyFont="1" applyBorder="1" applyAlignment="1">
      <alignment horizontal="center" vertical="center"/>
    </xf>
    <xf numFmtId="0" fontId="159" fillId="25" borderId="123" xfId="0" applyFont="1" applyFill="1" applyBorder="1" applyAlignment="1">
      <alignment horizontal="center"/>
    </xf>
    <xf numFmtId="0" fontId="159" fillId="25" borderId="124" xfId="0" applyFont="1" applyFill="1" applyBorder="1" applyAlignment="1">
      <alignment horizontal="center"/>
    </xf>
    <xf numFmtId="0" fontId="159" fillId="25" borderId="125" xfId="0" applyFont="1" applyFill="1" applyBorder="1" applyAlignment="1">
      <alignment horizontal="center"/>
    </xf>
    <xf numFmtId="0" fontId="124" fillId="0" borderId="14" xfId="0" applyFont="1" applyBorder="1" applyAlignment="1">
      <alignment horizontal="center"/>
    </xf>
    <xf numFmtId="0" fontId="127" fillId="0" borderId="14" xfId="0" applyFont="1" applyBorder="1"/>
    <xf numFmtId="167" fontId="119" fillId="0" borderId="1" xfId="0" applyNumberFormat="1" applyFont="1" applyBorder="1" applyAlignment="1">
      <alignment horizontal="center" vertical="center"/>
    </xf>
    <xf numFmtId="167" fontId="120" fillId="0" borderId="1" xfId="0" applyNumberFormat="1" applyFont="1" applyBorder="1" applyAlignment="1">
      <alignment horizontal="center" vertical="center"/>
    </xf>
    <xf numFmtId="0" fontId="147" fillId="0" borderId="168" xfId="0" applyFont="1" applyBorder="1" applyAlignment="1">
      <alignment horizontal="center" vertical="center"/>
    </xf>
    <xf numFmtId="0" fontId="144" fillId="0" borderId="163" xfId="0" applyFont="1" applyBorder="1" applyAlignment="1">
      <alignment horizontal="center" vertical="center"/>
    </xf>
    <xf numFmtId="167" fontId="120" fillId="0" borderId="169" xfId="0" applyNumberFormat="1" applyFont="1" applyBorder="1" applyAlignment="1">
      <alignment horizontal="center" vertical="center"/>
    </xf>
    <xf numFmtId="173" fontId="133" fillId="0" borderId="8" xfId="0" applyNumberFormat="1" applyFont="1" applyBorder="1" applyAlignment="1">
      <alignment vertical="center"/>
    </xf>
    <xf numFmtId="0" fontId="169" fillId="0" borderId="0" xfId="0" applyFont="1"/>
    <xf numFmtId="0" fontId="169" fillId="0" borderId="0" xfId="0" applyFont="1" applyAlignment="1">
      <alignment horizontal="center"/>
    </xf>
    <xf numFmtId="0" fontId="169" fillId="0" borderId="0" xfId="0" applyFont="1" applyAlignment="1">
      <alignment horizontal="right"/>
    </xf>
    <xf numFmtId="0" fontId="130" fillId="0" borderId="1" xfId="0" applyFont="1" applyBorder="1"/>
    <xf numFmtId="0" fontId="130" fillId="0" borderId="20" xfId="0" applyFont="1" applyBorder="1"/>
    <xf numFmtId="14" fontId="121" fillId="0" borderId="0" xfId="0" applyNumberFormat="1" applyFont="1" applyAlignment="1">
      <alignment horizontal="left"/>
    </xf>
    <xf numFmtId="0" fontId="120" fillId="0" borderId="162" xfId="0" applyFont="1" applyBorder="1"/>
    <xf numFmtId="0" fontId="146" fillId="0" borderId="168" xfId="0" applyFont="1" applyBorder="1"/>
    <xf numFmtId="0" fontId="120" fillId="0" borderId="163" xfId="0" applyFont="1" applyBorder="1"/>
    <xf numFmtId="0" fontId="119" fillId="0" borderId="164" xfId="0" applyFont="1" applyBorder="1" applyAlignment="1">
      <alignment horizontal="left"/>
    </xf>
    <xf numFmtId="167" fontId="119" fillId="0" borderId="1" xfId="0" applyNumberFormat="1" applyFont="1" applyBorder="1" applyAlignment="1">
      <alignment horizontal="center"/>
    </xf>
    <xf numFmtId="0" fontId="120" fillId="0" borderId="165" xfId="0" applyFont="1" applyBorder="1"/>
    <xf numFmtId="167" fontId="120" fillId="0" borderId="1" xfId="0" applyNumberFormat="1" applyFont="1" applyBorder="1" applyAlignment="1">
      <alignment horizontal="right"/>
    </xf>
    <xf numFmtId="0" fontId="120" fillId="0" borderId="164" xfId="0" applyFont="1" applyBorder="1"/>
    <xf numFmtId="0" fontId="120" fillId="0" borderId="1" xfId="0" applyFont="1" applyBorder="1"/>
    <xf numFmtId="0" fontId="119" fillId="0" borderId="166" xfId="0" applyFont="1" applyBorder="1" applyAlignment="1">
      <alignment horizontal="left"/>
    </xf>
    <xf numFmtId="167" fontId="120" fillId="0" borderId="169" xfId="0" applyNumberFormat="1" applyFont="1" applyBorder="1" applyAlignment="1">
      <alignment horizontal="right"/>
    </xf>
    <xf numFmtId="175" fontId="121" fillId="0" borderId="0" xfId="0" applyNumberFormat="1" applyFont="1"/>
    <xf numFmtId="3" fontId="0" fillId="0" borderId="0" xfId="0" applyNumberFormat="1"/>
    <xf numFmtId="179" fontId="121" fillId="0" borderId="0" xfId="3" applyNumberFormat="1" applyFont="1"/>
    <xf numFmtId="179" fontId="121" fillId="10" borderId="1" xfId="3" applyNumberFormat="1" applyFont="1" applyFill="1" applyBorder="1" applyAlignment="1">
      <alignment horizontal="center" vertical="center"/>
    </xf>
    <xf numFmtId="179" fontId="121" fillId="10" borderId="1" xfId="3" applyNumberFormat="1" applyFont="1" applyFill="1" applyBorder="1" applyAlignment="1">
      <alignment horizontal="center"/>
    </xf>
    <xf numFmtId="17" fontId="129" fillId="0" borderId="0" xfId="0" applyNumberFormat="1" applyFont="1" applyAlignment="1">
      <alignment horizontal="right"/>
    </xf>
    <xf numFmtId="10" fontId="0" fillId="0" borderId="0" xfId="0" applyNumberFormat="1"/>
    <xf numFmtId="10" fontId="120" fillId="0" borderId="165" xfId="0" applyNumberFormat="1" applyFont="1" applyBorder="1" applyAlignment="1">
      <alignment horizontal="center"/>
    </xf>
    <xf numFmtId="0" fontId="121" fillId="30" borderId="0" xfId="0" applyFont="1" applyFill="1" applyAlignment="1">
      <alignment horizontal="center"/>
    </xf>
    <xf numFmtId="0" fontId="121" fillId="31" borderId="0" xfId="0" applyFont="1" applyFill="1" applyAlignment="1">
      <alignment horizontal="center"/>
    </xf>
    <xf numFmtId="37" fontId="131" fillId="0" borderId="105" xfId="0" applyNumberFormat="1" applyFont="1" applyBorder="1"/>
    <xf numFmtId="170" fontId="130" fillId="0" borderId="0" xfId="1" applyNumberFormat="1" applyFont="1"/>
    <xf numFmtId="0" fontId="0" fillId="32" borderId="0" xfId="0" applyFill="1"/>
    <xf numFmtId="49" fontId="115" fillId="0" borderId="1" xfId="10" applyNumberFormat="1" applyAlignment="1">
      <alignment horizontal="left" vertical="center"/>
    </xf>
    <xf numFmtId="43" fontId="115" fillId="0" borderId="1" xfId="1" applyFont="1" applyBorder="1" applyAlignment="1">
      <alignment horizontal="left" vertical="center"/>
    </xf>
    <xf numFmtId="37" fontId="0" fillId="0" borderId="0" xfId="0" applyNumberFormat="1"/>
    <xf numFmtId="0" fontId="157" fillId="22" borderId="0" xfId="0" applyFont="1" applyFill="1" applyAlignment="1">
      <alignment horizontal="left" vertical="top"/>
    </xf>
    <xf numFmtId="3" fontId="123" fillId="0" borderId="0" xfId="0" applyNumberFormat="1" applyFont="1"/>
    <xf numFmtId="0" fontId="84" fillId="29" borderId="1" xfId="2755" applyFill="1"/>
    <xf numFmtId="180" fontId="84" fillId="29" borderId="1" xfId="2755" applyNumberFormat="1" applyFill="1" applyAlignment="1">
      <alignment horizontal="right" vertical="center"/>
    </xf>
    <xf numFmtId="181" fontId="84" fillId="29" borderId="1" xfId="2755" applyNumberFormat="1" applyFill="1" applyAlignment="1">
      <alignment horizontal="right" vertical="center"/>
    </xf>
    <xf numFmtId="49" fontId="84" fillId="29" borderId="1" xfId="2755" applyNumberFormat="1" applyFill="1" applyAlignment="1">
      <alignment horizontal="left" vertical="center"/>
    </xf>
    <xf numFmtId="181" fontId="80" fillId="30" borderId="1" xfId="2811" applyNumberFormat="1" applyFill="1" applyAlignment="1">
      <alignment horizontal="right" vertical="center"/>
    </xf>
    <xf numFmtId="0" fontId="80" fillId="0" borderId="1" xfId="2811"/>
    <xf numFmtId="49" fontId="171" fillId="0" borderId="1" xfId="2811" applyNumberFormat="1" applyFont="1" applyAlignment="1">
      <alignment horizontal="left" vertical="center"/>
    </xf>
    <xf numFmtId="49" fontId="80" fillId="0" borderId="1" xfId="2811" applyNumberFormat="1" applyAlignment="1">
      <alignment horizontal="left" vertical="center"/>
    </xf>
    <xf numFmtId="180" fontId="171" fillId="0" borderId="1" xfId="2811" applyNumberFormat="1" applyFont="1" applyAlignment="1">
      <alignment horizontal="right" vertical="center"/>
    </xf>
    <xf numFmtId="180" fontId="80" fillId="0" borderId="1" xfId="2811" applyNumberFormat="1" applyAlignment="1">
      <alignment horizontal="right" vertical="center"/>
    </xf>
    <xf numFmtId="181" fontId="171" fillId="0" borderId="1" xfId="2811" applyNumberFormat="1" applyFont="1" applyAlignment="1">
      <alignment horizontal="right" vertical="center"/>
    </xf>
    <xf numFmtId="181" fontId="80" fillId="0" borderId="1" xfId="2811" applyNumberFormat="1" applyAlignment="1">
      <alignment horizontal="right" vertical="center"/>
    </xf>
    <xf numFmtId="49" fontId="144" fillId="0" borderId="1" xfId="4224" applyNumberFormat="1" applyFont="1" applyAlignment="1">
      <alignment horizontal="center" vertical="center"/>
    </xf>
    <xf numFmtId="181" fontId="80" fillId="30" borderId="1" xfId="5565" applyNumberFormat="1" applyFill="1" applyAlignment="1">
      <alignment horizontal="right" vertical="center"/>
    </xf>
    <xf numFmtId="0" fontId="80" fillId="0" borderId="1" xfId="5565"/>
    <xf numFmtId="49" fontId="171" fillId="0" borderId="1" xfId="5565" applyNumberFormat="1" applyFont="1" applyAlignment="1">
      <alignment horizontal="left" vertical="center"/>
    </xf>
    <xf numFmtId="49" fontId="80" fillId="0" borderId="1" xfId="5565" applyNumberFormat="1" applyAlignment="1">
      <alignment horizontal="left" vertical="center"/>
    </xf>
    <xf numFmtId="180" fontId="171" fillId="0" borderId="1" xfId="5565" applyNumberFormat="1" applyFont="1" applyAlignment="1">
      <alignment horizontal="right" vertical="center"/>
    </xf>
    <xf numFmtId="180" fontId="80" fillId="0" borderId="1" xfId="5565" applyNumberFormat="1" applyAlignment="1">
      <alignment horizontal="right" vertical="center"/>
    </xf>
    <xf numFmtId="181" fontId="171" fillId="0" borderId="1" xfId="5565" applyNumberFormat="1" applyFont="1" applyAlignment="1">
      <alignment horizontal="right" vertical="center"/>
    </xf>
    <xf numFmtId="181" fontId="80" fillId="0" borderId="1" xfId="5565" applyNumberFormat="1" applyAlignment="1">
      <alignment horizontal="right" vertical="center"/>
    </xf>
    <xf numFmtId="49" fontId="144" fillId="0" borderId="1" xfId="5551" applyNumberFormat="1" applyFont="1" applyAlignment="1">
      <alignment horizontal="center" vertical="center"/>
    </xf>
    <xf numFmtId="165" fontId="130" fillId="0" borderId="8" xfId="0" applyNumberFormat="1" applyFont="1" applyBorder="1"/>
    <xf numFmtId="165" fontId="129" fillId="0" borderId="0" xfId="0" applyNumberFormat="1" applyFont="1"/>
    <xf numFmtId="3" fontId="130" fillId="0" borderId="20" xfId="0" applyNumberFormat="1" applyFont="1" applyBorder="1"/>
    <xf numFmtId="173" fontId="130" fillId="0" borderId="0" xfId="2" applyNumberFormat="1" applyFont="1"/>
    <xf numFmtId="173" fontId="131" fillId="0" borderId="14" xfId="2" applyNumberFormat="1" applyFont="1" applyBorder="1"/>
    <xf numFmtId="173" fontId="131" fillId="0" borderId="0" xfId="2" applyNumberFormat="1" applyFont="1"/>
    <xf numFmtId="10" fontId="120" fillId="0" borderId="167" xfId="0" applyNumberFormat="1" applyFont="1" applyBorder="1" applyAlignment="1">
      <alignment horizontal="center"/>
    </xf>
    <xf numFmtId="0" fontId="65" fillId="0" borderId="0" xfId="0" applyFont="1"/>
    <xf numFmtId="9" fontId="130" fillId="0" borderId="0" xfId="2" applyFont="1" applyAlignment="1">
      <alignment horizontal="right"/>
    </xf>
    <xf numFmtId="9" fontId="130" fillId="0" borderId="0" xfId="2" applyFont="1"/>
    <xf numFmtId="9" fontId="130" fillId="0" borderId="8" xfId="2" applyFont="1" applyFill="1" applyBorder="1"/>
    <xf numFmtId="173" fontId="130" fillId="0" borderId="0" xfId="2" applyNumberFormat="1" applyFont="1" applyFill="1"/>
    <xf numFmtId="9" fontId="132" fillId="0" borderId="0" xfId="2" applyFont="1"/>
    <xf numFmtId="0" fontId="58" fillId="0" borderId="0" xfId="0" applyFont="1"/>
    <xf numFmtId="0" fontId="133" fillId="3" borderId="119" xfId="0" applyFont="1" applyFill="1" applyBorder="1"/>
    <xf numFmtId="0" fontId="133" fillId="3" borderId="120" xfId="0" applyFont="1" applyFill="1" applyBorder="1"/>
    <xf numFmtId="0" fontId="133" fillId="3" borderId="120" xfId="0" applyFont="1" applyFill="1" applyBorder="1" applyAlignment="1">
      <alignment horizontal="center"/>
    </xf>
    <xf numFmtId="173" fontId="133" fillId="3" borderId="120" xfId="0" applyNumberFormat="1" applyFont="1" applyFill="1" applyBorder="1"/>
    <xf numFmtId="37" fontId="133" fillId="3" borderId="120" xfId="0" applyNumberFormat="1" applyFont="1" applyFill="1" applyBorder="1"/>
    <xf numFmtId="173" fontId="133" fillId="3" borderId="121" xfId="0" applyNumberFormat="1" applyFont="1" applyFill="1" applyBorder="1"/>
    <xf numFmtId="9" fontId="133" fillId="3" borderId="103" xfId="2" applyFont="1" applyFill="1" applyBorder="1"/>
    <xf numFmtId="9" fontId="130" fillId="0" borderId="14" xfId="2" applyFont="1" applyBorder="1" applyAlignment="1">
      <alignment horizontal="right"/>
    </xf>
    <xf numFmtId="0" fontId="36" fillId="0" borderId="0" xfId="0" applyFont="1"/>
    <xf numFmtId="3" fontId="46" fillId="0" borderId="0" xfId="0" applyNumberFormat="1" applyFont="1"/>
    <xf numFmtId="173" fontId="130" fillId="0" borderId="1" xfId="0" applyNumberFormat="1" applyFont="1" applyBorder="1"/>
    <xf numFmtId="0" fontId="160" fillId="25" borderId="171" xfId="0" applyFont="1" applyFill="1" applyBorder="1"/>
    <xf numFmtId="0" fontId="159" fillId="25" borderId="171" xfId="0" applyFont="1" applyFill="1" applyBorder="1"/>
    <xf numFmtId="3" fontId="159" fillId="25" borderId="171" xfId="0" applyNumberFormat="1" applyFont="1" applyFill="1" applyBorder="1"/>
    <xf numFmtId="3" fontId="159" fillId="25" borderId="172" xfId="0" applyNumberFormat="1" applyFont="1" applyFill="1" applyBorder="1"/>
    <xf numFmtId="3" fontId="159" fillId="25" borderId="173" xfId="0" applyNumberFormat="1" applyFont="1" applyFill="1" applyBorder="1"/>
    <xf numFmtId="0" fontId="159" fillId="25" borderId="131" xfId="0" applyFont="1" applyFill="1" applyBorder="1"/>
    <xf numFmtId="3" fontId="160" fillId="25" borderId="171" xfId="0" applyNumberFormat="1" applyFont="1" applyFill="1" applyBorder="1"/>
    <xf numFmtId="3" fontId="160" fillId="25" borderId="172" xfId="0" applyNumberFormat="1" applyFont="1" applyFill="1" applyBorder="1"/>
    <xf numFmtId="3" fontId="160" fillId="25" borderId="173" xfId="0" applyNumberFormat="1" applyFont="1" applyFill="1" applyBorder="1"/>
    <xf numFmtId="0" fontId="159" fillId="25" borderId="128" xfId="0" applyFont="1" applyFill="1" applyBorder="1"/>
    <xf numFmtId="0" fontId="159" fillId="26" borderId="134" xfId="0" applyFont="1" applyFill="1" applyBorder="1"/>
    <xf numFmtId="0" fontId="159" fillId="25" borderId="126" xfId="0" applyFont="1" applyFill="1" applyBorder="1" applyAlignment="1">
      <alignment horizontal="left"/>
    </xf>
    <xf numFmtId="0" fontId="159" fillId="26" borderId="174" xfId="0" applyFont="1" applyFill="1" applyBorder="1"/>
    <xf numFmtId="0" fontId="159" fillId="26" borderId="174" xfId="0" applyFont="1" applyFill="1" applyBorder="1" applyAlignment="1">
      <alignment horizontal="center"/>
    </xf>
    <xf numFmtId="173" fontId="159" fillId="26" borderId="175" xfId="0" applyNumberFormat="1" applyFont="1" applyFill="1" applyBorder="1"/>
    <xf numFmtId="37" fontId="159" fillId="26" borderId="176" xfId="0" applyNumberFormat="1" applyFont="1" applyFill="1" applyBorder="1"/>
    <xf numFmtId="0" fontId="164" fillId="25" borderId="126" xfId="0" applyFont="1" applyFill="1" applyBorder="1"/>
    <xf numFmtId="0" fontId="164" fillId="25" borderId="128" xfId="0" applyFont="1" applyFill="1" applyBorder="1"/>
    <xf numFmtId="0" fontId="160" fillId="25" borderId="172" xfId="0" applyFont="1" applyFill="1" applyBorder="1"/>
    <xf numFmtId="37" fontId="160" fillId="25" borderId="173" xfId="0" applyNumberFormat="1" applyFont="1" applyFill="1" applyBorder="1"/>
    <xf numFmtId="37" fontId="160" fillId="25" borderId="173" xfId="0" applyNumberFormat="1" applyFont="1" applyFill="1" applyBorder="1" applyProtection="1">
      <protection locked="0"/>
    </xf>
    <xf numFmtId="0" fontId="164" fillId="27" borderId="126" xfId="0" applyFont="1" applyFill="1" applyBorder="1"/>
    <xf numFmtId="0" fontId="159" fillId="26" borderId="177" xfId="0" applyFont="1" applyFill="1" applyBorder="1"/>
    <xf numFmtId="37" fontId="159" fillId="26" borderId="178" xfId="0" applyNumberFormat="1" applyFont="1" applyFill="1" applyBorder="1"/>
    <xf numFmtId="0" fontId="159" fillId="26" borderId="170" xfId="0" applyFont="1" applyFill="1" applyBorder="1"/>
    <xf numFmtId="173" fontId="159" fillId="26" borderId="179" xfId="0" applyNumberFormat="1" applyFont="1" applyFill="1" applyBorder="1"/>
    <xf numFmtId="0" fontId="159" fillId="26" borderId="180" xfId="0" applyFont="1" applyFill="1" applyBorder="1"/>
    <xf numFmtId="0" fontId="160" fillId="26" borderId="180" xfId="0" applyFont="1" applyFill="1" applyBorder="1"/>
    <xf numFmtId="10" fontId="160" fillId="26" borderId="181" xfId="2" applyNumberFormat="1" applyFont="1" applyFill="1" applyBorder="1"/>
    <xf numFmtId="37" fontId="159" fillId="26" borderId="182" xfId="0" applyNumberFormat="1" applyFont="1" applyFill="1" applyBorder="1"/>
    <xf numFmtId="0" fontId="160" fillId="26" borderId="181" xfId="0" applyFont="1" applyFill="1" applyBorder="1"/>
    <xf numFmtId="0" fontId="173" fillId="25" borderId="0" xfId="0" applyFont="1" applyFill="1"/>
    <xf numFmtId="171" fontId="162" fillId="25" borderId="0" xfId="0" applyNumberFormat="1" applyFont="1" applyFill="1" applyAlignment="1">
      <alignment horizontal="left"/>
    </xf>
    <xf numFmtId="173" fontId="160" fillId="25" borderId="126" xfId="2" applyNumberFormat="1" applyFont="1" applyFill="1" applyBorder="1"/>
    <xf numFmtId="0" fontId="159" fillId="26" borderId="177" xfId="0" applyFont="1" applyFill="1" applyBorder="1" applyAlignment="1">
      <alignment horizontal="center"/>
    </xf>
    <xf numFmtId="173" fontId="159" fillId="26" borderId="183" xfId="0" applyNumberFormat="1" applyFont="1" applyFill="1" applyBorder="1"/>
    <xf numFmtId="10" fontId="159" fillId="26" borderId="181" xfId="2" applyNumberFormat="1" applyFont="1" applyFill="1" applyBorder="1"/>
    <xf numFmtId="0" fontId="159" fillId="26" borderId="181" xfId="0" applyFont="1" applyFill="1" applyBorder="1"/>
    <xf numFmtId="37" fontId="160" fillId="25" borderId="171" xfId="0" applyNumberFormat="1" applyFont="1" applyFill="1" applyBorder="1"/>
    <xf numFmtId="37" fontId="160" fillId="25" borderId="172" xfId="0" applyNumberFormat="1" applyFont="1" applyFill="1" applyBorder="1"/>
    <xf numFmtId="37" fontId="160" fillId="25" borderId="171" xfId="0" applyNumberFormat="1" applyFont="1" applyFill="1" applyBorder="1" applyProtection="1">
      <protection locked="0"/>
    </xf>
    <xf numFmtId="37" fontId="160" fillId="25" borderId="172" xfId="0" applyNumberFormat="1" applyFont="1" applyFill="1" applyBorder="1" applyProtection="1">
      <protection locked="0"/>
    </xf>
    <xf numFmtId="0" fontId="159" fillId="27" borderId="134" xfId="0" applyFont="1" applyFill="1" applyBorder="1"/>
    <xf numFmtId="0" fontId="159" fillId="27" borderId="128" xfId="0" applyFont="1" applyFill="1" applyBorder="1"/>
    <xf numFmtId="0" fontId="159" fillId="27" borderId="171" xfId="0" applyFont="1" applyFill="1" applyBorder="1"/>
    <xf numFmtId="37" fontId="160" fillId="25" borderId="184" xfId="0" applyNumberFormat="1" applyFont="1" applyFill="1" applyBorder="1"/>
    <xf numFmtId="0" fontId="160" fillId="27" borderId="126" xfId="0" applyFont="1" applyFill="1" applyBorder="1"/>
    <xf numFmtId="170" fontId="160" fillId="25" borderId="0" xfId="1" applyNumberFormat="1" applyFont="1" applyFill="1"/>
    <xf numFmtId="170" fontId="160" fillId="25" borderId="0" xfId="1" applyNumberFormat="1" applyFont="1" applyFill="1" applyProtection="1">
      <protection locked="0"/>
    </xf>
    <xf numFmtId="0" fontId="160" fillId="27" borderId="185" xfId="0" applyFont="1" applyFill="1" applyBorder="1"/>
    <xf numFmtId="170" fontId="160" fillId="25" borderId="172" xfId="1" applyNumberFormat="1" applyFont="1" applyFill="1" applyBorder="1"/>
    <xf numFmtId="37" fontId="159" fillId="27" borderId="171" xfId="0" applyNumberFormat="1" applyFont="1" applyFill="1" applyBorder="1"/>
    <xf numFmtId="172" fontId="159" fillId="27" borderId="172" xfId="0" applyNumberFormat="1" applyFont="1" applyFill="1" applyBorder="1"/>
    <xf numFmtId="37" fontId="159" fillId="27" borderId="173" xfId="0" applyNumberFormat="1" applyFont="1" applyFill="1" applyBorder="1"/>
    <xf numFmtId="173" fontId="159" fillId="26" borderId="181" xfId="2" applyNumberFormat="1" applyFont="1" applyFill="1" applyBorder="1"/>
    <xf numFmtId="0" fontId="164" fillId="25" borderId="171" xfId="0" applyFont="1" applyFill="1" applyBorder="1"/>
    <xf numFmtId="0" fontId="159" fillId="26" borderId="186" xfId="0" applyFont="1" applyFill="1" applyBorder="1"/>
    <xf numFmtId="37" fontId="159" fillId="25" borderId="171" xfId="0" applyNumberFormat="1" applyFont="1" applyFill="1" applyBorder="1"/>
    <xf numFmtId="173" fontId="159" fillId="25" borderId="172" xfId="0" applyNumberFormat="1" applyFont="1" applyFill="1" applyBorder="1"/>
    <xf numFmtId="37" fontId="159" fillId="25" borderId="173" xfId="0" applyNumberFormat="1" applyFont="1" applyFill="1" applyBorder="1"/>
    <xf numFmtId="0" fontId="159" fillId="26" borderId="187" xfId="0" applyFont="1" applyFill="1" applyBorder="1"/>
    <xf numFmtId="37" fontId="159" fillId="26" borderId="187" xfId="0" applyNumberFormat="1" applyFont="1" applyFill="1" applyBorder="1"/>
    <xf numFmtId="172" fontId="159" fillId="26" borderId="188" xfId="0" applyNumberFormat="1" applyFont="1" applyFill="1" applyBorder="1"/>
    <xf numFmtId="37" fontId="159" fillId="26" borderId="189" xfId="0" applyNumberFormat="1" applyFont="1" applyFill="1" applyBorder="1"/>
    <xf numFmtId="43" fontId="159" fillId="26" borderId="181" xfId="1" applyFont="1" applyFill="1" applyBorder="1"/>
    <xf numFmtId="0" fontId="164" fillId="25" borderId="185" xfId="0" applyFont="1" applyFill="1" applyBorder="1"/>
    <xf numFmtId="0" fontId="159" fillId="26" borderId="142" xfId="0" applyFont="1" applyFill="1" applyBorder="1"/>
    <xf numFmtId="0" fontId="165" fillId="25" borderId="0" xfId="0" applyFont="1" applyFill="1" applyAlignment="1">
      <alignment horizontal="center" vertical="center"/>
    </xf>
    <xf numFmtId="0" fontId="159" fillId="25" borderId="190" xfId="0" applyFont="1" applyFill="1" applyBorder="1" applyAlignment="1">
      <alignment horizontal="center"/>
    </xf>
    <xf numFmtId="0" fontId="160" fillId="25" borderId="145" xfId="0" applyFont="1" applyFill="1" applyBorder="1"/>
    <xf numFmtId="0" fontId="165" fillId="26" borderId="145" xfId="0" applyFont="1" applyFill="1" applyBorder="1"/>
    <xf numFmtId="0" fontId="165" fillId="25" borderId="147" xfId="0" applyFont="1" applyFill="1" applyBorder="1"/>
    <xf numFmtId="0" fontId="165" fillId="26" borderId="191" xfId="0" applyFont="1" applyFill="1" applyBorder="1"/>
    <xf numFmtId="173" fontId="165" fillId="26" borderId="191" xfId="0" applyNumberFormat="1" applyFont="1" applyFill="1" applyBorder="1"/>
    <xf numFmtId="170" fontId="165" fillId="26" borderId="175" xfId="1" applyNumberFormat="1" applyFont="1" applyFill="1" applyBorder="1"/>
    <xf numFmtId="37" fontId="165" fillId="26" borderId="192" xfId="0" applyNumberFormat="1" applyFont="1" applyFill="1" applyBorder="1"/>
    <xf numFmtId="0" fontId="165" fillId="26" borderId="175" xfId="0" applyFont="1" applyFill="1" applyBorder="1"/>
    <xf numFmtId="0" fontId="164" fillId="27" borderId="147" xfId="0" applyFont="1" applyFill="1" applyBorder="1"/>
    <xf numFmtId="172" fontId="165" fillId="26" borderId="175" xfId="0" applyNumberFormat="1" applyFont="1" applyFill="1" applyBorder="1"/>
    <xf numFmtId="0" fontId="164" fillId="25" borderId="193" xfId="0" applyFont="1" applyFill="1" applyBorder="1"/>
    <xf numFmtId="172" fontId="164" fillId="25" borderId="172" xfId="0" applyNumberFormat="1" applyFont="1" applyFill="1" applyBorder="1"/>
    <xf numFmtId="37" fontId="164" fillId="25" borderId="194" xfId="0" applyNumberFormat="1" applyFont="1" applyFill="1" applyBorder="1"/>
    <xf numFmtId="0" fontId="164" fillId="25" borderId="148" xfId="0" applyFont="1" applyFill="1" applyBorder="1"/>
    <xf numFmtId="173" fontId="165" fillId="25" borderId="193" xfId="0" applyNumberFormat="1" applyFont="1" applyFill="1" applyBorder="1"/>
    <xf numFmtId="0" fontId="165" fillId="25" borderId="172" xfId="0" applyFont="1" applyFill="1" applyBorder="1"/>
    <xf numFmtId="37" fontId="164" fillId="27" borderId="194" xfId="0" applyNumberFormat="1" applyFont="1" applyFill="1" applyBorder="1"/>
    <xf numFmtId="0" fontId="164" fillId="26" borderId="175" xfId="0" applyFont="1" applyFill="1" applyBorder="1"/>
    <xf numFmtId="0" fontId="165" fillId="27" borderId="193" xfId="0" applyFont="1" applyFill="1" applyBorder="1"/>
    <xf numFmtId="0" fontId="164" fillId="27" borderId="172" xfId="0" applyFont="1" applyFill="1" applyBorder="1"/>
    <xf numFmtId="0" fontId="165" fillId="26" borderId="151" xfId="0" applyFont="1" applyFill="1" applyBorder="1"/>
    <xf numFmtId="0" fontId="165" fillId="26" borderId="195" xfId="0" applyFont="1" applyFill="1" applyBorder="1"/>
    <xf numFmtId="0" fontId="168" fillId="25" borderId="196" xfId="0" applyFont="1" applyFill="1" applyBorder="1"/>
    <xf numFmtId="0" fontId="164" fillId="25" borderId="196" xfId="0" applyFont="1" applyFill="1" applyBorder="1"/>
    <xf numFmtId="0" fontId="160" fillId="25" borderId="196" xfId="0" applyFont="1" applyFill="1" applyBorder="1"/>
    <xf numFmtId="0" fontId="160" fillId="25" borderId="197" xfId="0" applyFont="1" applyFill="1" applyBorder="1"/>
    <xf numFmtId="0" fontId="165" fillId="26" borderId="198" xfId="0" applyFont="1" applyFill="1" applyBorder="1"/>
    <xf numFmtId="37" fontId="159" fillId="25" borderId="136" xfId="0" applyNumberFormat="1" applyFont="1" applyFill="1" applyBorder="1"/>
    <xf numFmtId="0" fontId="159" fillId="25" borderId="139" xfId="0" applyFont="1" applyFill="1" applyBorder="1"/>
    <xf numFmtId="37" fontId="160" fillId="33" borderId="127" xfId="0" applyNumberFormat="1" applyFont="1" applyFill="1" applyBorder="1" applyProtection="1">
      <protection locked="0"/>
    </xf>
    <xf numFmtId="37" fontId="160" fillId="33" borderId="130" xfId="0" applyNumberFormat="1" applyFont="1" applyFill="1" applyBorder="1" applyProtection="1">
      <protection locked="0"/>
    </xf>
    <xf numFmtId="37" fontId="159" fillId="25" borderId="176" xfId="0" applyNumberFormat="1" applyFont="1" applyFill="1" applyBorder="1"/>
    <xf numFmtId="37" fontId="160" fillId="33" borderId="173" xfId="0" applyNumberFormat="1" applyFont="1" applyFill="1" applyBorder="1" applyProtection="1">
      <protection locked="0"/>
    </xf>
    <xf numFmtId="37" fontId="160" fillId="33" borderId="133" xfId="0" applyNumberFormat="1" applyFont="1" applyFill="1" applyBorder="1" applyProtection="1">
      <protection locked="0"/>
    </xf>
    <xf numFmtId="37" fontId="159" fillId="25" borderId="178" xfId="0" applyNumberFormat="1" applyFont="1" applyFill="1" applyBorder="1"/>
    <xf numFmtId="37" fontId="159" fillId="25" borderId="141" xfId="0" applyNumberFormat="1" applyFont="1" applyFill="1" applyBorder="1"/>
    <xf numFmtId="37" fontId="159" fillId="25" borderId="127" xfId="0" applyNumberFormat="1" applyFont="1" applyFill="1" applyBorder="1"/>
    <xf numFmtId="37" fontId="159" fillId="25" borderId="182" xfId="0" applyNumberFormat="1" applyFont="1" applyFill="1" applyBorder="1"/>
    <xf numFmtId="3" fontId="159" fillId="25" borderId="126" xfId="0" applyNumberFormat="1" applyFont="1" applyFill="1" applyBorder="1"/>
    <xf numFmtId="3" fontId="159" fillId="25" borderId="0" xfId="0" applyNumberFormat="1" applyFont="1" applyFill="1"/>
    <xf numFmtId="3" fontId="159" fillId="25" borderId="127" xfId="0" applyNumberFormat="1" applyFont="1" applyFill="1" applyBorder="1"/>
    <xf numFmtId="9" fontId="160" fillId="25" borderId="126" xfId="0" applyNumberFormat="1" applyFont="1" applyFill="1" applyBorder="1"/>
    <xf numFmtId="9" fontId="160" fillId="25" borderId="131" xfId="0" applyNumberFormat="1" applyFont="1" applyFill="1" applyBorder="1"/>
    <xf numFmtId="0" fontId="160" fillId="25" borderId="140" xfId="0" applyFont="1" applyFill="1" applyBorder="1" applyAlignment="1">
      <alignment horizontal="right"/>
    </xf>
    <xf numFmtId="37" fontId="160" fillId="32" borderId="0" xfId="0" applyNumberFormat="1" applyFont="1" applyFill="1" applyProtection="1">
      <protection locked="0"/>
    </xf>
    <xf numFmtId="37" fontId="160" fillId="32" borderId="127" xfId="0" applyNumberFormat="1" applyFont="1" applyFill="1" applyBorder="1" applyProtection="1">
      <protection locked="0"/>
    </xf>
    <xf numFmtId="172" fontId="160" fillId="25" borderId="172" xfId="0" applyNumberFormat="1" applyFont="1" applyFill="1" applyBorder="1" applyProtection="1">
      <protection locked="0"/>
    </xf>
    <xf numFmtId="37" fontId="160" fillId="0" borderId="171" xfId="0" applyNumberFormat="1" applyFont="1" applyBorder="1" applyProtection="1">
      <protection locked="0"/>
    </xf>
    <xf numFmtId="173" fontId="159" fillId="25" borderId="139" xfId="0" applyNumberFormat="1" applyFont="1" applyFill="1" applyBorder="1"/>
    <xf numFmtId="37" fontId="159" fillId="25" borderId="189" xfId="0" applyNumberFormat="1" applyFont="1" applyFill="1" applyBorder="1"/>
    <xf numFmtId="0" fontId="176" fillId="25" borderId="0" xfId="0" applyFont="1" applyFill="1"/>
    <xf numFmtId="37" fontId="160" fillId="32" borderId="173" xfId="0" applyNumberFormat="1" applyFont="1" applyFill="1" applyBorder="1" applyProtection="1">
      <protection locked="0"/>
    </xf>
    <xf numFmtId="37" fontId="160" fillId="33" borderId="130" xfId="0" applyNumberFormat="1" applyFont="1" applyFill="1" applyBorder="1"/>
    <xf numFmtId="37" fontId="159" fillId="25" borderId="144" xfId="0" applyNumberFormat="1" applyFont="1" applyFill="1" applyBorder="1"/>
    <xf numFmtId="37" fontId="165" fillId="25" borderId="146" xfId="0" applyNumberFormat="1" applyFont="1" applyFill="1" applyBorder="1"/>
    <xf numFmtId="37" fontId="165" fillId="25" borderId="192" xfId="0" applyNumberFormat="1" applyFont="1" applyFill="1" applyBorder="1"/>
    <xf numFmtId="37" fontId="164" fillId="33" borderId="148" xfId="0" applyNumberFormat="1" applyFont="1" applyFill="1" applyBorder="1" applyProtection="1">
      <protection locked="0"/>
    </xf>
    <xf numFmtId="37" fontId="164" fillId="32" borderId="148" xfId="0" applyNumberFormat="1" applyFont="1" applyFill="1" applyBorder="1"/>
    <xf numFmtId="37" fontId="164" fillId="32" borderId="148" xfId="0" applyNumberFormat="1" applyFont="1" applyFill="1" applyBorder="1" applyProtection="1">
      <protection locked="0"/>
    </xf>
    <xf numFmtId="37" fontId="164" fillId="32" borderId="146" xfId="0" applyNumberFormat="1" applyFont="1" applyFill="1" applyBorder="1" applyProtection="1">
      <protection locked="0"/>
    </xf>
    <xf numFmtId="37" fontId="164" fillId="34" borderId="194" xfId="0" applyNumberFormat="1" applyFont="1" applyFill="1" applyBorder="1"/>
    <xf numFmtId="0" fontId="167" fillId="27" borderId="193" xfId="0" applyFont="1" applyFill="1" applyBorder="1"/>
    <xf numFmtId="0" fontId="166" fillId="27" borderId="172" xfId="0" applyFont="1" applyFill="1" applyBorder="1"/>
    <xf numFmtId="37" fontId="166" fillId="27" borderId="194" xfId="0" applyNumberFormat="1" applyFont="1" applyFill="1" applyBorder="1"/>
    <xf numFmtId="37" fontId="166" fillId="25" borderId="194" xfId="0" applyNumberFormat="1" applyFont="1" applyFill="1" applyBorder="1"/>
    <xf numFmtId="37" fontId="165" fillId="25" borderId="155" xfId="0" applyNumberFormat="1" applyFont="1" applyFill="1" applyBorder="1"/>
    <xf numFmtId="37" fontId="165" fillId="25" borderId="158" xfId="0" applyNumberFormat="1" applyFont="1" applyFill="1" applyBorder="1"/>
    <xf numFmtId="37" fontId="165" fillId="25" borderId="161" xfId="0" applyNumberFormat="1" applyFont="1" applyFill="1" applyBorder="1"/>
    <xf numFmtId="0" fontId="16" fillId="0" borderId="0" xfId="0" applyFont="1"/>
    <xf numFmtId="0" fontId="8" fillId="0" borderId="0" xfId="0" applyFont="1"/>
    <xf numFmtId="37" fontId="121" fillId="0" borderId="0" xfId="0" applyNumberFormat="1" applyFont="1"/>
    <xf numFmtId="43" fontId="0" fillId="0" borderId="0" xfId="1" applyFont="1"/>
    <xf numFmtId="0" fontId="156" fillId="24" borderId="0" xfId="0" applyFont="1" applyFill="1" applyAlignment="1">
      <alignment horizontal="left" vertical="top"/>
    </xf>
    <xf numFmtId="0" fontId="157" fillId="22" borderId="0" xfId="0" applyFont="1" applyFill="1" applyAlignment="1">
      <alignment horizontal="center" vertical="top"/>
    </xf>
    <xf numFmtId="43" fontId="154" fillId="0" borderId="0" xfId="1" applyFont="1" applyAlignment="1">
      <alignment horizontal="center" vertical="top"/>
    </xf>
    <xf numFmtId="43" fontId="155" fillId="0" borderId="0" xfId="1" applyFont="1" applyAlignment="1">
      <alignment horizontal="center" vertical="top"/>
    </xf>
    <xf numFmtId="43" fontId="0" fillId="0" borderId="0" xfId="0" applyNumberFormat="1"/>
    <xf numFmtId="43" fontId="0" fillId="0" borderId="0" xfId="1" applyFont="1" applyFill="1"/>
    <xf numFmtId="0" fontId="130" fillId="0" borderId="199" xfId="0" applyFont="1" applyBorder="1"/>
    <xf numFmtId="0" fontId="130" fillId="0" borderId="200" xfId="0" applyFont="1" applyBorder="1"/>
    <xf numFmtId="0" fontId="130" fillId="0" borderId="201" xfId="0" applyFont="1" applyBorder="1"/>
    <xf numFmtId="0" fontId="123" fillId="0" borderId="200" xfId="0" applyFont="1" applyBorder="1"/>
    <xf numFmtId="0" fontId="177" fillId="35" borderId="0" xfId="0" applyFont="1" applyFill="1" applyAlignment="1">
      <alignment horizontal="center" vertical="center"/>
    </xf>
    <xf numFmtId="0" fontId="151" fillId="35" borderId="0" xfId="0" applyFont="1" applyFill="1" applyAlignment="1">
      <alignment horizontal="center" vertical="center"/>
    </xf>
    <xf numFmtId="0" fontId="178" fillId="35" borderId="0" xfId="0" applyFont="1" applyFill="1" applyAlignment="1">
      <alignment horizontal="left" vertical="center"/>
    </xf>
    <xf numFmtId="0" fontId="151" fillId="35" borderId="0" xfId="0" applyFont="1" applyFill="1"/>
    <xf numFmtId="0" fontId="151" fillId="35" borderId="0" xfId="0" applyFont="1" applyFill="1" applyAlignment="1">
      <alignment horizontal="center"/>
    </xf>
    <xf numFmtId="3" fontId="151" fillId="35" borderId="0" xfId="0" applyNumberFormat="1" applyFont="1" applyFill="1"/>
    <xf numFmtId="0" fontId="151" fillId="35" borderId="1" xfId="0" applyFont="1" applyFill="1" applyBorder="1"/>
    <xf numFmtId="0" fontId="151" fillId="35" borderId="1" xfId="0" applyFont="1" applyFill="1" applyBorder="1" applyAlignment="1">
      <alignment horizontal="center" vertical="center"/>
    </xf>
    <xf numFmtId="0" fontId="151" fillId="35" borderId="1" xfId="0" applyFont="1" applyFill="1" applyBorder="1" applyAlignment="1">
      <alignment horizontal="right" vertical="center"/>
    </xf>
    <xf numFmtId="0" fontId="130" fillId="0" borderId="20" xfId="0" applyFont="1" applyBorder="1" applyAlignment="1">
      <alignment horizontal="center"/>
    </xf>
    <xf numFmtId="0" fontId="130" fillId="0" borderId="21" xfId="0" applyFont="1" applyBorder="1" applyAlignment="1">
      <alignment horizontal="center"/>
    </xf>
    <xf numFmtId="0" fontId="130" fillId="0" borderId="1" xfId="0" applyFont="1" applyBorder="1" applyAlignment="1">
      <alignment horizontal="center"/>
    </xf>
    <xf numFmtId="37" fontId="130" fillId="0" borderId="1" xfId="0" applyNumberFormat="1" applyFont="1" applyBorder="1"/>
    <xf numFmtId="1" fontId="130" fillId="0" borderId="20" xfId="0" applyNumberFormat="1" applyFont="1" applyBorder="1"/>
    <xf numFmtId="37" fontId="130" fillId="0" borderId="20" xfId="0" applyNumberFormat="1" applyFont="1" applyBorder="1"/>
    <xf numFmtId="173" fontId="130" fillId="0" borderId="20" xfId="0" applyNumberFormat="1" applyFont="1" applyBorder="1"/>
    <xf numFmtId="0" fontId="130" fillId="0" borderId="202" xfId="0" applyFont="1" applyBorder="1"/>
    <xf numFmtId="173" fontId="130" fillId="0" borderId="21" xfId="0" applyNumberFormat="1" applyFont="1" applyBorder="1"/>
    <xf numFmtId="173" fontId="123" fillId="0" borderId="20" xfId="0" applyNumberFormat="1" applyFont="1" applyBorder="1"/>
    <xf numFmtId="173" fontId="123" fillId="0" borderId="21" xfId="0" applyNumberFormat="1" applyFont="1" applyBorder="1"/>
    <xf numFmtId="0" fontId="130" fillId="0" borderId="203" xfId="0" applyFont="1" applyBorder="1"/>
    <xf numFmtId="0" fontId="130" fillId="0" borderId="203" xfId="0" applyFont="1" applyBorder="1" applyAlignment="1">
      <alignment horizontal="center"/>
    </xf>
    <xf numFmtId="0" fontId="130" fillId="0" borderId="204" xfId="0" applyFont="1" applyBorder="1" applyAlignment="1">
      <alignment horizontal="center"/>
    </xf>
    <xf numFmtId="173" fontId="130" fillId="0" borderId="203" xfId="0" applyNumberFormat="1" applyFont="1" applyBorder="1"/>
    <xf numFmtId="37" fontId="130" fillId="0" borderId="204" xfId="0" applyNumberFormat="1" applyFont="1" applyBorder="1"/>
    <xf numFmtId="0" fontId="179" fillId="0" borderId="0" xfId="0" applyFont="1"/>
    <xf numFmtId="0" fontId="131" fillId="0" borderId="0" xfId="0" applyFont="1" applyAlignment="1">
      <alignment horizontal="center"/>
    </xf>
    <xf numFmtId="0" fontId="0" fillId="36" borderId="0" xfId="0" applyFill="1"/>
    <xf numFmtId="0" fontId="157" fillId="37" borderId="0" xfId="0" applyFont="1" applyFill="1" applyAlignment="1">
      <alignment horizontal="left" vertical="top"/>
    </xf>
    <xf numFmtId="0" fontId="157" fillId="37" borderId="0" xfId="0" applyFont="1" applyFill="1" applyAlignment="1">
      <alignment horizontal="center" vertical="top"/>
    </xf>
    <xf numFmtId="0" fontId="130" fillId="32" borderId="8" xfId="0" applyFont="1" applyFill="1" applyBorder="1"/>
    <xf numFmtId="0" fontId="0" fillId="38" borderId="0" xfId="0" applyFill="1"/>
    <xf numFmtId="43" fontId="155" fillId="0" borderId="0" xfId="1" applyFont="1" applyFill="1" applyAlignment="1">
      <alignment horizontal="center" vertical="top"/>
    </xf>
    <xf numFmtId="43" fontId="154" fillId="0" borderId="0" xfId="1" applyFont="1" applyFill="1" applyAlignment="1">
      <alignment horizontal="center" vertical="top"/>
    </xf>
    <xf numFmtId="0" fontId="121" fillId="0" borderId="1" xfId="0" applyFont="1" applyBorder="1"/>
    <xf numFmtId="37" fontId="123" fillId="3" borderId="27" xfId="0" applyNumberFormat="1" applyFont="1" applyFill="1" applyBorder="1"/>
    <xf numFmtId="168" fontId="125" fillId="0" borderId="4" xfId="0" applyNumberFormat="1" applyFont="1" applyBorder="1"/>
    <xf numFmtId="169" fontId="125" fillId="0" borderId="5" xfId="0" applyNumberFormat="1" applyFont="1" applyBorder="1"/>
    <xf numFmtId="168" fontId="125" fillId="0" borderId="7" xfId="0" applyNumberFormat="1" applyFont="1" applyBorder="1"/>
    <xf numFmtId="3" fontId="130" fillId="0" borderId="14" xfId="0" applyNumberFormat="1" applyFont="1" applyBorder="1"/>
    <xf numFmtId="3" fontId="130" fillId="0" borderId="5" xfId="0" applyNumberFormat="1" applyFont="1" applyBorder="1" applyAlignment="1">
      <alignment horizontal="center"/>
    </xf>
    <xf numFmtId="173" fontId="133" fillId="0" borderId="9" xfId="0" applyNumberFormat="1" applyFont="1" applyBorder="1" applyAlignment="1">
      <alignment vertical="center"/>
    </xf>
    <xf numFmtId="37" fontId="130" fillId="0" borderId="205" xfId="0" applyNumberFormat="1" applyFont="1" applyBorder="1"/>
    <xf numFmtId="0" fontId="123" fillId="3" borderId="93" xfId="0" applyFont="1" applyFill="1" applyBorder="1"/>
    <xf numFmtId="0" fontId="123" fillId="3" borderId="35" xfId="0" applyFont="1" applyFill="1" applyBorder="1" applyAlignment="1">
      <alignment horizontal="center"/>
    </xf>
    <xf numFmtId="173" fontId="123" fillId="3" borderId="35" xfId="0" applyNumberFormat="1" applyFont="1" applyFill="1" applyBorder="1"/>
    <xf numFmtId="37" fontId="123" fillId="3" borderId="94" xfId="0" applyNumberFormat="1" applyFont="1" applyFill="1" applyBorder="1"/>
    <xf numFmtId="0" fontId="123" fillId="3" borderId="93" xfId="0" applyFont="1" applyFill="1" applyBorder="1" applyAlignment="1">
      <alignment horizontal="center"/>
    </xf>
    <xf numFmtId="0" fontId="130" fillId="3" borderId="206" xfId="0" applyFont="1" applyFill="1" applyBorder="1"/>
    <xf numFmtId="0" fontId="130" fillId="3" borderId="93" xfId="0" applyFont="1" applyFill="1" applyBorder="1"/>
    <xf numFmtId="37" fontId="123" fillId="3" borderId="13" xfId="2" applyNumberFormat="1" applyFont="1" applyFill="1" applyBorder="1"/>
    <xf numFmtId="37" fontId="130" fillId="0" borderId="92" xfId="0" applyNumberFormat="1" applyFont="1" applyBorder="1"/>
    <xf numFmtId="37" fontId="130" fillId="0" borderId="5" xfId="0" applyNumberFormat="1" applyFont="1" applyBorder="1" applyAlignment="1">
      <alignment horizontal="center"/>
    </xf>
    <xf numFmtId="37" fontId="130" fillId="0" borderId="91" xfId="0" applyNumberFormat="1" applyFont="1" applyBorder="1" applyAlignment="1">
      <alignment horizontal="center"/>
    </xf>
    <xf numFmtId="3" fontId="130" fillId="0" borderId="1" xfId="0" applyNumberFormat="1" applyFont="1" applyBorder="1"/>
    <xf numFmtId="3" fontId="130" fillId="0" borderId="23" xfId="0" applyNumberFormat="1" applyFont="1" applyBorder="1"/>
    <xf numFmtId="37" fontId="130" fillId="0" borderId="23" xfId="0" applyNumberFormat="1" applyFont="1" applyBorder="1"/>
    <xf numFmtId="3" fontId="130" fillId="0" borderId="21" xfId="0" applyNumberFormat="1" applyFont="1" applyBorder="1"/>
    <xf numFmtId="173" fontId="133" fillId="0" borderId="8" xfId="0" applyNumberFormat="1" applyFont="1" applyBorder="1"/>
    <xf numFmtId="173" fontId="133" fillId="0" borderId="9" xfId="0" applyNumberFormat="1" applyFont="1" applyBorder="1"/>
    <xf numFmtId="0" fontId="123" fillId="0" borderId="20" xfId="0" applyFont="1" applyBorder="1"/>
    <xf numFmtId="9" fontId="130" fillId="0" borderId="0" xfId="2" applyFont="1" applyFill="1"/>
    <xf numFmtId="37" fontId="130" fillId="0" borderId="21" xfId="0" applyNumberFormat="1" applyFont="1" applyBorder="1" applyAlignment="1">
      <alignment horizontal="center"/>
    </xf>
    <xf numFmtId="37" fontId="123" fillId="0" borderId="10" xfId="0" applyNumberFormat="1" applyFont="1" applyBorder="1"/>
    <xf numFmtId="37" fontId="123" fillId="0" borderId="26" xfId="0" applyNumberFormat="1" applyFont="1" applyBorder="1"/>
    <xf numFmtId="37" fontId="123" fillId="0" borderId="11" xfId="0" applyNumberFormat="1" applyFont="1" applyBorder="1"/>
    <xf numFmtId="173" fontId="123" fillId="0" borderId="10" xfId="0" applyNumberFormat="1" applyFont="1" applyBorder="1"/>
    <xf numFmtId="37" fontId="123" fillId="0" borderId="22" xfId="0" applyNumberFormat="1" applyFont="1" applyBorder="1"/>
    <xf numFmtId="39" fontId="123" fillId="0" borderId="23" xfId="0" applyNumberFormat="1" applyFont="1" applyBorder="1" applyAlignment="1">
      <alignment horizontal="center"/>
    </xf>
    <xf numFmtId="173" fontId="123" fillId="0" borderId="24" xfId="0" applyNumberFormat="1" applyFont="1" applyBorder="1"/>
    <xf numFmtId="3" fontId="130" fillId="0" borderId="132" xfId="0" applyNumberFormat="1" applyFont="1" applyBorder="1"/>
    <xf numFmtId="3" fontId="130" fillId="0" borderId="203" xfId="0" applyNumberFormat="1" applyFont="1" applyBorder="1"/>
    <xf numFmtId="37" fontId="130" fillId="0" borderId="132" xfId="0" applyNumberFormat="1" applyFont="1" applyBorder="1"/>
    <xf numFmtId="3" fontId="130" fillId="0" borderId="204" xfId="0" applyNumberFormat="1" applyFont="1" applyBorder="1"/>
    <xf numFmtId="173" fontId="123" fillId="0" borderId="204" xfId="0" applyNumberFormat="1" applyFont="1" applyBorder="1"/>
    <xf numFmtId="0" fontId="130" fillId="0" borderId="132" xfId="0" applyFont="1" applyBorder="1"/>
    <xf numFmtId="173" fontId="130" fillId="0" borderId="204" xfId="0" applyNumberFormat="1" applyFont="1" applyBorder="1"/>
    <xf numFmtId="173" fontId="123" fillId="0" borderId="203" xfId="0" applyNumberFormat="1" applyFont="1" applyBorder="1"/>
    <xf numFmtId="173" fontId="131" fillId="0" borderId="8" xfId="0" applyNumberFormat="1" applyFont="1" applyBorder="1" applyAlignment="1">
      <alignment vertical="center"/>
    </xf>
    <xf numFmtId="173" fontId="131" fillId="0" borderId="203" xfId="0" applyNumberFormat="1" applyFont="1" applyBorder="1" applyAlignment="1">
      <alignment vertical="center"/>
    </xf>
    <xf numFmtId="172" fontId="130" fillId="0" borderId="90" xfId="0" applyNumberFormat="1" applyFont="1" applyBorder="1"/>
    <xf numFmtId="37" fontId="131" fillId="0" borderId="207" xfId="0" applyNumberFormat="1" applyFont="1" applyBorder="1"/>
    <xf numFmtId="0" fontId="131" fillId="0" borderId="20" xfId="0" applyFont="1" applyBorder="1"/>
    <xf numFmtId="0" fontId="131" fillId="0" borderId="1" xfId="0" applyFont="1" applyBorder="1" applyAlignment="1">
      <alignment horizontal="center"/>
    </xf>
    <xf numFmtId="0" fontId="131" fillId="0" borderId="20" xfId="0" applyFont="1" applyBorder="1" applyAlignment="1">
      <alignment horizontal="center"/>
    </xf>
    <xf numFmtId="37" fontId="131" fillId="0" borderId="21" xfId="0" applyNumberFormat="1" applyFont="1" applyBorder="1"/>
    <xf numFmtId="37" fontId="131" fillId="0" borderId="21" xfId="0" applyNumberFormat="1" applyFont="1" applyBorder="1" applyAlignment="1">
      <alignment horizontal="center"/>
    </xf>
    <xf numFmtId="0" fontId="131" fillId="0" borderId="203" xfId="0" applyFont="1" applyBorder="1"/>
    <xf numFmtId="0" fontId="131" fillId="0" borderId="132" xfId="0" applyFont="1" applyBorder="1" applyAlignment="1">
      <alignment horizontal="center"/>
    </xf>
    <xf numFmtId="10" fontId="131" fillId="0" borderId="132" xfId="0" applyNumberFormat="1" applyFont="1" applyBorder="1" applyAlignment="1">
      <alignment horizontal="center"/>
    </xf>
    <xf numFmtId="0" fontId="131" fillId="0" borderId="203" xfId="0" applyFont="1" applyBorder="1" applyAlignment="1">
      <alignment horizontal="center"/>
    </xf>
    <xf numFmtId="173" fontId="131" fillId="0" borderId="203" xfId="0" applyNumberFormat="1" applyFont="1" applyBorder="1"/>
    <xf numFmtId="37" fontId="131" fillId="0" borderId="204" xfId="0" applyNumberFormat="1" applyFont="1" applyBorder="1"/>
    <xf numFmtId="37" fontId="131" fillId="0" borderId="132" xfId="0" applyNumberFormat="1" applyFont="1" applyBorder="1" applyAlignment="1">
      <alignment horizontal="center"/>
    </xf>
    <xf numFmtId="37" fontId="131" fillId="0" borderId="204" xfId="0" applyNumberFormat="1" applyFont="1" applyBorder="1" applyAlignment="1">
      <alignment horizontal="center"/>
    </xf>
    <xf numFmtId="37" fontId="133" fillId="39" borderId="179" xfId="0" applyNumberFormat="1" applyFont="1" applyFill="1" applyBorder="1" applyAlignment="1">
      <alignment horizontal="center"/>
    </xf>
    <xf numFmtId="37" fontId="133" fillId="39" borderId="179" xfId="0" applyNumberFormat="1" applyFont="1" applyFill="1" applyBorder="1"/>
    <xf numFmtId="10" fontId="133" fillId="39" borderId="179" xfId="0" applyNumberFormat="1" applyFont="1" applyFill="1" applyBorder="1"/>
    <xf numFmtId="1" fontId="133" fillId="39" borderId="208" xfId="0" applyNumberFormat="1" applyFont="1" applyFill="1" applyBorder="1"/>
    <xf numFmtId="37" fontId="133" fillId="39" borderId="208" xfId="0" applyNumberFormat="1" applyFont="1" applyFill="1" applyBorder="1"/>
    <xf numFmtId="173" fontId="133" fillId="39" borderId="208" xfId="0" applyNumberFormat="1" applyFont="1" applyFill="1" applyBorder="1"/>
    <xf numFmtId="37" fontId="133" fillId="39" borderId="209" xfId="0" applyNumberFormat="1" applyFont="1" applyFill="1" applyBorder="1"/>
    <xf numFmtId="173" fontId="131" fillId="0" borderId="21" xfId="0" applyNumberFormat="1" applyFont="1" applyBorder="1"/>
    <xf numFmtId="173" fontId="133" fillId="0" borderId="20" xfId="0" applyNumberFormat="1" applyFont="1" applyBorder="1"/>
    <xf numFmtId="173" fontId="133" fillId="0" borderId="21" xfId="0" applyNumberFormat="1" applyFont="1" applyBorder="1"/>
    <xf numFmtId="37" fontId="133" fillId="0" borderId="21" xfId="0" applyNumberFormat="1" applyFont="1" applyBorder="1"/>
    <xf numFmtId="0" fontId="133" fillId="3" borderId="10" xfId="0" applyFont="1" applyFill="1" applyBorder="1"/>
    <xf numFmtId="37" fontId="133" fillId="3" borderId="26" xfId="0" applyNumberFormat="1" applyFont="1" applyFill="1" applyBorder="1"/>
    <xf numFmtId="10" fontId="133" fillId="3" borderId="26" xfId="0" applyNumberFormat="1" applyFont="1" applyFill="1" applyBorder="1"/>
    <xf numFmtId="37" fontId="133" fillId="3" borderId="10" xfId="0" applyNumberFormat="1" applyFont="1" applyFill="1" applyBorder="1"/>
    <xf numFmtId="173" fontId="133" fillId="3" borderId="10" xfId="0" applyNumberFormat="1" applyFont="1" applyFill="1" applyBorder="1"/>
    <xf numFmtId="10" fontId="133" fillId="3" borderId="10" xfId="0" applyNumberFormat="1" applyFont="1" applyFill="1" applyBorder="1"/>
    <xf numFmtId="0" fontId="133" fillId="3" borderId="12" xfId="0" applyFont="1" applyFill="1" applyBorder="1"/>
    <xf numFmtId="0" fontId="133" fillId="3" borderId="27" xfId="0" applyFont="1" applyFill="1" applyBorder="1"/>
    <xf numFmtId="10" fontId="133" fillId="3" borderId="27" xfId="0" applyNumberFormat="1" applyFont="1" applyFill="1" applyBorder="1"/>
    <xf numFmtId="37" fontId="133" fillId="3" borderId="27" xfId="0" applyNumberFormat="1" applyFont="1" applyFill="1" applyBorder="1"/>
    <xf numFmtId="173" fontId="133" fillId="3" borderId="12" xfId="0" applyNumberFormat="1" applyFont="1" applyFill="1" applyBorder="1"/>
    <xf numFmtId="37" fontId="179" fillId="0" borderId="0" xfId="0" applyNumberFormat="1" applyFont="1"/>
    <xf numFmtId="43" fontId="179" fillId="0" borderId="0" xfId="0" applyNumberFormat="1" applyFont="1"/>
    <xf numFmtId="171" fontId="131" fillId="0" borderId="0" xfId="0" applyNumberFormat="1" applyFont="1" applyAlignment="1">
      <alignment horizontal="left"/>
    </xf>
    <xf numFmtId="0" fontId="133" fillId="0" borderId="0" xfId="0" applyFont="1" applyAlignment="1">
      <alignment horizontal="center"/>
    </xf>
    <xf numFmtId="0" fontId="131" fillId="0" borderId="16" xfId="0" applyFont="1" applyBorder="1"/>
    <xf numFmtId="0" fontId="131" fillId="0" borderId="21" xfId="0" applyFont="1" applyBorder="1" applyAlignment="1">
      <alignment horizontal="center"/>
    </xf>
    <xf numFmtId="10" fontId="131" fillId="0" borderId="1" xfId="0" applyNumberFormat="1" applyFont="1" applyBorder="1" applyAlignment="1">
      <alignment horizontal="center"/>
    </xf>
    <xf numFmtId="3" fontId="131" fillId="0" borderId="1" xfId="0" applyNumberFormat="1" applyFont="1" applyBorder="1"/>
    <xf numFmtId="37" fontId="131" fillId="0" borderId="1" xfId="0" applyNumberFormat="1" applyFont="1" applyBorder="1" applyAlignment="1">
      <alignment horizontal="center"/>
    </xf>
    <xf numFmtId="173" fontId="131" fillId="0" borderId="1" xfId="0" applyNumberFormat="1" applyFont="1" applyBorder="1"/>
    <xf numFmtId="173" fontId="131" fillId="0" borderId="20" xfId="0" applyNumberFormat="1" applyFont="1" applyBorder="1"/>
    <xf numFmtId="0" fontId="133" fillId="39" borderId="208" xfId="0" applyFont="1" applyFill="1" applyBorder="1"/>
    <xf numFmtId="172" fontId="131" fillId="0" borderId="1" xfId="0" applyNumberFormat="1" applyFont="1" applyBorder="1"/>
    <xf numFmtId="10" fontId="131" fillId="0" borderId="1" xfId="0" applyNumberFormat="1" applyFont="1" applyBorder="1"/>
    <xf numFmtId="37" fontId="131" fillId="0" borderId="20" xfId="0" applyNumberFormat="1" applyFont="1" applyBorder="1"/>
    <xf numFmtId="0" fontId="131" fillId="0" borderId="1" xfId="0" applyFont="1" applyBorder="1"/>
    <xf numFmtId="37" fontId="133" fillId="3" borderId="95" xfId="0" applyNumberFormat="1" applyFont="1" applyFill="1" applyBorder="1"/>
    <xf numFmtId="0" fontId="3" fillId="0" borderId="0" xfId="0" applyFont="1"/>
    <xf numFmtId="0" fontId="0" fillId="41" borderId="0" xfId="0" applyFill="1"/>
    <xf numFmtId="0" fontId="157" fillId="42" borderId="0" xfId="0" applyFont="1" applyFill="1" applyAlignment="1">
      <alignment horizontal="left" vertical="top"/>
    </xf>
    <xf numFmtId="43" fontId="0" fillId="40" borderId="0" xfId="1" applyFont="1" applyFill="1"/>
    <xf numFmtId="0" fontId="129" fillId="0" borderId="1" xfId="0" applyFont="1" applyBorder="1"/>
    <xf numFmtId="0" fontId="134" fillId="0" borderId="0" xfId="0" applyFont="1"/>
    <xf numFmtId="0" fontId="181" fillId="0" borderId="0" xfId="0" applyFont="1"/>
    <xf numFmtId="3" fontId="129" fillId="0" borderId="0" xfId="0" applyNumberFormat="1" applyFont="1"/>
    <xf numFmtId="3" fontId="181" fillId="0" borderId="0" xfId="0" applyNumberFormat="1" applyFont="1"/>
    <xf numFmtId="6" fontId="129" fillId="0" borderId="0" xfId="0" applyNumberFormat="1" applyFont="1"/>
    <xf numFmtId="9" fontId="129" fillId="0" borderId="0" xfId="0" applyNumberFormat="1" applyFont="1"/>
    <xf numFmtId="0" fontId="129" fillId="0" borderId="0" xfId="0" quotePrefix="1" applyFont="1"/>
    <xf numFmtId="0" fontId="129" fillId="0" borderId="210" xfId="0" applyFont="1" applyBorder="1"/>
    <xf numFmtId="0" fontId="131" fillId="0" borderId="211" xfId="0" applyFont="1" applyBorder="1"/>
    <xf numFmtId="0" fontId="129" fillId="0" borderId="211" xfId="0" applyFont="1" applyBorder="1"/>
    <xf numFmtId="0" fontId="111" fillId="0" borderId="1" xfId="28"/>
    <xf numFmtId="0" fontId="111" fillId="0" borderId="1" xfId="28" applyAlignment="1">
      <alignment horizontal="center"/>
    </xf>
    <xf numFmtId="0" fontId="111" fillId="0" borderId="1" xfId="28" applyAlignment="1">
      <alignment vertical="center" wrapText="1"/>
    </xf>
    <xf numFmtId="0" fontId="158" fillId="0" borderId="215" xfId="28" applyFont="1" applyBorder="1" applyAlignment="1">
      <alignment horizontal="center" vertical="center" wrapText="1"/>
    </xf>
    <xf numFmtId="0" fontId="158" fillId="0" borderId="168" xfId="28" applyFont="1" applyBorder="1" applyAlignment="1">
      <alignment horizontal="center" vertical="center" wrapText="1"/>
    </xf>
    <xf numFmtId="0" fontId="158" fillId="44" borderId="216" xfId="28" applyFont="1" applyFill="1" applyBorder="1" applyAlignment="1">
      <alignment horizontal="center" vertical="center" wrapText="1"/>
    </xf>
    <xf numFmtId="0" fontId="111" fillId="0" borderId="162" xfId="28" applyBorder="1" applyAlignment="1">
      <alignment vertical="center" wrapText="1"/>
    </xf>
    <xf numFmtId="37" fontId="111" fillId="0" borderId="215" xfId="28" applyNumberFormat="1" applyBorder="1" applyAlignment="1">
      <alignment horizontal="center" vertical="center" wrapText="1"/>
    </xf>
    <xf numFmtId="37" fontId="111" fillId="0" borderId="162" xfId="28" applyNumberFormat="1" applyBorder="1" applyAlignment="1">
      <alignment horizontal="center" vertical="center" wrapText="1"/>
    </xf>
    <xf numFmtId="37" fontId="111" fillId="44" borderId="216" xfId="28" applyNumberFormat="1" applyFill="1" applyBorder="1" applyAlignment="1">
      <alignment horizontal="center" vertical="center" wrapText="1"/>
    </xf>
    <xf numFmtId="37" fontId="111" fillId="0" borderId="168" xfId="28" applyNumberFormat="1" applyBorder="1" applyAlignment="1">
      <alignment horizontal="center" vertical="center" wrapText="1"/>
    </xf>
    <xf numFmtId="0" fontId="111" fillId="0" borderId="166" xfId="28" applyBorder="1" applyAlignment="1">
      <alignment vertical="center" wrapText="1"/>
    </xf>
    <xf numFmtId="3" fontId="111" fillId="0" borderId="217" xfId="28" applyNumberFormat="1" applyBorder="1" applyAlignment="1">
      <alignment horizontal="center" vertical="center" wrapText="1"/>
    </xf>
    <xf numFmtId="3" fontId="111" fillId="0" borderId="166" xfId="28" applyNumberFormat="1" applyBorder="1" applyAlignment="1">
      <alignment horizontal="center" vertical="center" wrapText="1"/>
    </xf>
    <xf numFmtId="37" fontId="111" fillId="44" borderId="218" xfId="28" applyNumberFormat="1" applyFill="1" applyBorder="1" applyAlignment="1">
      <alignment horizontal="center" vertical="center" wrapText="1"/>
    </xf>
    <xf numFmtId="3" fontId="111" fillId="0" borderId="169" xfId="28" applyNumberFormat="1" applyBorder="1" applyAlignment="1">
      <alignment horizontal="center" vertical="center" wrapText="1"/>
    </xf>
    <xf numFmtId="0" fontId="111" fillId="0" borderId="164" xfId="28" applyBorder="1"/>
    <xf numFmtId="179" fontId="111" fillId="0" borderId="219" xfId="28" applyNumberFormat="1" applyBorder="1" applyAlignment="1">
      <alignment horizontal="right"/>
    </xf>
    <xf numFmtId="179" fontId="111" fillId="0" borderId="1" xfId="28" applyNumberFormat="1" applyAlignment="1">
      <alignment horizontal="right"/>
    </xf>
    <xf numFmtId="179" fontId="111" fillId="44" borderId="220" xfId="28" applyNumberFormat="1" applyFill="1" applyBorder="1" applyAlignment="1">
      <alignment horizontal="right"/>
    </xf>
    <xf numFmtId="0" fontId="111" fillId="0" borderId="221" xfId="28" applyBorder="1"/>
    <xf numFmtId="179" fontId="111" fillId="0" borderId="222" xfId="28" applyNumberFormat="1" applyBorder="1" applyAlignment="1">
      <alignment horizontal="right"/>
    </xf>
    <xf numFmtId="179" fontId="111" fillId="0" borderId="223" xfId="28" applyNumberFormat="1" applyBorder="1" applyAlignment="1">
      <alignment horizontal="right"/>
    </xf>
    <xf numFmtId="179" fontId="111" fillId="44" borderId="224" xfId="28" applyNumberFormat="1" applyFill="1" applyBorder="1" applyAlignment="1">
      <alignment horizontal="right"/>
    </xf>
    <xf numFmtId="0" fontId="158" fillId="0" borderId="225" xfId="28" applyFont="1" applyBorder="1"/>
    <xf numFmtId="179" fontId="158" fillId="0" borderId="226" xfId="28" applyNumberFormat="1" applyFont="1" applyBorder="1" applyAlignment="1">
      <alignment horizontal="right"/>
    </xf>
    <xf numFmtId="179" fontId="158" fillId="0" borderId="227" xfId="28" applyNumberFormat="1" applyFont="1" applyBorder="1" applyAlignment="1">
      <alignment horizontal="right"/>
    </xf>
    <xf numFmtId="179" fontId="158" fillId="44" borderId="228" xfId="28" applyNumberFormat="1" applyFont="1" applyFill="1" applyBorder="1" applyAlignment="1">
      <alignment horizontal="right"/>
    </xf>
    <xf numFmtId="0" fontId="158" fillId="0" borderId="162" xfId="28" applyFont="1" applyBorder="1" applyAlignment="1">
      <alignment horizontal="center" vertical="center" wrapText="1"/>
    </xf>
    <xf numFmtId="0" fontId="111" fillId="0" borderId="162" xfId="28" applyBorder="1"/>
    <xf numFmtId="179" fontId="111" fillId="0" borderId="162" xfId="28" applyNumberFormat="1" applyBorder="1" applyAlignment="1">
      <alignment horizontal="right"/>
    </xf>
    <xf numFmtId="179" fontId="111" fillId="44" borderId="216" xfId="28" applyNumberFormat="1" applyFill="1" applyBorder="1" applyAlignment="1">
      <alignment horizontal="right"/>
    </xf>
    <xf numFmtId="179" fontId="111" fillId="0" borderId="168" xfId="28" applyNumberFormat="1" applyBorder="1" applyAlignment="1">
      <alignment horizontal="right"/>
    </xf>
    <xf numFmtId="179" fontId="111" fillId="0" borderId="164" xfId="28" applyNumberFormat="1" applyBorder="1" applyAlignment="1">
      <alignment horizontal="right"/>
    </xf>
    <xf numFmtId="179" fontId="111" fillId="0" borderId="221" xfId="28" applyNumberFormat="1" applyBorder="1" applyAlignment="1">
      <alignment horizontal="right"/>
    </xf>
    <xf numFmtId="179" fontId="158" fillId="0" borderId="225" xfId="28" applyNumberFormat="1" applyFont="1" applyBorder="1" applyAlignment="1">
      <alignment horizontal="right"/>
    </xf>
    <xf numFmtId="37" fontId="111" fillId="0" borderId="219" xfId="28" applyNumberFormat="1" applyBorder="1" applyAlignment="1">
      <alignment horizontal="center" vertical="center" wrapText="1"/>
    </xf>
    <xf numFmtId="37" fontId="111" fillId="0" borderId="164" xfId="28" applyNumberFormat="1" applyBorder="1" applyAlignment="1">
      <alignment horizontal="center" vertical="center" wrapText="1"/>
    </xf>
    <xf numFmtId="37" fontId="111" fillId="44" borderId="220" xfId="28" applyNumberFormat="1" applyFill="1" applyBorder="1" applyAlignment="1">
      <alignment horizontal="center" vertical="center" wrapText="1"/>
    </xf>
    <xf numFmtId="37" fontId="111" fillId="0" borderId="1" xfId="28" applyNumberFormat="1" applyAlignment="1">
      <alignment horizontal="center" vertical="center" wrapText="1"/>
    </xf>
    <xf numFmtId="0" fontId="2" fillId="0" borderId="164" xfId="28" applyFont="1" applyBorder="1" applyAlignment="1">
      <alignment vertical="center" wrapText="1"/>
    </xf>
    <xf numFmtId="0" fontId="2" fillId="0" borderId="164" xfId="28" applyFont="1" applyBorder="1"/>
    <xf numFmtId="37" fontId="111" fillId="44" borderId="229" xfId="28" applyNumberFormat="1" applyFill="1" applyBorder="1" applyAlignment="1">
      <alignment horizontal="center" vertical="center" wrapText="1"/>
    </xf>
    <xf numFmtId="0" fontId="2" fillId="0" borderId="1" xfId="28" applyFont="1"/>
    <xf numFmtId="0" fontId="181" fillId="0" borderId="0" xfId="0" quotePrefix="1" applyFont="1"/>
    <xf numFmtId="0" fontId="129" fillId="45" borderId="0" xfId="0" applyFont="1" applyFill="1"/>
    <xf numFmtId="0" fontId="151" fillId="28" borderId="0" xfId="0" applyFont="1" applyFill="1"/>
    <xf numFmtId="0" fontId="151" fillId="28" borderId="0" xfId="0" applyFont="1" applyFill="1" applyAlignment="1">
      <alignment horizontal="center" vertical="center"/>
    </xf>
    <xf numFmtId="0" fontId="151" fillId="28" borderId="0" xfId="0" applyFont="1" applyFill="1" applyAlignment="1">
      <alignment horizontal="right"/>
    </xf>
    <xf numFmtId="0" fontId="124" fillId="0" borderId="1" xfId="0" applyFont="1" applyBorder="1"/>
    <xf numFmtId="0" fontId="148" fillId="0" borderId="1" xfId="0" applyFont="1" applyBorder="1"/>
    <xf numFmtId="0" fontId="149" fillId="21" borderId="95" xfId="0" applyFont="1" applyFill="1" applyBorder="1"/>
    <xf numFmtId="0" fontId="130" fillId="0" borderId="16" xfId="0" applyFont="1" applyBorder="1"/>
    <xf numFmtId="0" fontId="150" fillId="0" borderId="1" xfId="0" applyFont="1" applyBorder="1"/>
    <xf numFmtId="0" fontId="130" fillId="0" borderId="19" xfId="0" applyFont="1" applyBorder="1"/>
    <xf numFmtId="3" fontId="130" fillId="0" borderId="21" xfId="0" applyNumberFormat="1" applyFont="1" applyBorder="1" applyAlignment="1">
      <alignment horizontal="center"/>
    </xf>
    <xf numFmtId="3" fontId="130" fillId="0" borderId="20" xfId="0" applyNumberFormat="1" applyFont="1" applyBorder="1" applyAlignment="1">
      <alignment horizontal="center"/>
    </xf>
    <xf numFmtId="0" fontId="1" fillId="0" borderId="0" xfId="0" applyFont="1"/>
    <xf numFmtId="3" fontId="130" fillId="0" borderId="23" xfId="0" applyNumberFormat="1" applyFont="1" applyBorder="1" applyAlignment="1">
      <alignment horizontal="center"/>
    </xf>
    <xf numFmtId="3" fontId="130" fillId="0" borderId="24" xfId="0" applyNumberFormat="1" applyFont="1" applyBorder="1"/>
    <xf numFmtId="3" fontId="130" fillId="0" borderId="23" xfId="0" applyNumberFormat="1" applyFont="1" applyBorder="1" applyAlignment="1">
      <alignment horizontal="right"/>
    </xf>
    <xf numFmtId="37" fontId="130" fillId="0" borderId="24" xfId="0" applyNumberFormat="1" applyFont="1" applyBorder="1"/>
    <xf numFmtId="3" fontId="130" fillId="0" borderId="24" xfId="0" applyNumberFormat="1" applyFont="1" applyBorder="1" applyAlignment="1">
      <alignment horizontal="center"/>
    </xf>
    <xf numFmtId="37" fontId="130" fillId="0" borderId="24" xfId="0" applyNumberFormat="1" applyFont="1" applyBorder="1" applyAlignment="1">
      <alignment horizontal="center"/>
    </xf>
    <xf numFmtId="0" fontId="149" fillId="0" borderId="1" xfId="0" applyFont="1" applyBorder="1"/>
    <xf numFmtId="0" fontId="123" fillId="0" borderId="19" xfId="0" applyFont="1" applyBorder="1"/>
    <xf numFmtId="3" fontId="123" fillId="0" borderId="25" xfId="0" applyNumberFormat="1" applyFont="1" applyBorder="1"/>
    <xf numFmtId="3" fontId="123" fillId="0" borderId="19" xfId="0" applyNumberFormat="1" applyFont="1" applyBorder="1"/>
    <xf numFmtId="37" fontId="123" fillId="0" borderId="25" xfId="0" applyNumberFormat="1" applyFont="1" applyBorder="1"/>
    <xf numFmtId="0" fontId="123" fillId="0" borderId="21" xfId="0" applyFont="1" applyBorder="1"/>
    <xf numFmtId="37" fontId="123" fillId="0" borderId="21" xfId="0" applyNumberFormat="1" applyFont="1" applyBorder="1"/>
    <xf numFmtId="173" fontId="133" fillId="0" borderId="20" xfId="0" applyNumberFormat="1" applyFont="1" applyBorder="1" applyAlignment="1">
      <alignment vertical="center"/>
    </xf>
    <xf numFmtId="173" fontId="133" fillId="0" borderId="21" xfId="0" applyNumberFormat="1" applyFont="1" applyBorder="1" applyAlignment="1">
      <alignment vertical="center"/>
    </xf>
    <xf numFmtId="3" fontId="123" fillId="0" borderId="23" xfId="0" applyNumberFormat="1" applyFont="1" applyBorder="1"/>
    <xf numFmtId="3" fontId="123" fillId="0" borderId="24" xfId="0" applyNumberFormat="1" applyFont="1" applyBorder="1"/>
    <xf numFmtId="0" fontId="130" fillId="0" borderId="21" xfId="0" applyFont="1" applyBorder="1"/>
    <xf numFmtId="3" fontId="123" fillId="0" borderId="20" xfId="0" applyNumberFormat="1" applyFont="1" applyBorder="1"/>
    <xf numFmtId="3" fontId="130" fillId="0" borderId="25" xfId="0" applyNumberFormat="1" applyFont="1" applyBorder="1"/>
    <xf numFmtId="3" fontId="130" fillId="0" borderId="19" xfId="0" applyNumberFormat="1" applyFont="1" applyBorder="1"/>
    <xf numFmtId="37" fontId="130" fillId="0" borderId="25" xfId="0" applyNumberFormat="1" applyFont="1" applyBorder="1"/>
    <xf numFmtId="37" fontId="130" fillId="0" borderId="19" xfId="0" applyNumberFormat="1" applyFont="1" applyBorder="1"/>
    <xf numFmtId="37" fontId="123" fillId="3" borderId="95" xfId="0" applyNumberFormat="1" applyFont="1" applyFill="1" applyBorder="1"/>
    <xf numFmtId="0" fontId="123" fillId="0" borderId="20" xfId="0" applyFont="1" applyBorder="1" applyAlignment="1">
      <alignment horizontal="left"/>
    </xf>
    <xf numFmtId="173" fontId="130" fillId="0" borderId="23" xfId="0" applyNumberFormat="1" applyFont="1" applyBorder="1" applyAlignment="1">
      <alignment horizontal="right"/>
    </xf>
    <xf numFmtId="0" fontId="130" fillId="0" borderId="20" xfId="0" applyFont="1" applyBorder="1" applyAlignment="1">
      <alignment horizontal="right"/>
    </xf>
    <xf numFmtId="37" fontId="130" fillId="0" borderId="230" xfId="0" applyNumberFormat="1" applyFont="1" applyBorder="1"/>
    <xf numFmtId="3" fontId="1" fillId="0" borderId="0" xfId="0" applyNumberFormat="1" applyFont="1"/>
    <xf numFmtId="0" fontId="130" fillId="0" borderId="23" xfId="0" applyFont="1" applyBorder="1" applyAlignment="1">
      <alignment horizontal="right"/>
    </xf>
    <xf numFmtId="0" fontId="123" fillId="3" borderId="62" xfId="0" applyFont="1" applyFill="1" applyBorder="1" applyAlignment="1">
      <alignment horizontal="center"/>
    </xf>
    <xf numFmtId="173" fontId="123" fillId="3" borderId="62" xfId="0" applyNumberFormat="1" applyFont="1" applyFill="1" applyBorder="1"/>
    <xf numFmtId="37" fontId="123" fillId="3" borderId="108" xfId="0" applyNumberFormat="1" applyFont="1" applyFill="1" applyBorder="1"/>
    <xf numFmtId="0" fontId="130" fillId="0" borderId="19" xfId="0" applyFont="1" applyBorder="1" applyAlignment="1">
      <alignment horizontal="right"/>
    </xf>
    <xf numFmtId="0" fontId="130" fillId="0" borderId="23" xfId="0" applyFont="1" applyBorder="1"/>
    <xf numFmtId="0" fontId="130" fillId="32" borderId="20" xfId="0" applyFont="1" applyFill="1" applyBorder="1"/>
    <xf numFmtId="165" fontId="130" fillId="0" borderId="20" xfId="0" applyNumberFormat="1" applyFont="1" applyBorder="1"/>
    <xf numFmtId="9" fontId="130" fillId="0" borderId="20" xfId="2" applyFont="1" applyFill="1" applyBorder="1"/>
    <xf numFmtId="0" fontId="130" fillId="6" borderId="0" xfId="0" applyFont="1" applyFill="1"/>
    <xf numFmtId="0" fontId="123" fillId="6" borderId="0" xfId="0" applyFont="1" applyFill="1"/>
    <xf numFmtId="0" fontId="130" fillId="6" borderId="91" xfId="0" applyFont="1" applyFill="1" applyBorder="1"/>
    <xf numFmtId="0" fontId="130" fillId="0" borderId="24" xfId="0" applyFont="1" applyBorder="1" applyAlignment="1">
      <alignment horizontal="center"/>
    </xf>
    <xf numFmtId="37" fontId="123" fillId="0" borderId="24" xfId="0" applyNumberFormat="1" applyFont="1" applyBorder="1"/>
    <xf numFmtId="37" fontId="123" fillId="0" borderId="19" xfId="0" applyNumberFormat="1" applyFont="1" applyBorder="1"/>
    <xf numFmtId="37" fontId="123" fillId="0" borderId="20" xfId="0" applyNumberFormat="1" applyFont="1" applyBorder="1"/>
    <xf numFmtId="9" fontId="130" fillId="0" borderId="23" xfId="2" applyFont="1" applyBorder="1" applyAlignment="1">
      <alignment horizontal="right"/>
    </xf>
    <xf numFmtId="0" fontId="123" fillId="0" borderId="20" xfId="0" applyFont="1" applyBorder="1" applyAlignment="1">
      <alignment horizontal="center"/>
    </xf>
    <xf numFmtId="173" fontId="131" fillId="0" borderId="20" xfId="0" applyNumberFormat="1" applyFont="1" applyBorder="1" applyAlignment="1">
      <alignment vertical="center"/>
    </xf>
    <xf numFmtId="39" fontId="130" fillId="0" borderId="23" xfId="0" applyNumberFormat="1" applyFont="1" applyBorder="1" applyAlignment="1">
      <alignment horizontal="center"/>
    </xf>
    <xf numFmtId="173" fontId="130" fillId="0" borderId="24" xfId="0" applyNumberFormat="1" applyFont="1" applyBorder="1"/>
    <xf numFmtId="173" fontId="130" fillId="0" borderId="19" xfId="0" applyNumberFormat="1" applyFont="1" applyBorder="1"/>
    <xf numFmtId="172" fontId="130" fillId="0" borderId="23" xfId="0" applyNumberFormat="1" applyFont="1" applyBorder="1"/>
    <xf numFmtId="37" fontId="123" fillId="6" borderId="95" xfId="0" applyNumberFormat="1" applyFont="1" applyFill="1" applyBorder="1"/>
    <xf numFmtId="37" fontId="123" fillId="0" borderId="95" xfId="0" applyNumberFormat="1" applyFont="1" applyBorder="1"/>
    <xf numFmtId="0" fontId="123" fillId="6" borderId="91" xfId="0" applyFont="1" applyFill="1" applyBorder="1"/>
    <xf numFmtId="37" fontId="123" fillId="6" borderId="91" xfId="0" applyNumberFormat="1" applyFont="1" applyFill="1" applyBorder="1"/>
    <xf numFmtId="37" fontId="123" fillId="0" borderId="91" xfId="0" applyNumberFormat="1" applyFont="1" applyBorder="1"/>
    <xf numFmtId="37" fontId="123" fillId="6" borderId="90" xfId="0" applyNumberFormat="1" applyFont="1" applyFill="1" applyBorder="1"/>
    <xf numFmtId="172" fontId="123" fillId="6" borderId="90" xfId="0" applyNumberFormat="1" applyFont="1" applyFill="1" applyBorder="1"/>
    <xf numFmtId="0" fontId="130" fillId="0" borderId="23" xfId="0" applyFont="1" applyBorder="1" applyAlignment="1">
      <alignment horizontal="center"/>
    </xf>
    <xf numFmtId="1" fontId="130" fillId="0" borderId="19" xfId="0" applyNumberFormat="1" applyFont="1" applyBorder="1"/>
    <xf numFmtId="2" fontId="130" fillId="0" borderId="23" xfId="0" applyNumberFormat="1" applyFont="1" applyBorder="1"/>
    <xf numFmtId="0" fontId="131" fillId="0" borderId="19" xfId="0" applyFont="1" applyBorder="1"/>
    <xf numFmtId="173" fontId="123" fillId="0" borderId="19" xfId="0" applyNumberFormat="1" applyFont="1" applyBorder="1"/>
    <xf numFmtId="0" fontId="130" fillId="0" borderId="24" xfId="0" applyFont="1" applyBorder="1"/>
    <xf numFmtId="173" fontId="130" fillId="0" borderId="23" xfId="0" applyNumberFormat="1" applyFont="1" applyBorder="1"/>
    <xf numFmtId="0" fontId="130" fillId="0" borderId="231" xfId="0" applyFont="1" applyBorder="1"/>
    <xf numFmtId="0" fontId="153" fillId="22" borderId="0" xfId="0" applyFont="1" applyFill="1"/>
    <xf numFmtId="0" fontId="151" fillId="28" borderId="0" xfId="0" applyFont="1" applyFill="1" applyAlignment="1">
      <alignment vertical="center"/>
    </xf>
    <xf numFmtId="0" fontId="151" fillId="35" borderId="0" xfId="0" applyFont="1" applyFill="1" applyAlignment="1">
      <alignment horizontal="right" vertical="center"/>
    </xf>
    <xf numFmtId="0" fontId="123" fillId="0" borderId="117" xfId="0" applyFont="1" applyBorder="1" applyAlignment="1">
      <alignment horizontal="center" vertical="center"/>
    </xf>
    <xf numFmtId="0" fontId="130" fillId="0" borderId="102" xfId="0" applyFont="1" applyBorder="1" applyAlignment="1">
      <alignment horizontal="center"/>
    </xf>
    <xf numFmtId="0" fontId="130" fillId="0" borderId="103" xfId="0" applyFont="1" applyBorder="1" applyAlignment="1">
      <alignment horizontal="center"/>
    </xf>
    <xf numFmtId="0" fontId="130" fillId="0" borderId="104" xfId="0" applyFont="1" applyBorder="1" applyAlignment="1">
      <alignment horizontal="center"/>
    </xf>
    <xf numFmtId="0" fontId="131" fillId="0" borderId="23" xfId="0" applyFont="1" applyBorder="1"/>
    <xf numFmtId="37" fontId="131" fillId="0" borderId="102" xfId="0" applyNumberFormat="1" applyFont="1" applyBorder="1"/>
    <xf numFmtId="37" fontId="131" fillId="0" borderId="103" xfId="0" applyNumberFormat="1" applyFont="1" applyBorder="1"/>
    <xf numFmtId="37" fontId="131" fillId="0" borderId="23" xfId="0" applyNumberFormat="1" applyFont="1" applyBorder="1"/>
    <xf numFmtId="173" fontId="131" fillId="0" borderId="23" xfId="0" applyNumberFormat="1" applyFont="1" applyBorder="1"/>
    <xf numFmtId="37" fontId="131" fillId="0" borderId="104" xfId="0" applyNumberFormat="1" applyFont="1" applyBorder="1"/>
    <xf numFmtId="173" fontId="131" fillId="0" borderId="24" xfId="0" applyNumberFormat="1" applyFont="1" applyBorder="1"/>
    <xf numFmtId="0" fontId="133" fillId="3" borderId="91" xfId="0" applyFont="1" applyFill="1" applyBorder="1"/>
    <xf numFmtId="0" fontId="133" fillId="0" borderId="20" xfId="0" applyFont="1" applyBorder="1"/>
    <xf numFmtId="173" fontId="131" fillId="0" borderId="25" xfId="0" applyNumberFormat="1" applyFont="1" applyBorder="1"/>
    <xf numFmtId="0" fontId="131" fillId="0" borderId="105" xfId="0" applyFont="1" applyBorder="1"/>
    <xf numFmtId="0" fontId="131" fillId="0" borderId="23" xfId="0" applyFont="1" applyBorder="1" applyAlignment="1">
      <alignment horizontal="right"/>
    </xf>
    <xf numFmtId="172" fontId="131" fillId="0" borderId="23" xfId="0" applyNumberFormat="1" applyFont="1" applyBorder="1"/>
    <xf numFmtId="0" fontId="131" fillId="0" borderId="103" xfId="0" applyFont="1" applyBorder="1"/>
    <xf numFmtId="173" fontId="131" fillId="0" borderId="102" xfId="0" applyNumberFormat="1" applyFont="1" applyBorder="1"/>
    <xf numFmtId="0" fontId="133" fillId="3" borderId="62" xfId="0" applyFont="1" applyFill="1" applyBorder="1"/>
    <xf numFmtId="173" fontId="133" fillId="3" borderId="62" xfId="0" applyNumberFormat="1" applyFont="1" applyFill="1" applyBorder="1"/>
    <xf numFmtId="37" fontId="133" fillId="3" borderId="62" xfId="0" applyNumberFormat="1" applyFont="1" applyFill="1" applyBorder="1"/>
    <xf numFmtId="173" fontId="131" fillId="0" borderId="23" xfId="2" applyNumberFormat="1" applyFont="1" applyBorder="1"/>
    <xf numFmtId="172" fontId="133" fillId="3" borderId="62" xfId="0" applyNumberFormat="1" applyFont="1" applyFill="1" applyBorder="1"/>
    <xf numFmtId="37" fontId="131" fillId="0" borderId="109" xfId="0" applyNumberFormat="1" applyFont="1" applyBorder="1"/>
    <xf numFmtId="0" fontId="131" fillId="0" borderId="110" xfId="0" applyFont="1" applyBorder="1"/>
    <xf numFmtId="37" fontId="131" fillId="0" borderId="111" xfId="0" applyNumberFormat="1" applyFont="1" applyBorder="1"/>
    <xf numFmtId="37" fontId="131" fillId="0" borderId="110" xfId="0" applyNumberFormat="1" applyFont="1" applyBorder="1"/>
    <xf numFmtId="0" fontId="131" fillId="3" borderId="62" xfId="0" applyFont="1" applyFill="1" applyBorder="1"/>
    <xf numFmtId="3" fontId="133" fillId="3" borderId="62" xfId="0" applyNumberFormat="1" applyFont="1" applyFill="1" applyBorder="1" applyAlignment="1">
      <alignment horizontal="center"/>
    </xf>
    <xf numFmtId="173" fontId="133" fillId="3" borderId="108" xfId="0" applyNumberFormat="1" applyFont="1" applyFill="1" applyBorder="1"/>
    <xf numFmtId="0" fontId="129" fillId="6" borderId="0" xfId="0" applyFont="1" applyFill="1"/>
    <xf numFmtId="173" fontId="131" fillId="0" borderId="109" xfId="0" applyNumberFormat="1" applyFont="1" applyBorder="1"/>
    <xf numFmtId="173" fontId="133" fillId="0" borderId="110" xfId="0" applyNumberFormat="1" applyFont="1" applyBorder="1"/>
    <xf numFmtId="37" fontId="133" fillId="0" borderId="110" xfId="0" applyNumberFormat="1" applyFont="1" applyBorder="1"/>
    <xf numFmtId="37" fontId="133" fillId="0" borderId="105" xfId="0" applyNumberFormat="1" applyFont="1" applyBorder="1"/>
    <xf numFmtId="173" fontId="133" fillId="0" borderId="105" xfId="0" applyNumberFormat="1" applyFont="1" applyBorder="1"/>
    <xf numFmtId="43" fontId="133" fillId="0" borderId="105" xfId="0" applyNumberFormat="1" applyFont="1" applyBorder="1"/>
    <xf numFmtId="0" fontId="133" fillId="6" borderId="90" xfId="0" applyFont="1" applyFill="1" applyBorder="1"/>
    <xf numFmtId="37" fontId="133" fillId="6" borderId="90" xfId="0" applyNumberFormat="1" applyFont="1" applyFill="1" applyBorder="1"/>
    <xf numFmtId="0" fontId="131" fillId="6" borderId="90" xfId="0" applyFont="1" applyFill="1" applyBorder="1"/>
    <xf numFmtId="37" fontId="131" fillId="6" borderId="0" xfId="0" applyNumberFormat="1" applyFont="1" applyFill="1"/>
    <xf numFmtId="173" fontId="131" fillId="6" borderId="0" xfId="0" applyNumberFormat="1" applyFont="1" applyFill="1"/>
    <xf numFmtId="0" fontId="129" fillId="0" borderId="20" xfId="0" applyFont="1" applyBorder="1"/>
    <xf numFmtId="0" fontId="129" fillId="0" borderId="21" xfId="0" applyFont="1" applyBorder="1"/>
    <xf numFmtId="0" fontId="159" fillId="25" borderId="123" xfId="0" applyFont="1" applyFill="1" applyBorder="1" applyAlignment="1">
      <alignment horizontal="center"/>
    </xf>
    <xf numFmtId="0" fontId="159" fillId="25" borderId="124" xfId="0" applyFont="1" applyFill="1" applyBorder="1" applyAlignment="1">
      <alignment horizontal="center"/>
    </xf>
    <xf numFmtId="0" fontId="159" fillId="25" borderId="125" xfId="0" applyFont="1" applyFill="1" applyBorder="1" applyAlignment="1">
      <alignment horizontal="center"/>
    </xf>
    <xf numFmtId="0" fontId="119" fillId="8" borderId="43" xfId="0" applyFont="1" applyFill="1" applyBorder="1" applyAlignment="1">
      <alignment horizontal="center" vertical="center" wrapText="1"/>
    </xf>
    <xf numFmtId="0" fontId="127" fillId="0" borderId="48" xfId="0" applyFont="1" applyBorder="1"/>
    <xf numFmtId="0" fontId="143" fillId="9" borderId="49" xfId="0" applyFont="1" applyFill="1" applyBorder="1" applyAlignment="1">
      <alignment horizontal="center" vertical="center" wrapText="1"/>
    </xf>
    <xf numFmtId="0" fontId="127" fillId="0" borderId="50" xfId="0" applyFont="1" applyBorder="1"/>
    <xf numFmtId="0" fontId="121" fillId="13" borderId="87" xfId="0" applyFont="1" applyFill="1" applyBorder="1" applyAlignment="1">
      <alignment horizontal="left" vertical="top" wrapText="1"/>
    </xf>
    <xf numFmtId="0" fontId="127" fillId="0" borderId="68" xfId="0" applyFont="1" applyBorder="1"/>
    <xf numFmtId="0" fontId="127" fillId="0" borderId="81" xfId="0" applyFont="1" applyBorder="1"/>
    <xf numFmtId="0" fontId="143" fillId="0" borderId="14" xfId="0" applyFont="1" applyBorder="1" applyAlignment="1">
      <alignment horizontal="center"/>
    </xf>
    <xf numFmtId="0" fontId="127" fillId="0" borderId="14" xfId="0" applyFont="1" applyBorder="1"/>
    <xf numFmtId="0" fontId="123" fillId="0" borderId="17" xfId="0" applyFont="1" applyBorder="1" applyAlignment="1">
      <alignment horizontal="center"/>
    </xf>
    <xf numFmtId="0" fontId="127" fillId="0" borderId="17" xfId="0" applyFont="1" applyBorder="1"/>
    <xf numFmtId="0" fontId="127" fillId="0" borderId="4" xfId="0" applyFont="1" applyBorder="1"/>
    <xf numFmtId="0" fontId="123" fillId="0" borderId="16" xfId="0" applyFont="1" applyBorder="1" applyAlignment="1">
      <alignment horizontal="center"/>
    </xf>
    <xf numFmtId="0" fontId="127" fillId="0" borderId="18" xfId="0" applyFont="1" applyBorder="1"/>
    <xf numFmtId="0" fontId="123" fillId="0" borderId="3" xfId="0" applyFont="1" applyBorder="1" applyAlignment="1">
      <alignment horizontal="center"/>
    </xf>
    <xf numFmtId="0" fontId="123" fillId="0" borderId="18" xfId="0" applyFont="1" applyBorder="1" applyAlignment="1">
      <alignment horizontal="center"/>
    </xf>
    <xf numFmtId="0" fontId="123" fillId="0" borderId="99" xfId="0" applyFont="1" applyBorder="1" applyAlignment="1">
      <alignment horizontal="center" vertical="center"/>
    </xf>
    <xf numFmtId="0" fontId="127" fillId="0" borderId="97" xfId="0" applyFont="1" applyBorder="1"/>
    <xf numFmtId="0" fontId="127" fillId="0" borderId="100" xfId="0" applyFont="1" applyBorder="1"/>
    <xf numFmtId="0" fontId="123" fillId="0" borderId="97" xfId="0" applyFont="1" applyBorder="1" applyAlignment="1">
      <alignment horizontal="center" vertical="center"/>
    </xf>
    <xf numFmtId="0" fontId="127" fillId="0" borderId="98" xfId="0" applyFont="1" applyBorder="1"/>
    <xf numFmtId="0" fontId="123" fillId="0" borderId="117" xfId="0" applyFont="1" applyBorder="1" applyAlignment="1">
      <alignment horizontal="center" vertical="center"/>
    </xf>
    <xf numFmtId="0" fontId="127" fillId="0" borderId="117" xfId="0" applyFont="1" applyBorder="1"/>
    <xf numFmtId="0" fontId="127" fillId="0" borderId="118" xfId="0" applyFont="1" applyBorder="1"/>
    <xf numFmtId="0" fontId="133" fillId="0" borderId="16" xfId="0" applyFont="1" applyBorder="1" applyAlignment="1">
      <alignment horizontal="center"/>
    </xf>
    <xf numFmtId="0" fontId="164" fillId="0" borderId="18" xfId="0" applyFont="1" applyBorder="1"/>
    <xf numFmtId="0" fontId="133" fillId="0" borderId="17" xfId="0" applyFont="1" applyBorder="1" applyAlignment="1">
      <alignment horizontal="center"/>
    </xf>
    <xf numFmtId="0" fontId="164" fillId="0" borderId="17" xfId="0" applyFont="1" applyBorder="1"/>
    <xf numFmtId="17" fontId="123" fillId="43" borderId="212" xfId="28" quotePrefix="1" applyNumberFormat="1" applyFont="1" applyFill="1" applyBorder="1" applyAlignment="1">
      <alignment horizontal="center"/>
    </xf>
    <xf numFmtId="17" fontId="123" fillId="43" borderId="213" xfId="28" quotePrefix="1" applyNumberFormat="1" applyFont="1" applyFill="1" applyBorder="1" applyAlignment="1">
      <alignment horizontal="center"/>
    </xf>
    <xf numFmtId="17" fontId="123" fillId="43" borderId="214" xfId="28" quotePrefix="1" applyNumberFormat="1" applyFont="1" applyFill="1" applyBorder="1" applyAlignment="1">
      <alignment horizontal="center"/>
    </xf>
    <xf numFmtId="0" fontId="130" fillId="32" borderId="0" xfId="0" applyFont="1" applyFill="1" applyAlignment="1">
      <alignment horizontal="right"/>
    </xf>
    <xf numFmtId="37" fontId="130" fillId="32" borderId="0" xfId="0" applyNumberFormat="1" applyFont="1" applyFill="1"/>
    <xf numFmtId="3" fontId="130" fillId="32" borderId="0" xfId="0" applyNumberFormat="1" applyFont="1" applyFill="1"/>
    <xf numFmtId="0" fontId="130" fillId="32" borderId="8" xfId="0" applyFont="1" applyFill="1" applyBorder="1" applyAlignment="1">
      <alignment horizontal="right"/>
    </xf>
    <xf numFmtId="37" fontId="130" fillId="32" borderId="9" xfId="0" applyNumberFormat="1" applyFont="1" applyFill="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52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12</v>
      </c>
      <c r="C3" s="4">
        <f>+VLOOKUP(B3,$K$3:$L$14,2,0)</f>
        <v>6</v>
      </c>
      <c r="G3" s="3"/>
      <c r="K3" s="5" t="s">
        <v>6</v>
      </c>
      <c r="L3" s="4">
        <v>1</v>
      </c>
      <c r="M3" s="4" t="str">
        <f t="shared" ref="M3:M14" si="0">+IF($K3=$B$3,"X","")</f>
        <v/>
      </c>
      <c r="N3" s="4" t="str">
        <f t="shared" ref="N3:N14" si="1">+IF(K3=B3,"X",IF(L3&lt;=$C$3,"X",""))</f>
        <v>X</v>
      </c>
    </row>
    <row r="4" spans="1:14" ht="14.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X</v>
      </c>
      <c r="N8" s="4" t="str">
        <f t="shared" si="1"/>
        <v>X</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G14" sqref="G14:G16"/>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Juin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6">
        <f>SUMIFS(BV_Data_An_Cour!$AN:$AN,BV_Data_An_Cour!$AP:$AP,$A$1,BV_Data_An_Cour!$AQ:$AQ,$A5)</f>
        <v>84188.349999999977</v>
      </c>
      <c r="C5" s="14"/>
      <c r="D5" s="13" t="s">
        <v>22</v>
      </c>
      <c r="E5" s="947">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84188.349999999977</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630029.98</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4690451.26</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225899.9</v>
      </c>
      <c r="C10" s="14"/>
      <c r="D10" s="18" t="s">
        <v>29</v>
      </c>
      <c r="E10" s="19">
        <f>-SUMIFS(BV_Data_An_Cour!$AN:$AN,BV_Data_An_Cour!$AP:$AP,$A$1,BV_Data_An_Cour!$AQ:$AQ,$D10)</f>
        <v>2478319.29</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594323.88</v>
      </c>
      <c r="C11" s="14"/>
      <c r="D11" s="18" t="s">
        <v>31</v>
      </c>
      <c r="E11" s="19">
        <f>-SUMIFS(BV_Data_An_Cour!$AN:$AN,BV_Data_An_Cour!$AP:$AP,$A$1,BV_Data_An_Cour!$AQ:$AQ,$D11)</f>
        <v>97057.030000000013</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17695.38</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31721.25</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1645802.2199999997</v>
      </c>
      <c r="C14" s="14"/>
      <c r="D14" s="18" t="s">
        <v>37</v>
      </c>
      <c r="E14" s="19">
        <f>-SUMIFS(BV_Data_An_Cour!$AN:$AN,BV_Data_An_Cour!$AP:$AP,$A$1,BV_Data_An_Cour!$AQ:$AQ,$D14)</f>
        <v>-3641201.7199999997</v>
      </c>
      <c r="F14" s="3"/>
      <c r="G14" s="3"/>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1136979.78</v>
      </c>
      <c r="C15" s="14"/>
      <c r="D15" s="18" t="s">
        <v>39</v>
      </c>
      <c r="E15" s="19">
        <f>-SUMIFS(BV_Data_An_Cour!$AN:$AN,BV_Data_An_Cour!$AP:$AP,$A$1,BV_Data_An_Cour!$AQ:$AQ,$D15)</f>
        <v>-43270.36</v>
      </c>
      <c r="F15" s="3"/>
      <c r="G15" s="3"/>
      <c r="H15" s="3"/>
      <c r="I15" s="3"/>
      <c r="J15" s="3"/>
      <c r="K15" s="3"/>
      <c r="L15" s="3"/>
      <c r="M15" s="3"/>
      <c r="N15" s="3"/>
      <c r="O15" s="3"/>
      <c r="P15" s="3"/>
      <c r="Q15" s="3"/>
      <c r="R15" s="3"/>
      <c r="S15" s="3"/>
      <c r="T15" s="3"/>
      <c r="U15" s="3"/>
      <c r="V15" s="3"/>
      <c r="W15" s="3"/>
      <c r="X15" s="3"/>
      <c r="Y15" s="3"/>
    </row>
    <row r="16" spans="1:25" ht="14.4">
      <c r="A16" s="15" t="s">
        <v>40</v>
      </c>
      <c r="B16" s="16">
        <f>+SUM(B8:B15)</f>
        <v>8972903.6500000004</v>
      </c>
      <c r="C16" s="17"/>
      <c r="D16" s="15" t="s">
        <v>41</v>
      </c>
      <c r="E16" s="16">
        <f>+SUM(E10:E15)</f>
        <v>-1109095.76</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18645278.739999998</v>
      </c>
      <c r="C18" s="14"/>
      <c r="D18" s="18" t="s">
        <v>43</v>
      </c>
      <c r="E18" s="19">
        <f>-SUMIFS(BV_Data_An_Cour!$AN:$AN,BV_Data_An_Cour!$AP:$AP,$A$1,BV_Data_An_Cour!$AQ:$AQ,$D18)</f>
        <v>23163491.899999999</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15106421.890000001</v>
      </c>
      <c r="C19" s="14"/>
      <c r="D19" s="18" t="s">
        <v>45</v>
      </c>
      <c r="E19" s="19">
        <f>-SUMIFS(BV_Data_An_Cour!$AN:$AN,BV_Data_An_Cour!$AP:$AP,$A$1,BV_Data_An_Cour!$AQ:$AQ,$D19)</f>
        <v>10228910.720000001</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498978.63</v>
      </c>
      <c r="C20" s="14"/>
      <c r="D20" s="15" t="s">
        <v>47</v>
      </c>
      <c r="E20" s="16">
        <f>+SUM(E18:E19)</f>
        <v>33392402.619999997</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34250679.259999998</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-3566993.19</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-12524.96</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22226.6</v>
      </c>
      <c r="C24" s="14"/>
      <c r="D24" s="18" t="s">
        <v>53</v>
      </c>
      <c r="E24" s="19">
        <f>-SUMIFS(BV_Data_An_Cour!$AN:$AN,BV_Data_An_Cour!$AP:$AP,$A$1,BV_Data_An_Cour!$AQ:$AQ,$D24)</f>
        <v>650000.18999999983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26732.870000000003</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1751135.35</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-2929517.96</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1800094.82</v>
      </c>
      <c r="C30" s="17"/>
      <c r="D30" s="21" t="s">
        <v>59</v>
      </c>
      <c r="E30" s="22">
        <f>+E5+E7+E16+E20+E28</f>
        <v>29353788.899999995</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45107866.079999998</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48">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140735.05000000002</v>
      </c>
      <c r="C37" s="14"/>
      <c r="D37" s="18" t="s">
        <v>67</v>
      </c>
      <c r="E37" s="19">
        <f>-SUMIFS(BV_Data_An_Cour!$AN:$AN,BV_Data_An_Cour!$AP:$AP,$A$1,BV_Data_An_Cour!$AQ:$AQ,$D37)</f>
        <v>4839332</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351205.42999999993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48828.739999999991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76657.290000000008</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4808370</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5867.0999999999985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623293.61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34162158.899999991</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11583671.949999997</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638200.76</v>
      </c>
      <c r="C53" s="17"/>
      <c r="D53" s="21" t="s">
        <v>85</v>
      </c>
      <c r="E53" s="22">
        <f>SUM(E48:E51)</f>
        <v>11583907.949999997</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45746066.839999996</v>
      </c>
      <c r="C56" s="17"/>
      <c r="D56" s="21" t="s">
        <v>87</v>
      </c>
      <c r="E56" s="22">
        <f>+E53+E45</f>
        <v>45746066.849999987</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-9.9999904632568359E-3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X</v>
      </c>
      <c r="V2" s="32" t="str">
        <f>+IF(Parametres!$B$3=U$6,"O","")</f>
        <v>O</v>
      </c>
      <c r="W2" s="32" t="str">
        <f>+IF(Parametres!$B$3=U$6,"U","")</f>
        <v>U</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232" t="s">
        <v>1101</v>
      </c>
      <c r="D6" s="1233"/>
      <c r="E6" s="123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232">
        <v>2021</v>
      </c>
      <c r="D94" s="1233"/>
      <c r="E94" s="123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232"/>
      <c r="D173" s="1233"/>
      <c r="E173" s="123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232"/>
      <c r="D241" s="1233"/>
      <c r="E241" s="123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232"/>
      <c r="D296" s="1233"/>
      <c r="E296" s="123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232"/>
      <c r="D361" s="1233"/>
      <c r="E361" s="123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232"/>
      <c r="D407" s="1233"/>
      <c r="E407" s="123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X</v>
      </c>
      <c r="V2" s="32" t="str">
        <f>+IF(Parametres!$B$3=U$6,"O","")</f>
        <v>O</v>
      </c>
      <c r="W2" s="32" t="str">
        <f>+IF(Parametres!$B$3=U$6,"U","")</f>
        <v>U</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235" t="s">
        <v>224</v>
      </c>
      <c r="B4" s="123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236"/>
      <c r="B5" s="1236"/>
      <c r="C5" s="1237" t="s">
        <v>244</v>
      </c>
      <c r="D5" s="123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42" t="str">
        <f>Parametres!$B$1&amp;" "&amp;"2 pager"&amp;" "&amp;Parametres!$B$3&amp;" "&amp;Parametres!$B$4</f>
        <v>Ste-Marie Auto 2 pager Juin 2026</v>
      </c>
      <c r="C1" s="1243"/>
      <c r="D1" s="1243"/>
      <c r="E1" s="1243"/>
      <c r="F1" s="1243"/>
      <c r="G1" s="1243"/>
      <c r="H1" s="1243"/>
      <c r="I1" s="1243"/>
      <c r="J1" s="124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36</v>
      </c>
      <c r="D4" s="155">
        <f>+Print_Mois!$D$13+Print_Mois!$D$15</f>
        <v>0</v>
      </c>
      <c r="E4" s="155">
        <f>+Print_Mois!$O$13+Print_Mois!$O$15</f>
        <v>77</v>
      </c>
      <c r="F4" s="156">
        <f t="shared" ref="F4:F15" si="0">+IFERROR($C4-D4,"")</f>
        <v>36</v>
      </c>
      <c r="G4" s="157">
        <f t="shared" ref="G4:G15" si="1">+IFERROR($C4-E4,"")</f>
        <v>-41</v>
      </c>
      <c r="H4" s="158" t="str">
        <f t="shared" ref="H4:H15" si="2">+IFERROR(F4/ABS($D4),"")</f>
        <v/>
      </c>
      <c r="I4" s="159">
        <f t="shared" ref="I4:I15" si="3">+IFERROR(G4/ABS($E4),"")</f>
        <v>-0.53246753246753242</v>
      </c>
      <c r="J4" s="1239" t="s">
        <v>1088</v>
      </c>
      <c r="K4" s="3"/>
      <c r="L4" s="3"/>
      <c r="M4" s="3"/>
      <c r="N4" s="3"/>
      <c r="O4" s="3"/>
      <c r="P4" s="3"/>
      <c r="Q4" s="3"/>
      <c r="R4" s="3"/>
      <c r="S4" s="3"/>
      <c r="T4" s="3"/>
      <c r="U4" s="3"/>
      <c r="V4" s="3"/>
      <c r="W4" s="3"/>
    </row>
    <row r="5" spans="1:23" ht="14.4">
      <c r="A5" s="3"/>
      <c r="B5" s="160" t="s">
        <v>287</v>
      </c>
      <c r="C5" s="161">
        <f>+Print_Mois!$L$13+Print_Mois!$L$15</f>
        <v>73220.630000000587</v>
      </c>
      <c r="D5" s="161">
        <f>+Print_Mois!$F$13+Print_Mois!$F$15</f>
        <v>0</v>
      </c>
      <c r="E5" s="161">
        <f>+Print_Mois!$Q$13+Print_Mois!$Q$15</f>
        <v>190300.10999999926</v>
      </c>
      <c r="F5" s="162">
        <f t="shared" si="0"/>
        <v>73220.630000000587</v>
      </c>
      <c r="G5" s="163">
        <f t="shared" si="1"/>
        <v>-117079.47999999867</v>
      </c>
      <c r="H5" s="165" t="str">
        <f t="shared" si="2"/>
        <v/>
      </c>
      <c r="I5" s="166">
        <f t="shared" si="3"/>
        <v>-0.61523600800860878</v>
      </c>
      <c r="J5" s="1240"/>
      <c r="K5" s="3"/>
      <c r="L5" s="3"/>
      <c r="M5" s="3"/>
      <c r="N5" s="3"/>
      <c r="O5" s="3"/>
      <c r="P5" s="3"/>
      <c r="Q5" s="3"/>
      <c r="R5" s="3"/>
      <c r="S5" s="3"/>
      <c r="T5" s="3"/>
      <c r="U5" s="3"/>
      <c r="V5" s="3"/>
      <c r="W5" s="3"/>
    </row>
    <row r="6" spans="1:23" ht="14.4">
      <c r="A6" s="3"/>
      <c r="B6" s="160" t="s">
        <v>288</v>
      </c>
      <c r="C6" s="161">
        <f t="shared" ref="C6:E6" si="4">+C5/C4</f>
        <v>2033.9063888889052</v>
      </c>
      <c r="D6" s="161" t="e">
        <f t="shared" si="4"/>
        <v>#DIV/0!</v>
      </c>
      <c r="E6" s="161">
        <f t="shared" si="4"/>
        <v>2471.4299999999903</v>
      </c>
      <c r="F6" s="162" t="str">
        <f t="shared" si="0"/>
        <v/>
      </c>
      <c r="G6" s="163">
        <f t="shared" si="1"/>
        <v>-437.52361111108507</v>
      </c>
      <c r="H6" s="165" t="str">
        <f t="shared" si="2"/>
        <v/>
      </c>
      <c r="I6" s="166">
        <f t="shared" si="3"/>
        <v>-0.1770325726850798</v>
      </c>
      <c r="J6" s="1240"/>
      <c r="K6" s="3"/>
      <c r="L6" s="3"/>
      <c r="M6" s="3"/>
      <c r="N6" s="3"/>
      <c r="O6" s="3"/>
      <c r="P6" s="3"/>
      <c r="Q6" s="3"/>
      <c r="R6" s="3"/>
      <c r="S6" s="3"/>
      <c r="T6" s="3"/>
      <c r="U6" s="3"/>
      <c r="V6" s="3"/>
      <c r="W6" s="3"/>
    </row>
    <row r="7" spans="1:23" ht="14.4">
      <c r="A7" s="3"/>
      <c r="B7" s="160" t="s">
        <v>289</v>
      </c>
      <c r="C7" s="161">
        <f>+Print_Mois!$L$31</f>
        <v>37917.679999999993</v>
      </c>
      <c r="D7" s="161">
        <f>+Print_Mois!$F$31</f>
        <v>0</v>
      </c>
      <c r="E7" s="161">
        <f>+Print_Mois!$Q$31</f>
        <v>72231.160000000033</v>
      </c>
      <c r="F7" s="162">
        <f t="shared" si="0"/>
        <v>37917.679999999993</v>
      </c>
      <c r="G7" s="163">
        <f t="shared" si="1"/>
        <v>-34313.48000000004</v>
      </c>
      <c r="H7" s="165" t="str">
        <f t="shared" si="2"/>
        <v/>
      </c>
      <c r="I7" s="166">
        <f t="shared" si="3"/>
        <v>-0.47505093369675944</v>
      </c>
      <c r="J7" s="1240"/>
      <c r="K7" s="3"/>
      <c r="L7" s="3"/>
      <c r="M7" s="3"/>
      <c r="N7" s="3"/>
      <c r="O7" s="3"/>
      <c r="P7" s="3"/>
      <c r="Q7" s="3"/>
      <c r="R7" s="3"/>
      <c r="S7" s="3"/>
      <c r="T7" s="3"/>
      <c r="U7" s="3"/>
      <c r="V7" s="3"/>
      <c r="W7" s="3"/>
    </row>
    <row r="8" spans="1:23" ht="14.4">
      <c r="A8" s="3"/>
      <c r="B8" s="160" t="s">
        <v>290</v>
      </c>
      <c r="C8" s="164">
        <f t="shared" ref="C8:E8" si="5">+C7/C5</f>
        <v>0.51785514546924394</v>
      </c>
      <c r="D8" s="164" t="e">
        <f t="shared" si="5"/>
        <v>#DIV/0!</v>
      </c>
      <c r="E8" s="164">
        <f t="shared" si="5"/>
        <v>0.37956446793436072</v>
      </c>
      <c r="F8" s="167" t="str">
        <f t="shared" si="0"/>
        <v/>
      </c>
      <c r="G8" s="168">
        <f t="shared" si="1"/>
        <v>0.13829067753488322</v>
      </c>
      <c r="H8" s="165" t="str">
        <f t="shared" si="2"/>
        <v/>
      </c>
      <c r="I8" s="166">
        <f t="shared" si="3"/>
        <v>0.36434041965908742</v>
      </c>
      <c r="J8" s="1240"/>
      <c r="K8" s="3"/>
      <c r="L8" s="3"/>
      <c r="M8" s="3"/>
      <c r="N8" s="3"/>
      <c r="O8" s="3"/>
      <c r="P8" s="3"/>
      <c r="Q8" s="3"/>
      <c r="R8" s="3"/>
      <c r="S8" s="3"/>
      <c r="T8" s="3"/>
      <c r="U8" s="3"/>
      <c r="V8" s="3"/>
      <c r="W8" s="3"/>
    </row>
    <row r="9" spans="1:23" ht="14.4">
      <c r="A9" s="3"/>
      <c r="B9" s="160" t="s">
        <v>291</v>
      </c>
      <c r="C9" s="161">
        <f>+Print_Mois!$L$24</f>
        <v>46477.760000000009</v>
      </c>
      <c r="D9" s="161">
        <f>+Print_Mois!$F$24</f>
        <v>0</v>
      </c>
      <c r="E9" s="161">
        <f>+Print_Mois!$Q$24</f>
        <v>55180.630000000005</v>
      </c>
      <c r="F9" s="162">
        <f t="shared" si="0"/>
        <v>46477.760000000009</v>
      </c>
      <c r="G9" s="163">
        <f t="shared" si="1"/>
        <v>-8702.8699999999953</v>
      </c>
      <c r="H9" s="165" t="str">
        <f t="shared" si="2"/>
        <v/>
      </c>
      <c r="I9" s="166">
        <f t="shared" si="3"/>
        <v>-0.15771603187567801</v>
      </c>
      <c r="J9" s="1240"/>
      <c r="K9" s="3"/>
      <c r="L9" s="3"/>
      <c r="M9" s="3"/>
      <c r="N9" s="3"/>
      <c r="O9" s="3"/>
      <c r="P9" s="3"/>
      <c r="Q9" s="3"/>
      <c r="R9" s="3"/>
      <c r="S9" s="3"/>
      <c r="T9" s="3"/>
      <c r="U9" s="3"/>
      <c r="V9" s="3"/>
      <c r="W9" s="3"/>
    </row>
    <row r="10" spans="1:23" ht="14.4">
      <c r="A10" s="3"/>
      <c r="B10" s="160" t="s">
        <v>292</v>
      </c>
      <c r="C10" s="161">
        <f t="shared" ref="C10:E10" si="6">+C9/C4</f>
        <v>1291.0488888888892</v>
      </c>
      <c r="D10" s="161" t="e">
        <f t="shared" si="6"/>
        <v>#DIV/0!</v>
      </c>
      <c r="E10" s="161">
        <f t="shared" si="6"/>
        <v>716.63155844155847</v>
      </c>
      <c r="F10" s="162" t="str">
        <f t="shared" si="0"/>
        <v/>
      </c>
      <c r="G10" s="163">
        <f t="shared" si="1"/>
        <v>574.41733044733076</v>
      </c>
      <c r="H10" s="165" t="str">
        <f t="shared" si="2"/>
        <v/>
      </c>
      <c r="I10" s="166">
        <f t="shared" si="3"/>
        <v>0.80155182071035558</v>
      </c>
      <c r="J10" s="1240"/>
      <c r="K10" s="3"/>
      <c r="L10" s="3"/>
      <c r="M10" s="3"/>
      <c r="N10" s="3"/>
      <c r="O10" s="3"/>
      <c r="P10" s="3"/>
      <c r="Q10" s="3"/>
      <c r="R10" s="3"/>
      <c r="S10" s="3"/>
      <c r="T10" s="3"/>
      <c r="U10" s="3"/>
      <c r="V10" s="3"/>
      <c r="W10" s="3"/>
    </row>
    <row r="11" spans="1:23" ht="14.4">
      <c r="A11" s="3"/>
      <c r="B11" s="160" t="s">
        <v>293</v>
      </c>
      <c r="C11" s="161">
        <f>+Print_Mois!$L$32</f>
        <v>15683.61</v>
      </c>
      <c r="D11" s="161">
        <f>+Print_Mois!$F$32</f>
        <v>0</v>
      </c>
      <c r="E11" s="161">
        <f>+Print_Mois!$Q$32</f>
        <v>15438.959999999992</v>
      </c>
      <c r="F11" s="162">
        <f t="shared" si="0"/>
        <v>15683.61</v>
      </c>
      <c r="G11" s="163">
        <f t="shared" si="1"/>
        <v>244.65000000000873</v>
      </c>
      <c r="H11" s="165" t="str">
        <f t="shared" si="2"/>
        <v/>
      </c>
      <c r="I11" s="166">
        <f t="shared" si="3"/>
        <v>1.5846274619534532E-2</v>
      </c>
      <c r="J11" s="1240"/>
      <c r="K11" s="3"/>
      <c r="L11" s="3"/>
      <c r="M11" s="3"/>
      <c r="N11" s="3"/>
      <c r="O11" s="3"/>
      <c r="P11" s="3"/>
      <c r="Q11" s="3"/>
      <c r="R11" s="3"/>
      <c r="S11" s="3"/>
      <c r="T11" s="3"/>
      <c r="U11" s="3"/>
      <c r="V11" s="3"/>
      <c r="W11" s="3"/>
    </row>
    <row r="12" spans="1:23" ht="14.4">
      <c r="A12" s="3"/>
      <c r="B12" s="160" t="s">
        <v>294</v>
      </c>
      <c r="C12" s="164">
        <f t="shared" ref="C12:E12" si="7">+C11/C9</f>
        <v>0.33744332773352237</v>
      </c>
      <c r="D12" s="164" t="e">
        <f t="shared" si="7"/>
        <v>#DIV/0!</v>
      </c>
      <c r="E12" s="164">
        <f t="shared" si="7"/>
        <v>0.27978948409976456</v>
      </c>
      <c r="F12" s="165" t="str">
        <f t="shared" si="0"/>
        <v/>
      </c>
      <c r="G12" s="169">
        <f t="shared" si="1"/>
        <v>5.7653843633757806E-2</v>
      </c>
      <c r="H12" s="165" t="str">
        <f t="shared" si="2"/>
        <v/>
      </c>
      <c r="I12" s="166">
        <f t="shared" si="3"/>
        <v>0.20606151020743929</v>
      </c>
      <c r="J12" s="1240"/>
      <c r="K12" s="3"/>
      <c r="L12" s="3"/>
      <c r="M12" s="3"/>
      <c r="N12" s="3"/>
      <c r="O12" s="3"/>
      <c r="P12" s="3"/>
      <c r="Q12" s="3"/>
      <c r="R12" s="3"/>
      <c r="S12" s="3"/>
      <c r="T12" s="3"/>
      <c r="U12" s="3"/>
      <c r="V12" s="3"/>
      <c r="W12" s="3"/>
    </row>
    <row r="13" spans="1:23" ht="14.4">
      <c r="A13" s="3"/>
      <c r="B13" s="160" t="s">
        <v>295</v>
      </c>
      <c r="C13" s="161">
        <f>+Print_Mois!$L$41-C7-C11</f>
        <v>-149737.03000000003</v>
      </c>
      <c r="D13" s="161">
        <f>+Print_Mois!$F$41-D7-D11</f>
        <v>0</v>
      </c>
      <c r="E13" s="161">
        <f>+Print_Mois!$Q$41-E7-E11</f>
        <v>-219480.97999999995</v>
      </c>
      <c r="F13" s="162">
        <f t="shared" si="0"/>
        <v>-149737.03000000003</v>
      </c>
      <c r="G13" s="163">
        <f t="shared" si="1"/>
        <v>69743.949999999924</v>
      </c>
      <c r="H13" s="165" t="str">
        <f t="shared" si="2"/>
        <v/>
      </c>
      <c r="I13" s="166">
        <f t="shared" si="3"/>
        <v>0.31776762615147763</v>
      </c>
      <c r="J13" s="1240"/>
      <c r="K13" s="3"/>
      <c r="L13" s="3"/>
      <c r="M13" s="3"/>
      <c r="N13" s="3"/>
      <c r="O13" s="3"/>
      <c r="P13" s="3"/>
      <c r="Q13" s="3"/>
      <c r="R13" s="3"/>
      <c r="S13" s="3"/>
      <c r="T13" s="3"/>
      <c r="U13" s="3"/>
      <c r="V13" s="3"/>
      <c r="W13" s="3"/>
    </row>
    <row r="14" spans="1:23" ht="14.4">
      <c r="A14" s="3"/>
      <c r="B14" s="160" t="s">
        <v>296</v>
      </c>
      <c r="C14" s="161">
        <f t="shared" ref="C14:E14" si="8">+C13/C4</f>
        <v>-4159.3619444444448</v>
      </c>
      <c r="D14" s="161" t="e">
        <f t="shared" si="8"/>
        <v>#DIV/0!</v>
      </c>
      <c r="E14" s="161">
        <f t="shared" si="8"/>
        <v>-2850.4023376623372</v>
      </c>
      <c r="F14" s="162" t="str">
        <f t="shared" si="0"/>
        <v/>
      </c>
      <c r="G14" s="163">
        <f t="shared" si="1"/>
        <v>-1308.9596067821076</v>
      </c>
      <c r="H14" s="165" t="str">
        <f t="shared" si="2"/>
        <v/>
      </c>
      <c r="I14" s="166">
        <f t="shared" si="3"/>
        <v>-0.45921924406489484</v>
      </c>
      <c r="J14" s="1240"/>
      <c r="K14" s="3"/>
      <c r="L14" s="3"/>
      <c r="M14" s="3"/>
      <c r="N14" s="3"/>
      <c r="O14" s="3"/>
      <c r="P14" s="3"/>
      <c r="Q14" s="3"/>
      <c r="R14" s="3"/>
      <c r="S14" s="3"/>
      <c r="T14" s="3"/>
      <c r="U14" s="3"/>
      <c r="V14" s="3"/>
      <c r="W14" s="3"/>
    </row>
    <row r="15" spans="1:23" ht="14.4">
      <c r="A15" s="3"/>
      <c r="B15" s="160" t="s">
        <v>297</v>
      </c>
      <c r="C15" s="161">
        <f>+Print_Mois!$L$83</f>
        <v>48816.53</v>
      </c>
      <c r="D15" s="161">
        <f>+Print_Mois!$F$83</f>
        <v>0</v>
      </c>
      <c r="E15" s="161">
        <f>+Print_Mois!$Q$83</f>
        <v>10883.369999999995</v>
      </c>
      <c r="F15" s="162">
        <f t="shared" si="0"/>
        <v>48816.53</v>
      </c>
      <c r="G15" s="163">
        <f t="shared" si="1"/>
        <v>37933.160000000003</v>
      </c>
      <c r="H15" s="165" t="str">
        <f t="shared" si="2"/>
        <v/>
      </c>
      <c r="I15" s="166">
        <f t="shared" si="3"/>
        <v>3.4854240919862156</v>
      </c>
      <c r="J15" s="124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24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24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24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19</v>
      </c>
      <c r="D21" s="155">
        <f>+Print_Mois!$D$97</f>
        <v>0</v>
      </c>
      <c r="E21" s="155">
        <f>+Print_Mois!$O$97</f>
        <v>5</v>
      </c>
      <c r="F21" s="156">
        <f t="shared" ref="F21:F32" si="11">+IFERROR($C21-D21,"")</f>
        <v>19</v>
      </c>
      <c r="G21" s="157">
        <f t="shared" ref="G21:G32" si="12">+IFERROR($C21-E21,"")</f>
        <v>14</v>
      </c>
      <c r="H21" s="158" t="str">
        <f t="shared" ref="H21:H32" si="13">+IFERROR(F21/ABS($D21),"")</f>
        <v/>
      </c>
      <c r="I21" s="159">
        <f t="shared" ref="I21:I32" si="14">+IFERROR(G21/ABS($E21),"")</f>
        <v>2.8</v>
      </c>
      <c r="J21" s="1239" t="s">
        <v>1089</v>
      </c>
      <c r="K21" s="3"/>
      <c r="L21" s="3"/>
      <c r="M21" s="3"/>
      <c r="N21" s="3"/>
      <c r="O21" s="3"/>
      <c r="P21" s="3"/>
      <c r="Q21" s="3"/>
      <c r="R21" s="3"/>
      <c r="S21" s="3"/>
      <c r="T21" s="3"/>
      <c r="U21" s="3"/>
      <c r="V21" s="3"/>
      <c r="W21" s="3"/>
    </row>
    <row r="22" spans="1:23" ht="15.75" customHeight="1">
      <c r="A22" s="3"/>
      <c r="B22" s="160" t="s">
        <v>287</v>
      </c>
      <c r="C22" s="161">
        <f>+Print_Mois!$L$97</f>
        <v>34649.150000000023</v>
      </c>
      <c r="D22" s="161">
        <f>+Print_Mois!$F$97</f>
        <v>0</v>
      </c>
      <c r="E22" s="161">
        <f>+Print_Mois!$Q$97</f>
        <v>-21375.719999999972</v>
      </c>
      <c r="F22" s="162">
        <f t="shared" si="11"/>
        <v>34649.150000000023</v>
      </c>
      <c r="G22" s="163">
        <f t="shared" si="12"/>
        <v>56024.869999999995</v>
      </c>
      <c r="H22" s="165" t="str">
        <f t="shared" si="13"/>
        <v/>
      </c>
      <c r="I22" s="166">
        <f t="shared" si="14"/>
        <v>2.6209582647976335</v>
      </c>
      <c r="J22" s="1240"/>
      <c r="K22" s="3"/>
      <c r="L22" s="3"/>
      <c r="M22" s="3"/>
      <c r="N22" s="3"/>
      <c r="O22" s="3"/>
      <c r="P22" s="3"/>
      <c r="Q22" s="3"/>
      <c r="R22" s="3"/>
      <c r="S22" s="3"/>
      <c r="T22" s="3"/>
      <c r="U22" s="3"/>
      <c r="V22" s="3"/>
      <c r="W22" s="3"/>
    </row>
    <row r="23" spans="1:23" ht="15.75" customHeight="1">
      <c r="A23" s="3"/>
      <c r="B23" s="160" t="s">
        <v>288</v>
      </c>
      <c r="C23" s="161">
        <f t="shared" ref="C23:E23" si="15">+C22/C21</f>
        <v>1823.6394736842117</v>
      </c>
      <c r="D23" s="161" t="e">
        <f t="shared" si="15"/>
        <v>#DIV/0!</v>
      </c>
      <c r="E23" s="161">
        <f t="shared" si="15"/>
        <v>-4275.1439999999948</v>
      </c>
      <c r="F23" s="162" t="str">
        <f t="shared" si="11"/>
        <v/>
      </c>
      <c r="G23" s="163">
        <f t="shared" si="12"/>
        <v>6098.7834736842069</v>
      </c>
      <c r="H23" s="165" t="str">
        <f t="shared" si="13"/>
        <v/>
      </c>
      <c r="I23" s="166">
        <f t="shared" si="14"/>
        <v>1.4265679644204299</v>
      </c>
      <c r="J23" s="1240"/>
      <c r="K23" s="3"/>
      <c r="L23" s="3"/>
      <c r="M23" s="3"/>
      <c r="N23" s="3"/>
      <c r="O23" s="3"/>
      <c r="P23" s="3"/>
      <c r="Q23" s="3"/>
      <c r="R23" s="3"/>
      <c r="S23" s="3"/>
      <c r="T23" s="3"/>
      <c r="U23" s="3"/>
      <c r="V23" s="3"/>
      <c r="W23" s="3"/>
    </row>
    <row r="24" spans="1:23" ht="15.75" customHeight="1">
      <c r="A24" s="3"/>
      <c r="B24" s="160" t="s">
        <v>289</v>
      </c>
      <c r="C24" s="161">
        <f>+Print_Mois!$L$113</f>
        <v>11182.080000000002</v>
      </c>
      <c r="D24" s="161">
        <f>+Print_Mois!$F$113</f>
        <v>0</v>
      </c>
      <c r="E24" s="161">
        <f>+Print_Mois!$Q$113</f>
        <v>2787.239999999998</v>
      </c>
      <c r="F24" s="162">
        <f t="shared" si="11"/>
        <v>11182.080000000002</v>
      </c>
      <c r="G24" s="163">
        <f t="shared" si="12"/>
        <v>8394.8400000000038</v>
      </c>
      <c r="H24" s="165" t="str">
        <f t="shared" si="13"/>
        <v/>
      </c>
      <c r="I24" s="166">
        <f t="shared" si="14"/>
        <v>3.0118827226934206</v>
      </c>
      <c r="J24" s="1240"/>
      <c r="K24" s="3"/>
      <c r="L24" s="3"/>
      <c r="M24" s="3"/>
      <c r="N24" s="3"/>
      <c r="O24" s="3"/>
      <c r="P24" s="3"/>
      <c r="Q24" s="3"/>
      <c r="R24" s="3"/>
      <c r="S24" s="3"/>
      <c r="T24" s="3"/>
      <c r="U24" s="3"/>
      <c r="V24" s="3"/>
      <c r="W24" s="3"/>
    </row>
    <row r="25" spans="1:23" ht="15.75" customHeight="1">
      <c r="A25" s="3"/>
      <c r="B25" s="160" t="s">
        <v>290</v>
      </c>
      <c r="C25" s="164">
        <f t="shared" ref="C25:E25" si="16">+C24/C22</f>
        <v>0.32272306824265512</v>
      </c>
      <c r="D25" s="164" t="e">
        <f t="shared" si="16"/>
        <v>#DIV/0!</v>
      </c>
      <c r="E25" s="164">
        <f t="shared" si="16"/>
        <v>-0.13039280080390281</v>
      </c>
      <c r="F25" s="167" t="str">
        <f t="shared" si="11"/>
        <v/>
      </c>
      <c r="G25" s="168">
        <f t="shared" si="12"/>
        <v>0.45311586904655793</v>
      </c>
      <c r="H25" s="165" t="str">
        <f t="shared" si="13"/>
        <v/>
      </c>
      <c r="I25" s="166">
        <f t="shared" si="14"/>
        <v>3.4750067967939198</v>
      </c>
      <c r="J25" s="1240"/>
      <c r="K25" s="3"/>
      <c r="L25" s="3"/>
      <c r="M25" s="3"/>
      <c r="N25" s="3"/>
      <c r="O25" s="3"/>
      <c r="P25" s="3"/>
      <c r="Q25" s="3"/>
      <c r="R25" s="3"/>
      <c r="S25" s="3"/>
      <c r="T25" s="3"/>
      <c r="U25" s="3"/>
      <c r="V25" s="3"/>
      <c r="W25" s="3"/>
    </row>
    <row r="26" spans="1:23" ht="15.75" customHeight="1">
      <c r="A26" s="3"/>
      <c r="B26" s="160" t="s">
        <v>291</v>
      </c>
      <c r="C26" s="161">
        <f>+Print_Mois!$L$106</f>
        <v>14437.200000000012</v>
      </c>
      <c r="D26" s="161">
        <f>+Print_Mois!$F$106</f>
        <v>0</v>
      </c>
      <c r="E26" s="161">
        <f>+Print_Mois!$Q$106</f>
        <v>4060.4800000000005</v>
      </c>
      <c r="F26" s="162">
        <f t="shared" si="11"/>
        <v>14437.200000000012</v>
      </c>
      <c r="G26" s="163">
        <f t="shared" si="12"/>
        <v>10376.720000000012</v>
      </c>
      <c r="H26" s="165" t="str">
        <f t="shared" si="13"/>
        <v/>
      </c>
      <c r="I26" s="166">
        <f t="shared" si="14"/>
        <v>2.5555402316967477</v>
      </c>
      <c r="J26" s="1240"/>
      <c r="K26" s="3"/>
      <c r="L26" s="3"/>
      <c r="M26" s="3"/>
      <c r="N26" s="3"/>
      <c r="O26" s="3"/>
      <c r="P26" s="3"/>
      <c r="Q26" s="3"/>
      <c r="R26" s="3"/>
      <c r="S26" s="3"/>
      <c r="T26" s="3"/>
      <c r="U26" s="3"/>
      <c r="V26" s="3"/>
      <c r="W26" s="3"/>
    </row>
    <row r="27" spans="1:23" ht="15.75" customHeight="1">
      <c r="A27" s="3"/>
      <c r="B27" s="160" t="s">
        <v>292</v>
      </c>
      <c r="C27" s="161">
        <f t="shared" ref="C27:E27" si="17">+C26/C21</f>
        <v>759.85263157894803</v>
      </c>
      <c r="D27" s="161" t="e">
        <f t="shared" si="17"/>
        <v>#DIV/0!</v>
      </c>
      <c r="E27" s="161">
        <f t="shared" si="17"/>
        <v>812.09600000000012</v>
      </c>
      <c r="F27" s="162" t="str">
        <f t="shared" si="11"/>
        <v/>
      </c>
      <c r="G27" s="163">
        <f t="shared" si="12"/>
        <v>-52.243368421052082</v>
      </c>
      <c r="H27" s="165" t="str">
        <f t="shared" si="13"/>
        <v/>
      </c>
      <c r="I27" s="166">
        <f t="shared" si="14"/>
        <v>-6.4331517974540051E-2</v>
      </c>
      <c r="J27" s="1240"/>
      <c r="K27" s="3"/>
      <c r="L27" s="3"/>
      <c r="M27" s="3"/>
      <c r="N27" s="3"/>
      <c r="O27" s="3"/>
      <c r="P27" s="3"/>
      <c r="Q27" s="3"/>
      <c r="R27" s="3"/>
      <c r="S27" s="3"/>
      <c r="T27" s="3"/>
      <c r="U27" s="3"/>
      <c r="V27" s="3"/>
      <c r="W27" s="3"/>
    </row>
    <row r="28" spans="1:23" ht="15.75" customHeight="1">
      <c r="A28" s="3"/>
      <c r="B28" s="160" t="s">
        <v>293</v>
      </c>
      <c r="C28" s="161">
        <f>+Print_Mois!$L$114</f>
        <v>4493.0999999999985</v>
      </c>
      <c r="D28" s="161">
        <f>+Print_Mois!$F$114</f>
        <v>0</v>
      </c>
      <c r="E28" s="161">
        <f>+Print_Mois!$Q$114</f>
        <v>201.6200000000008</v>
      </c>
      <c r="F28" s="162">
        <f t="shared" si="11"/>
        <v>4493.0999999999985</v>
      </c>
      <c r="G28" s="163">
        <f t="shared" si="12"/>
        <v>4291.4799999999977</v>
      </c>
      <c r="H28" s="165" t="str">
        <f t="shared" si="13"/>
        <v/>
      </c>
      <c r="I28" s="166">
        <f t="shared" si="14"/>
        <v>21.2849915682967</v>
      </c>
      <c r="J28" s="1240"/>
      <c r="K28" s="3"/>
      <c r="L28" s="3"/>
      <c r="M28" s="3"/>
      <c r="N28" s="3"/>
      <c r="O28" s="3"/>
      <c r="P28" s="3"/>
      <c r="Q28" s="3"/>
      <c r="R28" s="3"/>
      <c r="S28" s="3"/>
      <c r="T28" s="3"/>
      <c r="U28" s="3"/>
      <c r="V28" s="3"/>
      <c r="W28" s="3"/>
    </row>
    <row r="29" spans="1:23" ht="15.75" customHeight="1">
      <c r="A29" s="3"/>
      <c r="B29" s="160" t="s">
        <v>294</v>
      </c>
      <c r="C29" s="164">
        <f t="shared" ref="C29:E29" si="18">+C28/C26</f>
        <v>0.31121685645415975</v>
      </c>
      <c r="D29" s="164" t="e">
        <f t="shared" si="18"/>
        <v>#DIV/0!</v>
      </c>
      <c r="E29" s="164">
        <f t="shared" si="18"/>
        <v>4.9654228071558233E-2</v>
      </c>
      <c r="F29" s="165" t="str">
        <f t="shared" si="11"/>
        <v/>
      </c>
      <c r="G29" s="169">
        <f t="shared" si="12"/>
        <v>0.26156262838260153</v>
      </c>
      <c r="H29" s="165" t="str">
        <f t="shared" si="13"/>
        <v/>
      </c>
      <c r="I29" s="166">
        <f t="shared" si="14"/>
        <v>5.2676808912557371</v>
      </c>
      <c r="J29" s="1240"/>
      <c r="K29" s="3"/>
      <c r="L29" s="3"/>
      <c r="M29" s="3"/>
      <c r="N29" s="3"/>
      <c r="O29" s="3"/>
      <c r="P29" s="3"/>
      <c r="Q29" s="3"/>
      <c r="R29" s="3"/>
      <c r="S29" s="3"/>
      <c r="T29" s="3"/>
      <c r="U29" s="3"/>
      <c r="V29" s="3"/>
      <c r="W29" s="3"/>
    </row>
    <row r="30" spans="1:23" ht="15.75" customHeight="1">
      <c r="A30" s="3"/>
      <c r="B30" s="160" t="s">
        <v>295</v>
      </c>
      <c r="C30" s="161">
        <f>+Print_Mois!$L$123-C24-C28</f>
        <v>2599.0599999999868</v>
      </c>
      <c r="D30" s="161">
        <f>+Print_Mois!$F$123-D24-D28</f>
        <v>0</v>
      </c>
      <c r="E30" s="161">
        <f>+Print_Mois!$Q$123-E24-E28</f>
        <v>27512.920000000006</v>
      </c>
      <c r="F30" s="162">
        <f t="shared" si="11"/>
        <v>2599.0599999999868</v>
      </c>
      <c r="G30" s="163">
        <f t="shared" si="12"/>
        <v>-24913.860000000019</v>
      </c>
      <c r="H30" s="165" t="str">
        <f t="shared" si="13"/>
        <v/>
      </c>
      <c r="I30" s="166">
        <f t="shared" si="14"/>
        <v>-0.90553310953544786</v>
      </c>
      <c r="J30" s="1240"/>
      <c r="K30" s="3"/>
      <c r="L30" s="3"/>
      <c r="M30" s="3"/>
      <c r="N30" s="3"/>
      <c r="O30" s="3"/>
      <c r="P30" s="3"/>
      <c r="Q30" s="3"/>
      <c r="R30" s="3"/>
      <c r="S30" s="3"/>
      <c r="T30" s="3"/>
      <c r="U30" s="3"/>
      <c r="V30" s="3"/>
      <c r="W30" s="3"/>
    </row>
    <row r="31" spans="1:23" ht="15.75" customHeight="1">
      <c r="A31" s="3"/>
      <c r="B31" s="160" t="s">
        <v>296</v>
      </c>
      <c r="C31" s="161">
        <f t="shared" ref="C31:E31" si="19">+C30/C21</f>
        <v>136.79263157894667</v>
      </c>
      <c r="D31" s="161" t="e">
        <f t="shared" si="19"/>
        <v>#DIV/0!</v>
      </c>
      <c r="E31" s="161">
        <f t="shared" si="19"/>
        <v>5502.5840000000007</v>
      </c>
      <c r="F31" s="162" t="str">
        <f t="shared" si="11"/>
        <v/>
      </c>
      <c r="G31" s="163">
        <f t="shared" si="12"/>
        <v>-5365.7913684210544</v>
      </c>
      <c r="H31" s="165" t="str">
        <f t="shared" si="13"/>
        <v/>
      </c>
      <c r="I31" s="166">
        <f t="shared" si="14"/>
        <v>-0.97514029198301266</v>
      </c>
      <c r="J31" s="1240"/>
      <c r="K31" s="3"/>
      <c r="L31" s="3"/>
      <c r="M31" s="3"/>
      <c r="N31" s="3"/>
      <c r="O31" s="3"/>
      <c r="P31" s="3"/>
      <c r="Q31" s="3"/>
      <c r="R31" s="3"/>
      <c r="S31" s="3"/>
      <c r="T31" s="3"/>
      <c r="U31" s="3"/>
      <c r="V31" s="3"/>
      <c r="W31" s="3"/>
    </row>
    <row r="32" spans="1:23" ht="15.75" customHeight="1">
      <c r="A32" s="3"/>
      <c r="B32" s="160" t="s">
        <v>297</v>
      </c>
      <c r="C32" s="161">
        <f>+Print_Mois!$L$164</f>
        <v>7000</v>
      </c>
      <c r="D32" s="161">
        <f>+Print_Mois!$F$164</f>
        <v>0</v>
      </c>
      <c r="E32" s="161">
        <f>+Print_Mois!$Q$164</f>
        <v>0</v>
      </c>
      <c r="F32" s="162">
        <f t="shared" si="11"/>
        <v>7000</v>
      </c>
      <c r="G32" s="163">
        <f t="shared" si="12"/>
        <v>7000</v>
      </c>
      <c r="H32" s="165" t="str">
        <f t="shared" si="13"/>
        <v/>
      </c>
      <c r="I32" s="166" t="str">
        <f t="shared" si="14"/>
        <v/>
      </c>
      <c r="J32" s="124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24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24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24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219868.81000000008</v>
      </c>
      <c r="D38" s="195">
        <f>+Print_Mois!$E$268</f>
        <v>0</v>
      </c>
      <c r="E38" s="195">
        <f>+Print_Mois!$P$268</f>
        <v>258831.05000000005</v>
      </c>
      <c r="F38" s="196">
        <f t="shared" ref="F38:F47" si="22">+IFERROR($C38-D38,"")</f>
        <v>219868.81000000008</v>
      </c>
      <c r="G38" s="197">
        <f t="shared" ref="G38:G47" si="23">+IFERROR($C38-E38,"")</f>
        <v>-38962.239999999962</v>
      </c>
      <c r="H38" s="158" t="str">
        <f t="shared" ref="H38:H47" si="24">+IFERROR(F38/ABS($D38),"")</f>
        <v/>
      </c>
      <c r="I38" s="159">
        <f t="shared" ref="I38:I47" si="25">+IFERROR(G38/ABS($E38),"")</f>
        <v>-0.1505315533047521</v>
      </c>
      <c r="J38" s="1239" t="s">
        <v>1090</v>
      </c>
      <c r="K38" s="3"/>
      <c r="L38" s="3"/>
      <c r="M38" s="3"/>
      <c r="N38" s="3"/>
      <c r="O38" s="3"/>
      <c r="P38" s="3"/>
      <c r="Q38" s="3"/>
      <c r="R38" s="3"/>
      <c r="S38" s="3"/>
      <c r="T38" s="3"/>
      <c r="U38" s="3"/>
      <c r="V38" s="3"/>
      <c r="W38" s="3"/>
    </row>
    <row r="39" spans="1:23" ht="15.75" customHeight="1">
      <c r="A39" s="3"/>
      <c r="B39" s="154" t="s">
        <v>302</v>
      </c>
      <c r="C39" s="195">
        <f>+Print_Mois!$L$268</f>
        <v>141837.11000000007</v>
      </c>
      <c r="D39" s="195">
        <f>+Print_Mois!$F$268</f>
        <v>0</v>
      </c>
      <c r="E39" s="195">
        <f>+Print_Mois!$Q$268</f>
        <v>168478.07000000004</v>
      </c>
      <c r="F39" s="196">
        <f t="shared" si="22"/>
        <v>141837.11000000007</v>
      </c>
      <c r="G39" s="197">
        <f t="shared" si="23"/>
        <v>-26640.959999999963</v>
      </c>
      <c r="H39" s="198" t="str">
        <f t="shared" si="24"/>
        <v/>
      </c>
      <c r="I39" s="199">
        <f t="shared" si="25"/>
        <v>-0.15812716752987471</v>
      </c>
      <c r="J39" s="1240"/>
      <c r="K39" s="3"/>
      <c r="L39" s="3"/>
      <c r="M39" s="3"/>
      <c r="N39" s="3"/>
      <c r="O39" s="3"/>
      <c r="P39" s="3"/>
      <c r="Q39" s="3"/>
      <c r="R39" s="3"/>
      <c r="S39" s="3"/>
      <c r="T39" s="3"/>
      <c r="U39" s="3"/>
      <c r="V39" s="3"/>
      <c r="W39" s="3"/>
    </row>
    <row r="40" spans="1:23" ht="15.75" customHeight="1">
      <c r="A40" s="3"/>
      <c r="B40" s="160" t="s">
        <v>303</v>
      </c>
      <c r="C40" s="161">
        <f>+Print_Mois!$K$246/Print_Mois!$J$246</f>
        <v>230.42790322580638</v>
      </c>
      <c r="D40" s="161" t="str">
        <f>+IFERROR(Print_Mois!$E$246/Print_Mois!$D$246,"")</f>
        <v/>
      </c>
      <c r="E40" s="161">
        <f>+Print_Mois!$P$246/Print_Mois!$O$246</f>
        <v>382.73200000000014</v>
      </c>
      <c r="F40" s="162" t="str">
        <f t="shared" si="22"/>
        <v/>
      </c>
      <c r="G40" s="163">
        <f t="shared" si="23"/>
        <v>-152.30409677419377</v>
      </c>
      <c r="H40" s="165" t="str">
        <f t="shared" si="24"/>
        <v/>
      </c>
      <c r="I40" s="166">
        <f t="shared" si="25"/>
        <v>-0.39793928068254997</v>
      </c>
      <c r="J40" s="1240"/>
      <c r="K40" s="3"/>
      <c r="L40" s="3"/>
      <c r="M40" s="3"/>
      <c r="N40" s="3"/>
      <c r="O40" s="3"/>
      <c r="P40" s="3"/>
      <c r="Q40" s="3"/>
      <c r="R40" s="3"/>
      <c r="S40" s="3"/>
      <c r="T40" s="3"/>
      <c r="U40" s="3"/>
      <c r="V40" s="3"/>
      <c r="W40" s="3"/>
    </row>
    <row r="41" spans="1:23" ht="15.75" customHeight="1">
      <c r="A41" s="3"/>
      <c r="B41" s="160" t="s">
        <v>304</v>
      </c>
      <c r="C41" s="161">
        <f>+Print_Mois!$K$249/Print_Mois!$J$249</f>
        <v>184.19488188976385</v>
      </c>
      <c r="D41" s="161" t="str">
        <f>+IFERROR(Print_Mois!$E$249/Print_Mois!$D$249,"")</f>
        <v/>
      </c>
      <c r="E41" s="161">
        <f>+Print_Mois!$P$249/Print_Mois!$O$249</f>
        <v>139.23286472148544</v>
      </c>
      <c r="F41" s="162" t="str">
        <f t="shared" si="22"/>
        <v/>
      </c>
      <c r="G41" s="163">
        <f t="shared" si="23"/>
        <v>44.962017168278408</v>
      </c>
      <c r="H41" s="165" t="str">
        <f t="shared" si="24"/>
        <v/>
      </c>
      <c r="I41" s="166">
        <f t="shared" si="25"/>
        <v>0.32292675481624405</v>
      </c>
      <c r="J41" s="1240"/>
      <c r="K41" s="3"/>
      <c r="L41" s="3"/>
      <c r="M41" s="3"/>
      <c r="N41" s="3"/>
      <c r="O41" s="3"/>
      <c r="P41" s="3"/>
      <c r="Q41" s="3"/>
      <c r="R41" s="3"/>
      <c r="S41" s="3"/>
      <c r="T41" s="3"/>
      <c r="U41" s="3"/>
      <c r="V41" s="3"/>
      <c r="W41" s="3"/>
    </row>
    <row r="42" spans="1:23" ht="15.75" customHeight="1">
      <c r="A42" s="3"/>
      <c r="B42" s="160" t="s">
        <v>305</v>
      </c>
      <c r="C42" s="161">
        <f>+Print_Mois!$L$258</f>
        <v>-661.34000000000015</v>
      </c>
      <c r="D42" s="161">
        <f>+Print_Mois!$F$258</f>
        <v>0</v>
      </c>
      <c r="E42" s="161">
        <f>+Print_Mois!$Q$258</f>
        <v>-3746.4000000000015</v>
      </c>
      <c r="F42" s="162">
        <f t="shared" si="22"/>
        <v>-661.34000000000015</v>
      </c>
      <c r="G42" s="163">
        <f t="shared" si="23"/>
        <v>3085.0600000000013</v>
      </c>
      <c r="H42" s="165" t="str">
        <f t="shared" si="24"/>
        <v/>
      </c>
      <c r="I42" s="166">
        <f t="shared" si="25"/>
        <v>0.82347320093956866</v>
      </c>
      <c r="J42" s="1240"/>
      <c r="K42" s="3"/>
      <c r="L42" s="3"/>
      <c r="M42" s="3"/>
      <c r="N42" s="3"/>
      <c r="O42" s="3"/>
      <c r="P42" s="3"/>
      <c r="Q42" s="3"/>
      <c r="R42" s="3"/>
      <c r="S42" s="3"/>
      <c r="T42" s="3"/>
      <c r="U42" s="3"/>
      <c r="V42" s="3"/>
      <c r="W42" s="3"/>
    </row>
    <row r="43" spans="1:23" ht="15.75" customHeight="1">
      <c r="A43" s="3"/>
      <c r="B43" s="160" t="s">
        <v>306</v>
      </c>
      <c r="C43" s="161">
        <f>+Print_Mois!$L$284</f>
        <v>84289.700000000012</v>
      </c>
      <c r="D43" s="161">
        <f>+Print_Mois!$F$284</f>
        <v>0</v>
      </c>
      <c r="E43" s="161">
        <f>+Print_Mois!$Q$284</f>
        <v>108750.01</v>
      </c>
      <c r="F43" s="162">
        <f t="shared" si="22"/>
        <v>84289.700000000012</v>
      </c>
      <c r="G43" s="163">
        <f t="shared" si="23"/>
        <v>-24460.309999999983</v>
      </c>
      <c r="H43" s="165" t="str">
        <f t="shared" si="24"/>
        <v/>
      </c>
      <c r="I43" s="166">
        <f t="shared" si="25"/>
        <v>-0.22492237012208077</v>
      </c>
      <c r="J43" s="1240"/>
      <c r="K43" s="3"/>
      <c r="L43" s="3"/>
      <c r="M43" s="3"/>
      <c r="N43" s="3"/>
      <c r="O43" s="3"/>
      <c r="P43" s="3"/>
      <c r="Q43" s="3"/>
      <c r="R43" s="3"/>
      <c r="S43" s="3"/>
      <c r="T43" s="3"/>
      <c r="U43" s="3"/>
      <c r="V43" s="3"/>
      <c r="W43" s="3"/>
    </row>
    <row r="44" spans="1:23" ht="15.75" customHeight="1">
      <c r="A44" s="3"/>
      <c r="B44" s="176" t="s">
        <v>307</v>
      </c>
      <c r="C44" s="161">
        <f>+SUM(Print_Mois!$L$272:$L$278)</f>
        <v>46582.84</v>
      </c>
      <c r="D44" s="161">
        <f>+SUM(Print_Mois!$F$272:$F$278)</f>
        <v>0</v>
      </c>
      <c r="E44" s="161">
        <f>+SUM(Print_Mois!$Q$272:$Q$278)</f>
        <v>62198.410000000011</v>
      </c>
      <c r="F44" s="162">
        <f t="shared" si="22"/>
        <v>46582.84</v>
      </c>
      <c r="G44" s="163">
        <f t="shared" si="23"/>
        <v>-15615.570000000014</v>
      </c>
      <c r="H44" s="165" t="str">
        <f t="shared" si="24"/>
        <v/>
      </c>
      <c r="I44" s="166">
        <f t="shared" si="25"/>
        <v>-0.25106059785129575</v>
      </c>
      <c r="J44" s="1240"/>
      <c r="K44" s="3"/>
      <c r="L44" s="3"/>
      <c r="M44" s="3"/>
      <c r="N44" s="3"/>
      <c r="O44" s="3"/>
      <c r="P44" s="3"/>
      <c r="Q44" s="3"/>
      <c r="R44" s="3"/>
      <c r="S44" s="3"/>
      <c r="T44" s="3"/>
      <c r="U44" s="3"/>
      <c r="V44" s="3"/>
      <c r="W44" s="3"/>
    </row>
    <row r="45" spans="1:23" ht="14.4">
      <c r="A45" s="3"/>
      <c r="B45" s="176" t="s">
        <v>308</v>
      </c>
      <c r="C45" s="161">
        <f>+SUM(Print_Mois!$L$279:$L$283)</f>
        <v>37706.86</v>
      </c>
      <c r="D45" s="161">
        <f>+SUM(Print_Mois!$F$279:$F$283)</f>
        <v>0</v>
      </c>
      <c r="E45" s="161">
        <f>+SUM(Print_Mois!$Q$279:$Q$283)</f>
        <v>46551.599999999991</v>
      </c>
      <c r="F45" s="162">
        <f t="shared" si="22"/>
        <v>37706.86</v>
      </c>
      <c r="G45" s="163">
        <f t="shared" si="23"/>
        <v>-8844.7399999999907</v>
      </c>
      <c r="H45" s="165" t="str">
        <f t="shared" si="24"/>
        <v/>
      </c>
      <c r="I45" s="166">
        <f t="shared" si="25"/>
        <v>-0.18999862518151883</v>
      </c>
      <c r="J45" s="1240"/>
      <c r="K45" s="3"/>
      <c r="L45" s="3"/>
      <c r="M45" s="3"/>
      <c r="N45" s="3"/>
      <c r="O45" s="3"/>
      <c r="P45" s="3"/>
      <c r="Q45" s="3"/>
      <c r="R45" s="3"/>
      <c r="S45" s="3"/>
      <c r="T45" s="3"/>
      <c r="U45" s="3"/>
      <c r="V45" s="3"/>
      <c r="W45" s="3"/>
    </row>
    <row r="46" spans="1:23" ht="14.4">
      <c r="A46" s="3"/>
      <c r="B46" s="160" t="s">
        <v>309</v>
      </c>
      <c r="C46" s="164">
        <f t="shared" ref="C46:E46" si="26">+C43/C38</f>
        <v>0.38336360668891589</v>
      </c>
      <c r="D46" s="164" t="e">
        <f t="shared" si="26"/>
        <v>#DIV/0!</v>
      </c>
      <c r="E46" s="164">
        <f t="shared" si="26"/>
        <v>0.42015828471893141</v>
      </c>
      <c r="F46" s="167" t="str">
        <f t="shared" si="22"/>
        <v/>
      </c>
      <c r="G46" s="168">
        <f t="shared" si="23"/>
        <v>-3.6794678030015515E-2</v>
      </c>
      <c r="H46" s="165" t="str">
        <f t="shared" si="24"/>
        <v/>
      </c>
      <c r="I46" s="166">
        <f t="shared" si="25"/>
        <v>-8.7573372627008039E-2</v>
      </c>
      <c r="J46" s="1240"/>
      <c r="K46" s="3"/>
      <c r="L46" s="3"/>
      <c r="M46" s="3"/>
      <c r="N46" s="3"/>
      <c r="O46" s="3"/>
      <c r="P46" s="3"/>
      <c r="Q46" s="3"/>
      <c r="R46" s="3"/>
      <c r="S46" s="3"/>
      <c r="T46" s="3"/>
      <c r="U46" s="3"/>
      <c r="V46" s="3"/>
      <c r="W46" s="3"/>
    </row>
    <row r="47" spans="1:23" ht="14.4">
      <c r="A47" s="3"/>
      <c r="B47" s="200" t="s">
        <v>127</v>
      </c>
      <c r="C47" s="179">
        <f>+Print_Mois!$L$287</f>
        <v>14194.269999999999</v>
      </c>
      <c r="D47" s="179">
        <f>+Print_Mois!$F$287</f>
        <v>0</v>
      </c>
      <c r="E47" s="179">
        <f>+Print_Mois!$Q$287</f>
        <v>-13474.449999999997</v>
      </c>
      <c r="F47" s="180">
        <f t="shared" si="22"/>
        <v>14194.269999999999</v>
      </c>
      <c r="G47" s="181">
        <f t="shared" si="23"/>
        <v>27668.719999999994</v>
      </c>
      <c r="H47" s="182" t="str">
        <f t="shared" si="24"/>
        <v/>
      </c>
      <c r="I47" s="183">
        <f t="shared" si="25"/>
        <v>2.0534211043864499</v>
      </c>
      <c r="J47" s="124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407765.25</v>
      </c>
      <c r="D50" s="195">
        <f>+Print_Mois!$D$390</f>
        <v>0</v>
      </c>
      <c r="E50" s="195">
        <f>+Print_Mois!$O$390</f>
        <v>328695.40999999997</v>
      </c>
      <c r="F50" s="196">
        <f t="shared" ref="F50:F59" si="27">+IFERROR($C50-D50,"")</f>
        <v>407765.25</v>
      </c>
      <c r="G50" s="197">
        <f t="shared" ref="G50:G59" si="28">+IFERROR($C50-E50,"")</f>
        <v>79069.840000000026</v>
      </c>
      <c r="H50" s="158" t="str">
        <f t="shared" ref="H50:H59" si="29">+IFERROR(F50/ABS($D50),"")</f>
        <v/>
      </c>
      <c r="I50" s="159">
        <f t="shared" ref="I50:I59" si="30">+IFERROR(G50/ABS($E50),"")</f>
        <v>0.24055656876985301</v>
      </c>
      <c r="J50" s="1239" t="s">
        <v>1091</v>
      </c>
      <c r="K50" s="3"/>
      <c r="L50" s="3"/>
      <c r="M50" s="3"/>
      <c r="N50" s="3"/>
      <c r="O50" s="3"/>
      <c r="P50" s="3"/>
      <c r="Q50" s="3"/>
      <c r="R50" s="3"/>
      <c r="S50" s="3"/>
      <c r="T50" s="3"/>
      <c r="U50" s="3"/>
      <c r="V50" s="3"/>
      <c r="W50" s="3"/>
    </row>
    <row r="51" spans="1:23" ht="15.75" customHeight="1">
      <c r="A51" s="3"/>
      <c r="B51" s="176" t="s">
        <v>311</v>
      </c>
      <c r="C51" s="161">
        <f>+Print_Mois!$J$371</f>
        <v>60893.31</v>
      </c>
      <c r="D51" s="161">
        <f>+Print_Mois!$D$371</f>
        <v>0</v>
      </c>
      <c r="E51" s="161">
        <f>+Print_Mois!$O$371</f>
        <v>50774.790000000037</v>
      </c>
      <c r="F51" s="162">
        <f t="shared" si="27"/>
        <v>60893.31</v>
      </c>
      <c r="G51" s="163">
        <f t="shared" si="28"/>
        <v>10118.51999999996</v>
      </c>
      <c r="H51" s="165" t="str">
        <f t="shared" si="29"/>
        <v/>
      </c>
      <c r="I51" s="166">
        <f t="shared" si="30"/>
        <v>0.19928236039971711</v>
      </c>
      <c r="J51" s="1240"/>
      <c r="K51" s="3"/>
      <c r="L51" s="3"/>
      <c r="M51" s="3"/>
      <c r="N51" s="3"/>
      <c r="O51" s="3"/>
      <c r="P51" s="3"/>
      <c r="Q51" s="3"/>
      <c r="R51" s="3"/>
      <c r="S51" s="3"/>
      <c r="T51" s="3"/>
      <c r="U51" s="3"/>
      <c r="V51" s="3"/>
      <c r="W51" s="3"/>
    </row>
    <row r="52" spans="1:23" ht="15.75" customHeight="1">
      <c r="A52" s="3"/>
      <c r="B52" s="176" t="s">
        <v>312</v>
      </c>
      <c r="C52" s="161">
        <f>+Print_Mois!$J$373</f>
        <v>90257.47000000003</v>
      </c>
      <c r="D52" s="161">
        <f>+Print_Mois!$D$373</f>
        <v>0</v>
      </c>
      <c r="E52" s="161">
        <f>+Print_Mois!$O$373</f>
        <v>65686.729999999981</v>
      </c>
      <c r="F52" s="162">
        <f t="shared" si="27"/>
        <v>90257.47000000003</v>
      </c>
      <c r="G52" s="163">
        <f t="shared" si="28"/>
        <v>24570.740000000049</v>
      </c>
      <c r="H52" s="165" t="str">
        <f t="shared" si="29"/>
        <v/>
      </c>
      <c r="I52" s="166">
        <f t="shared" si="30"/>
        <v>0.37405941808946885</v>
      </c>
      <c r="J52" s="1240"/>
      <c r="K52" s="3"/>
      <c r="L52" s="3"/>
      <c r="M52" s="3"/>
      <c r="N52" s="3"/>
      <c r="O52" s="3"/>
      <c r="P52" s="3"/>
      <c r="Q52" s="3"/>
      <c r="R52" s="3"/>
      <c r="S52" s="3"/>
      <c r="T52" s="3"/>
      <c r="U52" s="3"/>
      <c r="V52" s="3"/>
      <c r="W52" s="3"/>
    </row>
    <row r="53" spans="1:23" ht="15.75" customHeight="1">
      <c r="A53" s="3"/>
      <c r="B53" s="176" t="s">
        <v>313</v>
      </c>
      <c r="C53" s="161">
        <f>+Print_Mois!$J$376</f>
        <v>124633.58999999997</v>
      </c>
      <c r="D53" s="161">
        <f>+Print_Mois!$D$376</f>
        <v>0</v>
      </c>
      <c r="E53" s="161">
        <f>+Print_Mois!$O$376</f>
        <v>125132.81999999995</v>
      </c>
      <c r="F53" s="162">
        <f t="shared" si="27"/>
        <v>124633.58999999997</v>
      </c>
      <c r="G53" s="163">
        <f t="shared" si="28"/>
        <v>-499.22999999998137</v>
      </c>
      <c r="H53" s="165" t="str">
        <f t="shared" si="29"/>
        <v/>
      </c>
      <c r="I53" s="166">
        <f t="shared" si="30"/>
        <v>-3.9896008097634302E-3</v>
      </c>
      <c r="J53" s="1240"/>
      <c r="K53" s="3"/>
      <c r="L53" s="3"/>
      <c r="M53" s="3"/>
      <c r="N53" s="3"/>
      <c r="O53" s="3"/>
      <c r="P53" s="3"/>
      <c r="Q53" s="3"/>
      <c r="R53" s="3"/>
      <c r="S53" s="3"/>
      <c r="T53" s="3"/>
      <c r="U53" s="3"/>
      <c r="V53" s="3"/>
      <c r="W53" s="3"/>
    </row>
    <row r="54" spans="1:23" ht="15.75" customHeight="1">
      <c r="A54" s="3"/>
      <c r="B54" s="176" t="s">
        <v>314</v>
      </c>
      <c r="C54" s="161">
        <f>+Print_Mois!$J$383</f>
        <v>18632.909999999989</v>
      </c>
      <c r="D54" s="161">
        <f>+Print_Mois!$D$383</f>
        <v>0</v>
      </c>
      <c r="E54" s="161">
        <f>+Print_Mois!$O$383</f>
        <v>3313.4199999999983</v>
      </c>
      <c r="F54" s="162">
        <f t="shared" si="27"/>
        <v>18632.909999999989</v>
      </c>
      <c r="G54" s="163">
        <f t="shared" si="28"/>
        <v>15319.489999999991</v>
      </c>
      <c r="H54" s="165" t="str">
        <f t="shared" si="29"/>
        <v/>
      </c>
      <c r="I54" s="166">
        <f t="shared" si="30"/>
        <v>4.6234675954150086</v>
      </c>
      <c r="J54" s="1240"/>
      <c r="K54" s="3"/>
      <c r="L54" s="3"/>
      <c r="M54" s="3"/>
      <c r="N54" s="3"/>
      <c r="O54" s="3"/>
      <c r="P54" s="3"/>
      <c r="Q54" s="3"/>
      <c r="R54" s="3"/>
      <c r="S54" s="3"/>
      <c r="T54" s="3"/>
      <c r="U54" s="3"/>
      <c r="V54" s="3"/>
      <c r="W54" s="3"/>
    </row>
    <row r="55" spans="1:23" ht="15.75" customHeight="1">
      <c r="A55" s="3"/>
      <c r="B55" s="176" t="s">
        <v>315</v>
      </c>
      <c r="C55" s="161">
        <f t="shared" ref="C55:E55" si="31">+C50-SUM(C51:C54)</f>
        <v>113347.97000000003</v>
      </c>
      <c r="D55" s="161">
        <f t="shared" si="31"/>
        <v>0</v>
      </c>
      <c r="E55" s="161">
        <f t="shared" si="31"/>
        <v>83787.650000000023</v>
      </c>
      <c r="F55" s="162">
        <f t="shared" si="27"/>
        <v>113347.97000000003</v>
      </c>
      <c r="G55" s="163">
        <f t="shared" si="28"/>
        <v>29560.320000000007</v>
      </c>
      <c r="H55" s="165" t="str">
        <f t="shared" si="29"/>
        <v/>
      </c>
      <c r="I55" s="166">
        <f t="shared" si="30"/>
        <v>0.35280044254732051</v>
      </c>
      <c r="J55" s="1240"/>
      <c r="K55" s="3"/>
      <c r="L55" s="3"/>
      <c r="M55" s="3"/>
      <c r="N55" s="3"/>
      <c r="O55" s="3"/>
      <c r="P55" s="3"/>
      <c r="Q55" s="3"/>
      <c r="R55" s="3"/>
      <c r="S55" s="3"/>
      <c r="T55" s="3"/>
      <c r="U55" s="3"/>
      <c r="V55" s="3"/>
      <c r="W55" s="3"/>
    </row>
    <row r="56" spans="1:23" ht="15.75" customHeight="1">
      <c r="A56" s="3"/>
      <c r="B56" s="154" t="s">
        <v>302</v>
      </c>
      <c r="C56" s="195">
        <f>+Print_Mois!$L$390</f>
        <v>105841.98999999996</v>
      </c>
      <c r="D56" s="195">
        <f>+Print_Mois!$F$390</f>
        <v>0</v>
      </c>
      <c r="E56" s="195">
        <f>+Print_Mois!$Q$390</f>
        <v>84015.389999999941</v>
      </c>
      <c r="F56" s="196">
        <f t="shared" si="27"/>
        <v>105841.98999999996</v>
      </c>
      <c r="G56" s="197">
        <f t="shared" si="28"/>
        <v>21826.60000000002</v>
      </c>
      <c r="H56" s="198" t="str">
        <f t="shared" si="29"/>
        <v/>
      </c>
      <c r="I56" s="199">
        <f t="shared" si="30"/>
        <v>0.25979287842382254</v>
      </c>
      <c r="J56" s="1240"/>
      <c r="K56" s="3"/>
      <c r="L56" s="3"/>
      <c r="M56" s="3"/>
      <c r="N56" s="3"/>
      <c r="O56" s="3"/>
      <c r="P56" s="3"/>
      <c r="Q56" s="3"/>
      <c r="R56" s="3"/>
      <c r="S56" s="3"/>
      <c r="T56" s="3"/>
      <c r="U56" s="3"/>
      <c r="V56" s="3"/>
      <c r="W56" s="3"/>
    </row>
    <row r="57" spans="1:23" ht="15.75" customHeight="1">
      <c r="A57" s="3"/>
      <c r="B57" s="160" t="s">
        <v>303</v>
      </c>
      <c r="C57" s="161">
        <f>+Print_Mois!$J$371/Print_Mois!$J$246</f>
        <v>245.53754032258064</v>
      </c>
      <c r="D57" s="161" t="str">
        <f>+IFERROR(Print_Mois!$D$371/Print_Mois!$D$246,"")</f>
        <v/>
      </c>
      <c r="E57" s="161">
        <f>+Print_Mois!$O$371/Print_Mois!$O$246</f>
        <v>241.78471428571447</v>
      </c>
      <c r="F57" s="162" t="str">
        <f t="shared" si="27"/>
        <v/>
      </c>
      <c r="G57" s="163">
        <f t="shared" si="28"/>
        <v>3.7528260368661677</v>
      </c>
      <c r="H57" s="165" t="str">
        <f t="shared" si="29"/>
        <v/>
      </c>
      <c r="I57" s="166">
        <f t="shared" si="30"/>
        <v>1.5521353564276575E-2</v>
      </c>
      <c r="J57" s="1240"/>
      <c r="K57" s="3"/>
      <c r="L57" s="3"/>
      <c r="M57" s="3"/>
      <c r="N57" s="3"/>
      <c r="O57" s="3"/>
      <c r="P57" s="3"/>
      <c r="Q57" s="3"/>
      <c r="R57" s="3"/>
      <c r="S57" s="3"/>
      <c r="T57" s="3"/>
      <c r="U57" s="3"/>
      <c r="V57" s="3"/>
      <c r="W57" s="3"/>
    </row>
    <row r="58" spans="1:23" ht="15.75" customHeight="1">
      <c r="A58" s="3"/>
      <c r="B58" s="160" t="s">
        <v>304</v>
      </c>
      <c r="C58" s="161">
        <f>+Print_Mois!$J$373/Print_Mois!$J$249</f>
        <v>236.89624671916019</v>
      </c>
      <c r="D58" s="161" t="str">
        <f>+IFERROR(Print_Mois!$D$373/Print_Mois!$D$249,"")</f>
        <v/>
      </c>
      <c r="E58" s="161">
        <f>+Print_Mois!$O$373/Print_Mois!$O$249</f>
        <v>174.23535809018563</v>
      </c>
      <c r="F58" s="162" t="str">
        <f t="shared" si="27"/>
        <v/>
      </c>
      <c r="G58" s="163">
        <f t="shared" si="28"/>
        <v>62.660888628974561</v>
      </c>
      <c r="H58" s="165" t="str">
        <f t="shared" si="29"/>
        <v/>
      </c>
      <c r="I58" s="166">
        <f t="shared" si="30"/>
        <v>0.35963359742711226</v>
      </c>
      <c r="J58" s="1240"/>
      <c r="K58" s="3"/>
      <c r="L58" s="3"/>
      <c r="M58" s="3"/>
      <c r="N58" s="3"/>
      <c r="O58" s="3"/>
      <c r="P58" s="3"/>
      <c r="Q58" s="3"/>
      <c r="R58" s="3"/>
      <c r="S58" s="3"/>
      <c r="T58" s="3"/>
      <c r="U58" s="3"/>
      <c r="V58" s="3"/>
      <c r="W58" s="3"/>
    </row>
    <row r="59" spans="1:23" ht="15.75" customHeight="1">
      <c r="A59" s="3"/>
      <c r="B59" s="200" t="s">
        <v>118</v>
      </c>
      <c r="C59" s="179">
        <f>+Print_Mois!$L$396</f>
        <v>16762.869999999995</v>
      </c>
      <c r="D59" s="179">
        <f>+Print_Mois!$F$396</f>
        <v>0</v>
      </c>
      <c r="E59" s="179">
        <f>+Print_Mois!$Q$396</f>
        <v>18762.459999999992</v>
      </c>
      <c r="F59" s="180">
        <f t="shared" si="27"/>
        <v>16762.869999999995</v>
      </c>
      <c r="G59" s="181">
        <f t="shared" si="28"/>
        <v>-1999.5899999999965</v>
      </c>
      <c r="H59" s="182" t="str">
        <f t="shared" si="29"/>
        <v/>
      </c>
      <c r="I59" s="183">
        <f t="shared" si="30"/>
        <v>-0.10657397803912692</v>
      </c>
      <c r="J59" s="124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0.38981953319933388</v>
      </c>
      <c r="D62" s="164" t="e">
        <f>+Print_Mois!$Z$520/Print_Mois!$Z$494</f>
        <v>#REF!</v>
      </c>
      <c r="E62" s="164">
        <f>+Print_Mois!$AL$520/Print_Mois!$AL$494</f>
        <v>0.60739023210335641</v>
      </c>
      <c r="F62" s="167" t="str">
        <f t="shared" ref="F62:G67" si="32">+IFERROR($C62-D62,"")</f>
        <v/>
      </c>
      <c r="G62" s="168">
        <f t="shared" si="32"/>
        <v>-0.21757069890402253</v>
      </c>
      <c r="H62" s="165" t="str">
        <f t="shared" ref="H62:H67" si="33">+IFERROR(F62/ABS($D62),"")</f>
        <v/>
      </c>
      <c r="I62" s="166">
        <f t="shared" ref="I62:I67" si="34">+IFERROR(G62/ABS($E62),"")</f>
        <v>-0.35820579160548577</v>
      </c>
      <c r="J62" s="123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240"/>
      <c r="K63" s="3"/>
      <c r="L63" s="3"/>
      <c r="M63" s="3"/>
      <c r="N63" s="3"/>
      <c r="O63" s="3"/>
      <c r="P63" s="3"/>
      <c r="Q63" s="3"/>
      <c r="R63" s="3"/>
      <c r="S63" s="3"/>
      <c r="T63" s="3"/>
      <c r="U63" s="3"/>
      <c r="V63" s="3"/>
      <c r="W63" s="3"/>
    </row>
    <row r="64" spans="1:23" ht="15.75" customHeight="1">
      <c r="A64" s="3"/>
      <c r="B64" s="176" t="s">
        <v>319</v>
      </c>
      <c r="C64" s="161">
        <f>N17+Print_Mois!$AF$501+Print_Mois!$AF$521</f>
        <v>-77494.31</v>
      </c>
      <c r="D64" s="161">
        <f>+Print_Mois!$Z$501+Print_Mois!$Z$521</f>
        <v>0</v>
      </c>
      <c r="E64" s="161">
        <f>+Print_Mois!$AL$501+Print_Mois!$AL$521</f>
        <v>-114241.08</v>
      </c>
      <c r="F64" s="162">
        <f t="shared" si="32"/>
        <v>-77494.31</v>
      </c>
      <c r="G64" s="163">
        <f t="shared" si="32"/>
        <v>36746.770000000004</v>
      </c>
      <c r="H64" s="165" t="str">
        <f t="shared" si="33"/>
        <v/>
      </c>
      <c r="I64" s="166">
        <f t="shared" si="34"/>
        <v>0.32165986175901001</v>
      </c>
      <c r="J64" s="1240"/>
      <c r="K64" s="3"/>
      <c r="L64" s="3"/>
      <c r="M64" s="3"/>
      <c r="N64" s="3"/>
      <c r="O64" s="3"/>
      <c r="P64" s="3"/>
      <c r="Q64" s="3"/>
      <c r="R64" s="3"/>
      <c r="S64" s="3"/>
      <c r="T64" s="3"/>
      <c r="U64" s="3"/>
      <c r="V64" s="3"/>
      <c r="W64" s="3"/>
    </row>
    <row r="65" spans="1:23" ht="15.75" customHeight="1">
      <c r="A65" s="3"/>
      <c r="B65" s="176" t="s">
        <v>320</v>
      </c>
      <c r="C65" s="161">
        <f>+Print_Mois!$AF$539-Print_Mois!$AF$521</f>
        <v>140686.63999999998</v>
      </c>
      <c r="D65" s="161">
        <f>+Print_Mois!$Z$539-Print_Mois!$Z$521</f>
        <v>0</v>
      </c>
      <c r="E65" s="161">
        <f>+Print_Mois!$AL$539-Print_Mois!$AL$521</f>
        <v>112785.43999999997</v>
      </c>
      <c r="F65" s="162">
        <f t="shared" si="32"/>
        <v>140686.63999999998</v>
      </c>
      <c r="G65" s="163">
        <f t="shared" si="32"/>
        <v>27901.200000000012</v>
      </c>
      <c r="H65" s="165" t="str">
        <f t="shared" si="33"/>
        <v/>
      </c>
      <c r="I65" s="166">
        <f t="shared" si="34"/>
        <v>0.24738299553559412</v>
      </c>
      <c r="J65" s="1240"/>
      <c r="K65" s="3"/>
      <c r="L65" s="3"/>
      <c r="M65" s="3"/>
      <c r="N65" s="3"/>
      <c r="O65" s="3"/>
      <c r="P65" s="3"/>
      <c r="Q65" s="3"/>
      <c r="R65" s="3"/>
      <c r="S65" s="3"/>
      <c r="T65" s="3"/>
      <c r="U65" s="3"/>
      <c r="V65" s="3"/>
      <c r="W65" s="3"/>
    </row>
    <row r="66" spans="1:23" ht="15.75" customHeight="1">
      <c r="A66" s="3"/>
      <c r="B66" s="176" t="s">
        <v>321</v>
      </c>
      <c r="C66" s="161">
        <f>+Print_Mois!$AF$502</f>
        <v>64238.770000000019</v>
      </c>
      <c r="D66" s="161">
        <f>+Print_Mois!$Z$502</f>
        <v>0</v>
      </c>
      <c r="E66" s="161">
        <f>+Print_Mois!$AL$502</f>
        <v>156480.43000000002</v>
      </c>
      <c r="F66" s="162">
        <f t="shared" si="32"/>
        <v>64238.770000000019</v>
      </c>
      <c r="G66" s="163">
        <f t="shared" si="32"/>
        <v>-92241.66</v>
      </c>
      <c r="H66" s="165" t="str">
        <f t="shared" si="33"/>
        <v/>
      </c>
      <c r="I66" s="166">
        <f t="shared" si="34"/>
        <v>-0.589477291185869</v>
      </c>
      <c r="J66" s="1240"/>
      <c r="K66" s="3"/>
      <c r="L66" s="3"/>
      <c r="M66" s="3"/>
      <c r="N66" s="3"/>
      <c r="O66" s="3"/>
      <c r="P66" s="3"/>
      <c r="Q66" s="3"/>
      <c r="R66" s="3"/>
      <c r="S66" s="3"/>
      <c r="T66" s="3"/>
      <c r="U66" s="3"/>
      <c r="V66" s="3"/>
      <c r="W66" s="3"/>
    </row>
    <row r="67" spans="1:23" ht="14.4">
      <c r="A67" s="3"/>
      <c r="B67" s="178" t="s">
        <v>322</v>
      </c>
      <c r="C67" s="179">
        <f>+Print_Mois!$AF$568-C32-C15</f>
        <v>4532.5899999999965</v>
      </c>
      <c r="D67" s="179">
        <f>+Print_Mois!$Z$568-D32-D15</f>
        <v>0</v>
      </c>
      <c r="E67" s="179">
        <f>+Print_Mois!$AL$568-E32-E15</f>
        <v>96014.50999999998</v>
      </c>
      <c r="F67" s="180">
        <f t="shared" si="32"/>
        <v>4532.5899999999965</v>
      </c>
      <c r="G67" s="181">
        <f t="shared" si="32"/>
        <v>-91481.919999999984</v>
      </c>
      <c r="H67" s="182" t="str">
        <f t="shared" si="33"/>
        <v/>
      </c>
      <c r="I67" s="183">
        <f t="shared" si="34"/>
        <v>-0.95279265602667762</v>
      </c>
      <c r="J67" s="124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-50729.110000000044</v>
      </c>
      <c r="D70" s="161">
        <f>+Print_Mois!$Z$506-Print_Mois!$Z$502+Print_Mois!$Z$521+Print_Mois!$Z$522+Print_Mois!$Z$523</f>
        <v>0</v>
      </c>
      <c r="E70" s="161">
        <f>+Print_Mois!$AL$506-Print_Mois!$AL$502+Print_Mois!$AL$521+Print_Mois!$AL$522+Print_Mois!$AL$523</f>
        <v>-236002.01999999993</v>
      </c>
      <c r="F70" s="220">
        <f t="shared" ref="F70:G77" si="35">+IFERROR($C70-D70,"")</f>
        <v>-50729.110000000044</v>
      </c>
      <c r="G70" s="221">
        <f t="shared" si="35"/>
        <v>185272.90999999989</v>
      </c>
      <c r="H70" s="165" t="str">
        <f t="shared" ref="H70:H77" si="36">+IFERROR(F70/ABS($D70),"")</f>
        <v/>
      </c>
      <c r="I70" s="166">
        <f t="shared" ref="I70:I77" si="37">+IFERROR(G70/ABS($E70),"")</f>
        <v>0.78504798391132391</v>
      </c>
      <c r="J70" s="1239" t="s">
        <v>1092</v>
      </c>
      <c r="K70" s="3"/>
      <c r="L70" s="3"/>
      <c r="M70" s="3"/>
      <c r="N70" s="3"/>
      <c r="O70" s="3"/>
      <c r="P70" s="3"/>
      <c r="Q70" s="3"/>
      <c r="R70" s="3"/>
      <c r="S70" s="3"/>
      <c r="T70" s="3"/>
      <c r="U70" s="3"/>
      <c r="V70" s="3"/>
      <c r="W70" s="3"/>
    </row>
    <row r="71" spans="1:23" ht="15.75" customHeight="1">
      <c r="A71" s="3"/>
      <c r="B71" s="176" t="s">
        <v>325</v>
      </c>
      <c r="C71" s="164">
        <f>+C70/Print_Mois!$AF$494</f>
        <v>-7.4269027251925815E-2</v>
      </c>
      <c r="D71" s="164" t="e">
        <f>+D70/Print_Mois!$Z$494</f>
        <v>#REF!</v>
      </c>
      <c r="E71" s="164">
        <f>+E70/Print_Mois!$AL$494</f>
        <v>-0.29625030908308686</v>
      </c>
      <c r="F71" s="167" t="str">
        <f t="shared" si="35"/>
        <v/>
      </c>
      <c r="G71" s="168">
        <f t="shared" si="35"/>
        <v>0.22198128183116106</v>
      </c>
      <c r="H71" s="165" t="str">
        <f t="shared" si="36"/>
        <v/>
      </c>
      <c r="I71" s="166">
        <f t="shared" si="37"/>
        <v>0.74930312315354852</v>
      </c>
      <c r="J71" s="124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480635.48000000004</v>
      </c>
      <c r="D72" s="161">
        <f>+Print_Mois!$Z$553+Print_Mois!$Z$520+Print_Mois!$Z$524+Print_Mois!$Z$526+SUM(Print_Mois!$Z$527:$Z$535)+Print_Mois!$Z$525</f>
        <v>0</v>
      </c>
      <c r="E72" s="161">
        <f>+Print_Mois!$AL$553+Print_Mois!$AL$520+Print_Mois!$AL$524+Print_Mois!$AL$526+SUM(Print_Mois!$AL$527:$AL$535)+Print_Mois!$AL$525</f>
        <v>755499.54999999993</v>
      </c>
      <c r="F72" s="162">
        <f t="shared" si="35"/>
        <v>480635.48000000004</v>
      </c>
      <c r="G72" s="163">
        <f t="shared" si="35"/>
        <v>-274864.06999999989</v>
      </c>
      <c r="H72" s="165" t="str">
        <f t="shared" si="36"/>
        <v/>
      </c>
      <c r="I72" s="166">
        <f t="shared" si="37"/>
        <v>-0.36381764886557499</v>
      </c>
      <c r="J72" s="1240"/>
      <c r="K72" s="3"/>
      <c r="L72" s="3"/>
      <c r="M72" s="3"/>
      <c r="N72" s="3"/>
      <c r="O72" s="3"/>
      <c r="P72" s="3"/>
      <c r="Q72" s="3"/>
      <c r="R72" s="3"/>
      <c r="S72" s="3"/>
      <c r="T72" s="3"/>
      <c r="U72" s="3"/>
      <c r="V72" s="3"/>
      <c r="W72" s="3"/>
    </row>
    <row r="73" spans="1:23" ht="15.75" customHeight="1">
      <c r="A73" s="3"/>
      <c r="B73" s="176" t="s">
        <v>327</v>
      </c>
      <c r="C73" s="164">
        <f>+C72/Print_Mois!$AF$494</f>
        <v>0.70366559875311074</v>
      </c>
      <c r="D73" s="164" t="e">
        <f>+D72/Print_Mois!$Z$494</f>
        <v>#REF!</v>
      </c>
      <c r="E73" s="164">
        <f>+E72/Print_Mois!$AL$494</f>
        <v>0.94836889616297815</v>
      </c>
      <c r="F73" s="167" t="str">
        <f t="shared" si="35"/>
        <v/>
      </c>
      <c r="G73" s="168">
        <f t="shared" si="35"/>
        <v>-0.2447032974098674</v>
      </c>
      <c r="H73" s="165" t="str">
        <f t="shared" si="36"/>
        <v/>
      </c>
      <c r="I73" s="166">
        <f t="shared" si="37"/>
        <v>-0.25802543546073331</v>
      </c>
      <c r="J73" s="1240"/>
      <c r="K73" s="3"/>
      <c r="L73" s="3"/>
      <c r="M73" s="3"/>
      <c r="N73" s="3"/>
      <c r="O73" s="3"/>
      <c r="P73" s="3"/>
      <c r="Q73" s="3"/>
      <c r="R73" s="3"/>
      <c r="S73" s="3"/>
      <c r="T73" s="3"/>
      <c r="U73" s="3"/>
      <c r="V73" s="3"/>
      <c r="W73" s="3"/>
    </row>
    <row r="74" spans="1:23" ht="15.75" customHeight="1">
      <c r="A74" s="1"/>
      <c r="B74" s="206" t="s">
        <v>328</v>
      </c>
      <c r="C74" s="195">
        <f>+Print_Mois!$AF$570+Print_Mois!$AF$502</f>
        <v>309564.53000000276</v>
      </c>
      <c r="D74" s="195" t="e">
        <f>+Print_Mois!$Z$570+Print_Mois!$Z$502</f>
        <v>#REF!</v>
      </c>
      <c r="E74" s="195">
        <f>+Print_Mois!$AL$570+Print_Mois!$AL$502</f>
        <v>384030.80999999418</v>
      </c>
      <c r="F74" s="196" t="str">
        <f t="shared" si="35"/>
        <v/>
      </c>
      <c r="G74" s="197">
        <f t="shared" si="35"/>
        <v>-74466.279999991413</v>
      </c>
      <c r="H74" s="198" t="str">
        <f t="shared" si="36"/>
        <v/>
      </c>
      <c r="I74" s="199">
        <f t="shared" si="37"/>
        <v>-0.19390704615599083</v>
      </c>
      <c r="J74" s="1240"/>
      <c r="K74" s="1"/>
      <c r="L74" s="1"/>
      <c r="M74" s="1"/>
      <c r="N74" s="1"/>
      <c r="O74" s="1"/>
      <c r="P74" s="1"/>
      <c r="Q74" s="1"/>
      <c r="R74" s="1"/>
      <c r="S74" s="1"/>
      <c r="T74" s="1"/>
      <c r="U74" s="1"/>
      <c r="V74" s="1"/>
      <c r="W74" s="1"/>
    </row>
    <row r="75" spans="1:23" ht="15.75" customHeight="1">
      <c r="A75" s="3"/>
      <c r="B75" s="160" t="s">
        <v>329</v>
      </c>
      <c r="C75" s="222">
        <f>+C74/Print_Mois!$AF$493</f>
        <v>1.5647508887125395E-2</v>
      </c>
      <c r="D75" s="222" t="e">
        <f>+D74/Print_Mois!$Z$493</f>
        <v>#REF!</v>
      </c>
      <c r="E75" s="222">
        <f>+E74/Print_Mois!$AL$493</f>
        <v>1.262911147719905E-2</v>
      </c>
      <c r="F75" s="167" t="str">
        <f t="shared" si="35"/>
        <v/>
      </c>
      <c r="G75" s="168">
        <f t="shared" si="35"/>
        <v>3.0183974099263454E-3</v>
      </c>
      <c r="H75" s="165" t="str">
        <f t="shared" si="36"/>
        <v/>
      </c>
      <c r="I75" s="166">
        <f t="shared" si="37"/>
        <v>0.23900314882609472</v>
      </c>
      <c r="J75" s="1240"/>
      <c r="K75" s="3"/>
      <c r="L75" s="3"/>
      <c r="M75" s="3"/>
      <c r="N75" s="3"/>
      <c r="O75" s="3"/>
      <c r="P75" s="3"/>
      <c r="Q75" s="3"/>
      <c r="R75" s="3"/>
      <c r="S75" s="3"/>
      <c r="T75" s="3"/>
      <c r="U75" s="3"/>
      <c r="V75" s="3"/>
      <c r="W75" s="3"/>
    </row>
    <row r="76" spans="1:23" ht="15.75" customHeight="1">
      <c r="A76" s="1"/>
      <c r="B76" s="206" t="s">
        <v>330</v>
      </c>
      <c r="C76" s="195">
        <f>N9+Print_Mois!$AF$585</f>
        <v>228443.92000000275</v>
      </c>
      <c r="D76" s="195" t="e">
        <f>+Print_Mois!$Z$585</f>
        <v>#REF!</v>
      </c>
      <c r="E76" s="195">
        <f>+Print_Mois!$AL$585</f>
        <v>216764.14999999414</v>
      </c>
      <c r="F76" s="196" t="str">
        <f t="shared" si="35"/>
        <v/>
      </c>
      <c r="G76" s="197">
        <f t="shared" si="35"/>
        <v>11679.770000008604</v>
      </c>
      <c r="H76" s="198" t="str">
        <f t="shared" si="36"/>
        <v/>
      </c>
      <c r="I76" s="199">
        <f t="shared" si="37"/>
        <v>5.388238783954321E-2</v>
      </c>
      <c r="J76" s="1240"/>
      <c r="K76" s="1"/>
      <c r="L76" s="1"/>
      <c r="M76" s="1"/>
      <c r="N76" s="1"/>
      <c r="O76" s="1"/>
      <c r="P76" s="1"/>
      <c r="Q76" s="1"/>
      <c r="R76" s="1"/>
      <c r="S76" s="1"/>
      <c r="T76" s="1"/>
      <c r="U76" s="1"/>
      <c r="V76" s="1"/>
      <c r="W76" s="1"/>
    </row>
    <row r="77" spans="1:23" ht="15.75" customHeight="1">
      <c r="A77" s="3"/>
      <c r="B77" s="178" t="s">
        <v>331</v>
      </c>
      <c r="C77" s="223">
        <f>+C76/Print_Mois!$AF$493</f>
        <v>1.1547118361427822E-2</v>
      </c>
      <c r="D77" s="223" t="e">
        <f>+D76/Print_Mois!$Z$493</f>
        <v>#REF!</v>
      </c>
      <c r="E77" s="223">
        <f>+E76/Print_Mois!$AL$493</f>
        <v>7.1284348633649051E-3</v>
      </c>
      <c r="F77" s="224" t="str">
        <f t="shared" si="35"/>
        <v/>
      </c>
      <c r="G77" s="225">
        <f t="shared" si="35"/>
        <v>4.4186834980629169E-3</v>
      </c>
      <c r="H77" s="182" t="str">
        <f t="shared" si="36"/>
        <v/>
      </c>
      <c r="I77" s="183">
        <f t="shared" si="37"/>
        <v>0.61986727560236443</v>
      </c>
      <c r="J77" s="124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250039.53000000276</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251965.92000000275</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Juin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Juin 2026</v>
      </c>
      <c r="C87" s="671">
        <f>+C76</f>
        <v>228443.92000000275</v>
      </c>
      <c r="D87" s="662">
        <f>+Print_AAD!AF585</f>
        <v>1859715.9399999972</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Juin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Juin 2025</v>
      </c>
      <c r="C89" s="675">
        <f>+E76</f>
        <v>216764.14999999414</v>
      </c>
      <c r="D89" s="665">
        <f>+Print_AAD!AL585</f>
        <v>2313125.309999994</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opLeftCell="S530" zoomScale="80" zoomScaleNormal="80" workbookViewId="0">
      <selection activeCell="AN585" sqref="AN585"/>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1" max="21" width="11.59765625" style="1050"/>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Juin 2026</v>
      </c>
      <c r="T1" s="226" t="s">
        <v>333</v>
      </c>
      <c r="U1" s="1049"/>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244" t="s">
        <v>339</v>
      </c>
      <c r="E3" s="1245"/>
      <c r="F3" s="1246"/>
      <c r="G3" s="1249"/>
      <c r="H3" s="1245"/>
      <c r="I3" s="1246"/>
      <c r="J3" s="1249" t="s">
        <v>340</v>
      </c>
      <c r="K3" s="1245"/>
      <c r="L3" s="1246"/>
      <c r="M3" s="1249" t="s">
        <v>668</v>
      </c>
      <c r="N3" s="1246"/>
      <c r="O3" s="1244" t="s">
        <v>341</v>
      </c>
      <c r="P3" s="1245"/>
      <c r="Q3" s="1246"/>
      <c r="R3" s="1247" t="s">
        <v>670</v>
      </c>
      <c r="S3" s="1248"/>
      <c r="T3" s="38"/>
      <c r="U3" s="35"/>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5"/>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49"/>
      <c r="L5" s="286">
        <f>-SUMIFS(BV_Data_An_Cour!$AM:$AM,BV_Data_An_Cour!$AS:$AS,"Oui",BV_Data_An_Cour!$AP:$AP,$B5)</f>
        <v>11351720.910000004</v>
      </c>
      <c r="M5" s="242"/>
      <c r="N5" s="950"/>
      <c r="O5" s="238"/>
      <c r="P5" s="949"/>
      <c r="Q5" s="286">
        <f>-SUMIFS(BV_Data_An_Prec!$AM:$AM,BV_Data_An_Prec!$AS:$AS,"Oui",BV_Data_An_Prec!$AP:$AP,$B5)</f>
        <v>18754134.820000004</v>
      </c>
      <c r="R5" s="242"/>
      <c r="S5" s="962"/>
      <c r="T5" s="38"/>
      <c r="U5" s="35"/>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4210</v>
      </c>
      <c r="L6" s="266">
        <f>-SUMIFS(BV_Data_An_Cour!$AM:$AM,BV_Data_An_Cour!$AP:$AP,$B6,BV_Data_An_Cour!$AQ:$AQ,$C6,BV_Data_An_Cour!$AR:$AR,L$2)</f>
        <v>4210</v>
      </c>
      <c r="M6" s="245">
        <f t="shared" ref="M6:M12" si="1">J6-D6</f>
        <v>1</v>
      </c>
      <c r="N6" s="246">
        <f t="shared" ref="N6:N12" si="2">L6-F6</f>
        <v>4210</v>
      </c>
      <c r="O6" s="245">
        <f>SUMIFS(BV_Data_An_Prec!$AW:$AW,BV_Data_An_Prec!$AP:$AP,$B6,BV_Data_An_Prec!$AQ:$AQ,$C6,BV_Data_An_Prec!$AY:$AY,O$2)</f>
        <v>1</v>
      </c>
      <c r="P6" s="281">
        <f t="shared" ref="P6:P12" si="3">IF(O6=0,0,Q6/O6)</f>
        <v>8346.9300000000512</v>
      </c>
      <c r="Q6" s="266">
        <f>-SUMIFS(BV_Data_An_Prec!$AM:$AM,BV_Data_An_Prec!$AP:$AP,$B6,BV_Data_An_Prec!$AQ:$AQ,$C6,BV_Data_An_Prec!$AR:$AR,Q$2)</f>
        <v>8346.9300000000512</v>
      </c>
      <c r="R6" s="245">
        <f>J6-O6</f>
        <v>0</v>
      </c>
      <c r="S6" s="266">
        <f>L6-Q6</f>
        <v>-4136.9300000000512</v>
      </c>
      <c r="T6" s="38"/>
      <c r="U6" s="35"/>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27</v>
      </c>
      <c r="K7" s="281">
        <f t="shared" si="0"/>
        <v>2253.3266666666887</v>
      </c>
      <c r="L7" s="266">
        <f>-SUMIFS(BV_Data_An_Cour!$AM:$AM,BV_Data_An_Cour!$AP:$AP,$B7,BV_Data_An_Cour!$AQ:$AQ,$C7,BV_Data_An_Cour!$AR:$AR,L$2)</f>
        <v>60839.820000000589</v>
      </c>
      <c r="M7" s="245">
        <f t="shared" si="1"/>
        <v>27</v>
      </c>
      <c r="N7" s="246">
        <f t="shared" si="2"/>
        <v>60839.820000000589</v>
      </c>
      <c r="O7" s="245">
        <f>SUMIFS(BV_Data_An_Prec!$AW:$AW,BV_Data_An_Prec!$AP:$AP,$B7,BV_Data_An_Prec!$AQ:$AQ,$C7,BV_Data_An_Prec!$AY:$AY,O$2)</f>
        <v>51</v>
      </c>
      <c r="P7" s="281">
        <f t="shared" si="3"/>
        <v>3175.1990196078223</v>
      </c>
      <c r="Q7" s="266">
        <f>-SUMIFS(BV_Data_An_Prec!$AM:$AM,BV_Data_An_Prec!$AP:$AP,$B7,BV_Data_An_Prec!$AQ:$AQ,$C7,BV_Data_An_Prec!$AR:$AR,Q$2)</f>
        <v>161935.14999999895</v>
      </c>
      <c r="R7" s="245">
        <f>J7-O7</f>
        <v>-24</v>
      </c>
      <c r="S7" s="266">
        <f>L7-Q7</f>
        <v>-101095.32999999836</v>
      </c>
      <c r="T7" s="38"/>
      <c r="U7" s="35"/>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5"/>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3133</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8</v>
      </c>
      <c r="K9" s="281">
        <f t="shared" si="0"/>
        <v>1021.3512499999997</v>
      </c>
      <c r="L9" s="266">
        <f>-SUMIFS(BV_Data_An_Cour!$AM:$AM,BV_Data_An_Cour!$AP:$AP,$B9,BV_Data_An_Cour!$AQ:$AQ,$C9,BV_Data_An_Cour!$AR:$AR,L$2)</f>
        <v>8170.8099999999977</v>
      </c>
      <c r="M9" s="245">
        <f t="shared" si="1"/>
        <v>8</v>
      </c>
      <c r="N9" s="246">
        <f t="shared" si="2"/>
        <v>8170.8099999999977</v>
      </c>
      <c r="O9" s="245">
        <f>SUMIFS(BV_Data_An_Prec!$AW:$AW,BV_Data_An_Prec!$AP:$AP,$B9,BV_Data_An_Prec!$AQ:$AQ,$C9,BV_Data_An_Prec!$AY:$AY,O$2)</f>
        <v>25</v>
      </c>
      <c r="P9" s="281">
        <f t="shared" si="3"/>
        <v>800.72120000001041</v>
      </c>
      <c r="Q9" s="266">
        <f>-SUMIFS(BV_Data_An_Prec!$AM:$AM,BV_Data_An_Prec!$AP:$AP,$B9,BV_Data_An_Prec!$AQ:$AQ,$C9,BV_Data_An_Prec!$AR:$AR,Q$2)</f>
        <v>20018.030000000261</v>
      </c>
      <c r="R9" s="245">
        <f>J9-O9</f>
        <v>-17</v>
      </c>
      <c r="S9" s="266">
        <f t="shared" ref="S9:S12" si="5">L9-Q9</f>
        <v>-11847.220000000263</v>
      </c>
      <c r="T9" s="38"/>
      <c r="U9" s="35"/>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5"/>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5"/>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5"/>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36</v>
      </c>
      <c r="K13" s="355">
        <f>IF(J13&lt;=0,0,L13/J13)</f>
        <v>2033.9063888889052</v>
      </c>
      <c r="L13" s="356">
        <f>+SUM(L6:L12)</f>
        <v>73220.630000000587</v>
      </c>
      <c r="M13" s="252">
        <f>+SUM(M6:M12)</f>
        <v>36</v>
      </c>
      <c r="N13" s="251">
        <f>+SUM(N6:N12)</f>
        <v>73220.630000000587</v>
      </c>
      <c r="O13" s="252">
        <f>+SUM(O6:O12)</f>
        <v>77</v>
      </c>
      <c r="P13" s="355">
        <f>IF(O13&lt;=0,0,Q13/O13)</f>
        <v>2471.4299999999903</v>
      </c>
      <c r="Q13" s="356">
        <f>+SUM(Q6:Q12)</f>
        <v>190300.10999999926</v>
      </c>
      <c r="R13" s="252">
        <f>+SUM(R6:R12)</f>
        <v>-41</v>
      </c>
      <c r="S13" s="356">
        <f>+SUM(S6:S12)</f>
        <v>-117079.47999999867</v>
      </c>
      <c r="T13" s="38"/>
      <c r="U13" s="35"/>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1">
        <f>IF(F13=0,0,N13/F13)</f>
        <v>0</v>
      </c>
      <c r="O14" s="260"/>
      <c r="P14" s="305"/>
      <c r="Q14" s="343"/>
      <c r="R14" s="676">
        <f>R13/O13</f>
        <v>-0.53246753246753242</v>
      </c>
      <c r="S14" s="255">
        <f>IF(Q13=0,0,(S13/Q13))</f>
        <v>-0.61523600800860878</v>
      </c>
      <c r="T14" s="38"/>
      <c r="U14" s="35"/>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5"/>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121</v>
      </c>
      <c r="K17" s="281">
        <f>IF(J17=0,0,L17/J17)</f>
        <v>485.81099173555936</v>
      </c>
      <c r="L17" s="266">
        <f>-SUMIFS(BV_Data_An_Cour!$AM:$AM,BV_Data_An_Cour!$AP:$AP,$B17,BV_Data_An_Cour!$AQ:$AQ,$C17,BV_Data_An_Cour!$AR:$AR,L$2)</f>
        <v>58783.130000002682</v>
      </c>
      <c r="M17" s="257">
        <f>J17-D17</f>
        <v>121</v>
      </c>
      <c r="N17" s="246">
        <f>L17-F17</f>
        <v>58783.130000002682</v>
      </c>
      <c r="O17" s="257">
        <f>SUMIFS(BV_Data_An_Prec!$AW:$AW,BV_Data_An_Prec!$AP:$AP,$B17,BV_Data_An_Prec!$AQ:$AQ,$C17,BV_Data_An_Prec!$AY:$AY,O$2)</f>
        <v>230</v>
      </c>
      <c r="P17" s="281">
        <f>IF(O17=0,0,Q17/O17)</f>
        <v>576.99804347824795</v>
      </c>
      <c r="Q17" s="266">
        <f>-SUMIFS(BV_Data_An_Prec!$AM:$AM,BV_Data_An_Prec!$AP:$AP,$B17,BV_Data_An_Prec!$AQ:$AQ,$C17,BV_Data_An_Prec!$AR:$AR,Q$2)</f>
        <v>132709.54999999702</v>
      </c>
      <c r="R17" s="245">
        <f>J17-O17</f>
        <v>-109</v>
      </c>
      <c r="S17" s="266">
        <f>L17-Q17</f>
        <v>-73926.419999994338</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5"/>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5"/>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68.338055555555556</v>
      </c>
      <c r="L21" s="266">
        <f>-SUMIFS(BV_Data_An_Cour!$AM:$AM,BV_Data_An_Cour!$AP:$AP,$B21,BV_Data_An_Cour!$AQ:$AQ,$C21,BV_Data_An_Cour!$AR:$AR,L$2)</f>
        <v>2460.17</v>
      </c>
      <c r="M21" s="245"/>
      <c r="N21" s="246">
        <f>L21-F21</f>
        <v>2460.17</v>
      </c>
      <c r="O21" s="245"/>
      <c r="P21" s="281">
        <f>IF(O13=0,0,Q21/(O13+O15))</f>
        <v>6.3409090909090908</v>
      </c>
      <c r="Q21" s="266">
        <f>-SUMIFS(BV_Data_An_Prec!$AM:$AM,BV_Data_An_Prec!$AP:$AP,$B21,BV_Data_An_Prec!$AQ:$AQ,$C21,BV_Data_An_Prec!$AR:$AR,Q$2)</f>
        <v>488.25</v>
      </c>
      <c r="R21" s="267">
        <f>P21-K21</f>
        <v>-61.997146464646463</v>
      </c>
      <c r="S21" s="266">
        <f t="shared" ref="S21:S23" si="7">L21-Q21</f>
        <v>1971.92</v>
      </c>
      <c r="T21" s="38"/>
      <c r="U21" s="35"/>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1094.1269444444447</v>
      </c>
      <c r="L22" s="266">
        <f>-SUMIFS(BV_Data_An_Cour!$AM:$AM,BV_Data_An_Cour!$AP:$AP,$B22,BV_Data_An_Cour!$AQ:$AQ,$C22,BV_Data_An_Cour!$AR:$AR,L$2)</f>
        <v>39388.570000000007</v>
      </c>
      <c r="M22" s="245"/>
      <c r="N22" s="246">
        <f>L22-F22</f>
        <v>39388.570000000007</v>
      </c>
      <c r="O22" s="245"/>
      <c r="P22" s="281">
        <f>IF(O13=0,0,Q22/(O13+O15))</f>
        <v>636.3685714285715</v>
      </c>
      <c r="Q22" s="266">
        <f>-SUMIFS(BV_Data_An_Prec!$AM:$AM,BV_Data_An_Prec!$AP:$AP,$B22,BV_Data_An_Prec!$AQ:$AQ,$C22,BV_Data_An_Prec!$AR:$AR,Q$2)</f>
        <v>49000.380000000005</v>
      </c>
      <c r="R22" s="267">
        <f t="shared" ref="R22:R23" si="8">P22-K22</f>
        <v>-457.75837301587319</v>
      </c>
      <c r="S22" s="266">
        <f t="shared" si="7"/>
        <v>-9611.8099999999977</v>
      </c>
      <c r="T22" s="38"/>
      <c r="U22" s="35"/>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128.58388888888891</v>
      </c>
      <c r="L23" s="266">
        <f>-SUMIFS(BV_Data_An_Cour!$AM:$AM,BV_Data_An_Cour!$AP:$AP,$B23,BV_Data_An_Cour!$AQ:$AQ,$C23,BV_Data_An_Cour!$AR:$AR,L$2)</f>
        <v>4629.0200000000004</v>
      </c>
      <c r="M23" s="257"/>
      <c r="N23" s="246">
        <f>L23-F23</f>
        <v>4629.0200000000004</v>
      </c>
      <c r="O23" s="245"/>
      <c r="P23" s="281">
        <f>IF(O13=0,0,Q23/(O13+O15))</f>
        <v>73.922077922077918</v>
      </c>
      <c r="Q23" s="266">
        <f>-SUMIFS(BV_Data_An_Prec!$AM:$AM,BV_Data_An_Prec!$AP:$AP,$B23,BV_Data_An_Prec!$AQ:$AQ,$C23,BV_Data_An_Prec!$AR:$AR,Q$2)</f>
        <v>5692</v>
      </c>
      <c r="R23" s="267">
        <f t="shared" si="8"/>
        <v>-54.661810966810989</v>
      </c>
      <c r="S23" s="266">
        <f t="shared" si="7"/>
        <v>-1062.9799999999996</v>
      </c>
      <c r="T23" s="38"/>
      <c r="U23" s="35"/>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36</v>
      </c>
      <c r="K24" s="355">
        <f>IF(J24&lt;=0,0,L24/J24)</f>
        <v>1291.0488888888892</v>
      </c>
      <c r="L24" s="356">
        <f>L21+L22+L23</f>
        <v>46477.760000000009</v>
      </c>
      <c r="M24" s="265">
        <f>J24-D24</f>
        <v>36</v>
      </c>
      <c r="N24" s="251">
        <f>L24-F24</f>
        <v>46477.760000000009</v>
      </c>
      <c r="O24" s="252">
        <f>+O15+O13</f>
        <v>77</v>
      </c>
      <c r="P24" s="355">
        <f>IF(O24&lt;=0,0,Q24/O24)</f>
        <v>716.63155844155847</v>
      </c>
      <c r="Q24" s="356">
        <f>Q21+Q22+Q23</f>
        <v>55180.630000000005</v>
      </c>
      <c r="R24" s="337">
        <f>P24-K24</f>
        <v>-574.41733044733076</v>
      </c>
      <c r="S24" s="356">
        <f>L24-Q24</f>
        <v>-8702.8699999999953</v>
      </c>
      <c r="T24" s="38"/>
      <c r="U24" s="1051">
        <f>L24-L32</f>
        <v>30794.150000000009</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-0.15771603187567801</v>
      </c>
      <c r="T25" s="38"/>
      <c r="U25" s="35"/>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5"/>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157</v>
      </c>
      <c r="K27" s="269">
        <f>IF(J27&lt;=0,0,L27/J27)</f>
        <v>1136.8249681528871</v>
      </c>
      <c r="L27" s="271">
        <f>L13+L17+L24+L19+L15</f>
        <v>178481.52000000328</v>
      </c>
      <c r="M27" s="272">
        <f>J27-D27</f>
        <v>157</v>
      </c>
      <c r="N27" s="271">
        <f>L27-F27</f>
        <v>178481.52000000328</v>
      </c>
      <c r="O27" s="272">
        <f>+O13+O15+O17</f>
        <v>307</v>
      </c>
      <c r="P27" s="269">
        <f>IF(O27&lt;=0,0,Q27/O27)</f>
        <v>1231.8901954397274</v>
      </c>
      <c r="Q27" s="271">
        <f>Q13+Q17+Q24+Q19+Q15</f>
        <v>378190.28999999631</v>
      </c>
      <c r="R27" s="272">
        <f>J27-O27</f>
        <v>-150</v>
      </c>
      <c r="S27" s="271">
        <f>L27-Q27</f>
        <v>-199708.76999999303</v>
      </c>
      <c r="T27" s="38"/>
      <c r="U27" s="35"/>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5"/>
      <c r="L28" s="960"/>
      <c r="M28" s="276"/>
      <c r="N28" s="277"/>
      <c r="O28" s="273"/>
      <c r="P28" s="945"/>
      <c r="Q28" s="960"/>
      <c r="R28" s="276">
        <f>R27/O27</f>
        <v>-0.48859934853420195</v>
      </c>
      <c r="S28" s="326">
        <f>IF(Q27=0,0,S27/Q27)</f>
        <v>-0.5280642451184957</v>
      </c>
      <c r="T28" s="38"/>
      <c r="U28" s="35"/>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9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5"/>
      <c r="V30" s="38"/>
      <c r="W30" s="38"/>
      <c r="X30" s="38"/>
      <c r="Y30" s="38"/>
      <c r="Z30" s="38"/>
      <c r="AA30" s="38"/>
      <c r="AB30" s="38"/>
      <c r="AC30" s="38"/>
      <c r="AD30" s="38"/>
      <c r="AE30" s="38"/>
      <c r="AF30" s="38"/>
      <c r="AG30" s="38"/>
      <c r="AH30" s="38"/>
      <c r="AI30" s="38"/>
      <c r="AJ30" s="38"/>
      <c r="AK30" s="38"/>
      <c r="AL30" s="38"/>
      <c r="AM30" s="38"/>
      <c r="AN30" s="38"/>
    </row>
    <row r="31" spans="1:40" ht="20.399999999999999">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0.28724696932874527</v>
      </c>
      <c r="K31" s="281">
        <f>IF(L31=0,0,L31/J$24)</f>
        <v>1053.2688888888888</v>
      </c>
      <c r="L31" s="266">
        <f>SUMIFS(BV_Data_An_Cour!$AM:$AM,BV_Data_An_Cour!$AP:$AP,$B31,BV_Data_An_Cour!$AQ:$AQ,$C31,BV_Data_An_Cour!$AR:$AR,L$2)</f>
        <v>37917.679999999993</v>
      </c>
      <c r="M31" s="243"/>
      <c r="N31" s="266">
        <f t="shared" ref="N31:N53" si="10">L31-F31</f>
        <v>37917.679999999993</v>
      </c>
      <c r="O31" s="282">
        <f>Q31/(Q15+Q13+Q17)</f>
        <v>0.22361919454669207</v>
      </c>
      <c r="P31" s="281">
        <f>IF(Q31=0,0,Q31/O$24)</f>
        <v>938.06701298701341</v>
      </c>
      <c r="Q31" s="266">
        <f>SUMIFS(BV_Data_An_Prec!$AM:$AM,BV_Data_An_Prec!$AP:$AP,$B31,BV_Data_An_Prec!$AQ:$AQ,$C31,BV_Data_An_Prec!$AR:$AR,Q$2)</f>
        <v>72231.160000000033</v>
      </c>
      <c r="R31" s="243"/>
      <c r="S31" s="266">
        <f>L31-Q31</f>
        <v>-34313.48000000004</v>
      </c>
      <c r="T31" s="38"/>
      <c r="U31" s="35" t="s">
        <v>3358</v>
      </c>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0.33744332773352237</v>
      </c>
      <c r="K32" s="284">
        <f t="shared" ref="K32:K39" si="11">IF(L32=0,0,L32/J$24)</f>
        <v>435.65583333333336</v>
      </c>
      <c r="L32" s="266">
        <f>SUMIFS(BV_Data_An_Cour!$AM:$AM,BV_Data_An_Cour!$AP:$AP,$B32,BV_Data_An_Cour!$AQ:$AQ,$C32,BV_Data_An_Cour!$AR:$AR,L$2)</f>
        <v>15683.61</v>
      </c>
      <c r="M32" s="238"/>
      <c r="N32" s="286">
        <f t="shared" si="10"/>
        <v>15683.61</v>
      </c>
      <c r="O32" s="285">
        <f>Q32/Q24</f>
        <v>0.27978948409976456</v>
      </c>
      <c r="P32" s="284">
        <f t="shared" ref="P32:P39" si="12">IF(Q32=0,0,Q32/O$24)</f>
        <v>200.50597402597393</v>
      </c>
      <c r="Q32" s="286">
        <f>SUMIFS(BV_Data_An_Prec!$AM:$AM,BV_Data_An_Prec!$AP:$AP,$B32,BV_Data_An_Prec!$AQ:$AQ,$C32,BV_Data_An_Prec!$AR:$AR,Q$2)</f>
        <v>15438.959999999992</v>
      </c>
      <c r="R32" s="238"/>
      <c r="S32" s="286">
        <f t="shared" ref="S32:S39" si="13">L32-Q32</f>
        <v>244.65000000000873</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938.83416666666665</v>
      </c>
      <c r="L33" s="952">
        <f>SUMIFS(BV_Data_An_Cour!$AM:$AM,BV_Data_An_Cour!$AP:$AP,$B33,BV_Data_An_Cour!$AQ:$AQ,$C33,BV_Data_An_Cour!$AR:$AR,L$2)</f>
        <v>33798.03</v>
      </c>
      <c r="M33" s="243"/>
      <c r="N33" s="266">
        <f t="shared" si="10"/>
        <v>33798.03</v>
      </c>
      <c r="O33" s="243"/>
      <c r="P33" s="281">
        <f t="shared" si="12"/>
        <v>-69.217012987012993</v>
      </c>
      <c r="Q33" s="266">
        <f>SUMIFS(BV_Data_An_Prec!$AM:$AM,BV_Data_An_Prec!$AP:$AP,$B33,BV_Data_An_Prec!$AQ:$AQ,$C33,BV_Data_An_Prec!$AR:$AR,Q$2)</f>
        <v>-5329.71</v>
      </c>
      <c r="R33" s="243"/>
      <c r="S33" s="266">
        <f t="shared" si="13"/>
        <v>39127.74</v>
      </c>
      <c r="T33" s="38"/>
      <c r="U33" s="1052" t="s">
        <v>3366</v>
      </c>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162.03722222222223</v>
      </c>
      <c r="L34" s="266">
        <f>SUMIFS(BV_Data_An_Cour!$AM:$AM,BV_Data_An_Cour!$AP:$AP,$B34,BV_Data_An_Cour!$AQ:$AQ,$C34,BV_Data_An_Cour!$AR:$AR,L$2)</f>
        <v>5833.34</v>
      </c>
      <c r="M34" s="243"/>
      <c r="N34" s="266">
        <f t="shared" si="10"/>
        <v>5833.34</v>
      </c>
      <c r="O34" s="243"/>
      <c r="P34" s="281">
        <f t="shared" si="12"/>
        <v>1.1684415584415617</v>
      </c>
      <c r="Q34" s="266">
        <f>SUMIFS(BV_Data_An_Prec!$AM:$AM,BV_Data_An_Prec!$AP:$AP,$B34,BV_Data_An_Prec!$AQ:$AQ,$C34,BV_Data_An_Prec!$AR:$AR,Q$2)</f>
        <v>89.970000000000255</v>
      </c>
      <c r="R34" s="243"/>
      <c r="S34" s="266">
        <f t="shared" si="13"/>
        <v>5743.37</v>
      </c>
      <c r="T34" s="38"/>
      <c r="U34" s="1050" t="s">
        <v>3367</v>
      </c>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64.017222222222216</v>
      </c>
      <c r="L35" s="266">
        <f>SUMIFS(BV_Data_An_Cour!$AM:$AM,BV_Data_An_Cour!$AP:$AP,$B35,BV_Data_An_Cour!$AQ:$AQ,$C35,BV_Data_An_Cour!$AR:$AR,L$2)</f>
        <v>2304.62</v>
      </c>
      <c r="M35" s="238"/>
      <c r="N35" s="286">
        <f t="shared" si="10"/>
        <v>2304.62</v>
      </c>
      <c r="O35" s="238"/>
      <c r="P35" s="284">
        <f t="shared" si="12"/>
        <v>0</v>
      </c>
      <c r="Q35" s="286">
        <f>SUMIFS(BV_Data_An_Prec!$AM:$AM,BV_Data_An_Prec!$AP:$AP,$B35,BV_Data_An_Prec!$AQ:$AQ,$C35,BV_Data_An_Prec!$AR:$AR,Q$2)</f>
        <v>0</v>
      </c>
      <c r="R35" s="238"/>
      <c r="S35" s="286">
        <f t="shared" si="13"/>
        <v>2304.62</v>
      </c>
      <c r="T35" s="38"/>
      <c r="U35" s="1050" t="s">
        <v>3368</v>
      </c>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-2672.8619444444444</v>
      </c>
      <c r="L36" s="952">
        <f>SUMIFS(BV_Data_An_Cour!$AM:$AM,BV_Data_An_Cour!$AP:$AP,$B36,BV_Data_An_Cour!$AQ:$AQ,$C36,BV_Data_An_Cour!$AR:$AR,L$2)</f>
        <v>-96223.03</v>
      </c>
      <c r="M36" s="243"/>
      <c r="N36" s="266">
        <f t="shared" si="10"/>
        <v>-96223.03</v>
      </c>
      <c r="O36" s="243"/>
      <c r="P36" s="281">
        <f t="shared" si="12"/>
        <v>-1531.0558441558439</v>
      </c>
      <c r="Q36" s="266">
        <f>SUMIFS(BV_Data_An_Prec!$AM:$AM,BV_Data_An_Prec!$AP:$AP,$B36,BV_Data_An_Prec!$AQ:$AQ,$C36,BV_Data_An_Prec!$AR:$AR,Q$2)</f>
        <v>-117891.29999999999</v>
      </c>
      <c r="R36" s="243"/>
      <c r="S36" s="266">
        <f t="shared" si="13"/>
        <v>21668.26999999999</v>
      </c>
      <c r="T36" s="38"/>
      <c r="U36" s="1103" t="s">
        <v>3359</v>
      </c>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1074.9175000000007</v>
      </c>
      <c r="L37" s="266">
        <f>SUMIFS(BV_Data_An_Cour!$AM:$AM,BV_Data_An_Cour!$AP:$AP,$B37,BV_Data_An_Cour!$AQ:$AQ,$C37,BV_Data_An_Cour!$AR:$AR,L$2)</f>
        <v>38697.030000000028</v>
      </c>
      <c r="M37" s="243"/>
      <c r="N37" s="658">
        <f t="shared" si="10"/>
        <v>38697.030000000028</v>
      </c>
      <c r="O37" s="243"/>
      <c r="P37" s="281">
        <f t="shared" si="12"/>
        <v>1445.6687012987011</v>
      </c>
      <c r="Q37" s="266">
        <f>SUMIFS(BV_Data_An_Prec!$AM:$AM,BV_Data_An_Prec!$AP:$AP,$B37,BV_Data_An_Prec!$AQ:$AQ,$C37,BV_Data_An_Prec!$AR:$AR,Q$2)</f>
        <v>111316.48999999999</v>
      </c>
      <c r="R37" s="243"/>
      <c r="S37" s="266">
        <f t="shared" si="13"/>
        <v>-72619.459999999963</v>
      </c>
      <c r="T37" s="1050">
        <v>38697</v>
      </c>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3134</v>
      </c>
      <c r="D38" s="287"/>
      <c r="E38" s="281" t="e">
        <f t="shared" si="9"/>
        <v>#DIV/0!</v>
      </c>
      <c r="F38" s="244">
        <f>+INDEX('Budget original'!$A$2:$AO$501,MATCH($A38,'Budget original'!$A$2:$A$501,0),MATCH(F$2,'Budget original'!$A$2:$AO$2,0))</f>
        <v>0</v>
      </c>
      <c r="G38" s="288"/>
      <c r="H38" s="281"/>
      <c r="I38" s="244"/>
      <c r="J38" s="243"/>
      <c r="K38" s="281">
        <f t="shared" si="11"/>
        <v>-3340.8977777777795</v>
      </c>
      <c r="L38" s="266">
        <f>SUMIFS(BV_Data_An_Cour!$AM:$AM,BV_Data_An_Cour!$AP:$AP,$B38,BV_Data_An_Cour!$AQ:$AQ,$C38,BV_Data_An_Cour!$AR:$AR,L$2)</f>
        <v>-120272.32000000007</v>
      </c>
      <c r="M38" s="38"/>
      <c r="N38" s="266">
        <f t="shared" si="10"/>
        <v>-120272.32000000007</v>
      </c>
      <c r="O38" s="243"/>
      <c r="P38" s="281">
        <f t="shared" si="12"/>
        <v>-2696.9666233766225</v>
      </c>
      <c r="Q38" s="266">
        <f>SUMIFS(BV_Data_An_Prec!$AM:$AM,BV_Data_An_Prec!$AP:$AP,$B38,BV_Data_An_Prec!$AQ:$AQ,$C38,BV_Data_An_Prec!$AR:$AR,Q$2)</f>
        <v>-207666.42999999993</v>
      </c>
      <c r="R38" s="243"/>
      <c r="S38" s="266">
        <f t="shared" si="13"/>
        <v>87394.10999999987</v>
      </c>
      <c r="T38" s="35"/>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3135</v>
      </c>
      <c r="D39" s="287"/>
      <c r="E39" s="281" t="e">
        <f t="shared" si="9"/>
        <v>#DIV/0!</v>
      </c>
      <c r="F39" s="244">
        <f>+INDEX('Budget original'!$A$2:$AO$501,MATCH($A39,'Budget original'!$A$2:$A$501,0),MATCH(F$2,'Budget original'!$A$2:$AO$2,0))</f>
        <v>0</v>
      </c>
      <c r="G39" s="288"/>
      <c r="H39" s="281"/>
      <c r="I39" s="244"/>
      <c r="J39" s="243"/>
      <c r="K39" s="281">
        <f t="shared" si="11"/>
        <v>-385.40833333333325</v>
      </c>
      <c r="L39" s="266">
        <f>SUMIFS(BV_Data_An_Cour!$AM:$AM,BV_Data_An_Cour!$AP:$AP,$B39,BV_Data_An_Cour!$AQ:$AQ,$C39,BV_Data_An_Cour!$AR:$AR,L$2)</f>
        <v>-13874.699999999997</v>
      </c>
      <c r="M39" s="38"/>
      <c r="N39" s="266">
        <f t="shared" si="10"/>
        <v>-13874.699999999997</v>
      </c>
      <c r="O39" s="243"/>
      <c r="P39" s="281">
        <f t="shared" si="12"/>
        <v>0</v>
      </c>
      <c r="Q39" s="266">
        <f>SUMIFS(BV_Data_An_Prec!$AM:$AM,BV_Data_An_Prec!$AP:$AP,$B39,BV_Data_An_Prec!$AQ:$AQ,$C39,BV_Data_An_Prec!$AR:$AR,Q$2)</f>
        <v>0</v>
      </c>
      <c r="R39" s="243"/>
      <c r="S39" s="266">
        <f t="shared" si="13"/>
        <v>-13874.699999999997</v>
      </c>
      <c r="T39" s="35">
        <v>-13875</v>
      </c>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1">
        <f>SUMIFS(BV_Data_An_Cour!$AM:$AM,BV_Data_An_Cour!$AP:$AP,$B40,BV_Data_An_Cour!$AQ:$AQ,$C40,BV_Data_An_Cour!$AR:$AR,L$2)</f>
        <v>0</v>
      </c>
      <c r="M40" s="38"/>
      <c r="N40" s="266">
        <f t="shared" si="10"/>
        <v>0</v>
      </c>
      <c r="O40" s="243"/>
      <c r="P40" s="281">
        <f t="shared" ref="P40" si="15">IF(Q40=0,0,Q40/O$24)</f>
        <v>0</v>
      </c>
      <c r="Q40" s="961">
        <f>SUMIFS(BV_Data_An_Prec!$AM:$AM,BV_Data_An_Prec!$AP:$AP,$B40,BV_Data_An_Prec!$AQ:$AQ,$C40,BV_Data_An_Prec!$AR:$AR,Q$2)</f>
        <v>0</v>
      </c>
      <c r="R40" s="243"/>
      <c r="S40" s="266">
        <f t="shared" ref="S40:S53" si="16">L40-Q40</f>
        <v>0</v>
      </c>
      <c r="T40" s="38"/>
      <c r="U40" s="35"/>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-0.53863133841530642</v>
      </c>
      <c r="L41" s="294">
        <f>SUM(L31:L40)</f>
        <v>-96135.740000000049</v>
      </c>
      <c r="M41" s="296"/>
      <c r="N41" s="294">
        <f t="shared" si="10"/>
        <v>-96135.740000000049</v>
      </c>
      <c r="O41" s="295" t="s">
        <v>115</v>
      </c>
      <c r="P41" s="293">
        <f>Q41/Q$27</f>
        <v>-0.34853052414434332</v>
      </c>
      <c r="Q41" s="294">
        <f>SUM(Q31:Q40)</f>
        <v>-131810.85999999993</v>
      </c>
      <c r="R41" s="297"/>
      <c r="S41" s="294">
        <f t="shared" si="16"/>
        <v>35675.119999999879</v>
      </c>
      <c r="T41" s="38"/>
      <c r="U41" s="35"/>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10188.559999999998</v>
      </c>
      <c r="M42" s="243"/>
      <c r="N42" s="266">
        <f t="shared" si="10"/>
        <v>10188.559999999998</v>
      </c>
      <c r="O42" s="243"/>
      <c r="P42" s="38"/>
      <c r="Q42" s="281">
        <f>SUMIFS(BV_Data_An_Prec!$AM:$AM,BV_Data_An_Prec!$AP:$AP,$B42,BV_Data_An_Prec!$AQ:$AQ,$C42,BV_Data_An_Prec!$AR:$AR,Q$2)</f>
        <v>15314.929999999993</v>
      </c>
      <c r="R42" s="243"/>
      <c r="S42" s="266">
        <f t="shared" si="16"/>
        <v>-5126.3699999999953</v>
      </c>
      <c r="T42" s="38"/>
      <c r="U42" s="35"/>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10788.190000000002</v>
      </c>
      <c r="M43" s="243"/>
      <c r="N43" s="266">
        <f t="shared" si="10"/>
        <v>10788.190000000002</v>
      </c>
      <c r="O43" s="243"/>
      <c r="P43" s="38"/>
      <c r="Q43" s="286">
        <f>SUMIFS(BV_Data_An_Prec!$AM:$AM,BV_Data_An_Prec!$AP:$AP,$B43,BV_Data_An_Prec!$AQ:$AQ,$C43,BV_Data_An_Prec!$AR:$AR,Q$2)</f>
        <v>28653.08</v>
      </c>
      <c r="R43" s="243"/>
      <c r="S43" s="266">
        <f t="shared" si="16"/>
        <v>-17864.89</v>
      </c>
      <c r="T43" s="38"/>
      <c r="U43" s="35"/>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4530.5800000000017</v>
      </c>
      <c r="M44" s="233"/>
      <c r="N44" s="303">
        <f t="shared" si="10"/>
        <v>4530.5800000000017</v>
      </c>
      <c r="O44" s="233"/>
      <c r="P44" s="301"/>
      <c r="Q44" s="281">
        <f>SUMIFS(BV_Data_An_Prec!$AM:$AM,BV_Data_An_Prec!$AP:$AP,$B44,BV_Data_An_Prec!$AQ:$AQ,$C44,BV_Data_An_Prec!$AR:$AR,Q$2)</f>
        <v>512</v>
      </c>
      <c r="R44" s="233"/>
      <c r="S44" s="303">
        <f t="shared" si="16"/>
        <v>4018.5800000000017</v>
      </c>
      <c r="T44" s="38"/>
      <c r="U44" s="35"/>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5"/>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5"/>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5"/>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5"/>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7953.3400000000038</v>
      </c>
      <c r="M49" s="243"/>
      <c r="N49" s="266">
        <f t="shared" si="10"/>
        <v>7953.3400000000038</v>
      </c>
      <c r="O49" s="243"/>
      <c r="P49" s="38"/>
      <c r="Q49" s="286">
        <f>SUMIFS(BV_Data_An_Prec!$AM:$AM,BV_Data_An_Prec!$AP:$AP,$B49,BV_Data_An_Prec!$AQ:$AQ,$C49,BV_Data_An_Prec!$AR:$AR,Q$2)</f>
        <v>16033.969999999994</v>
      </c>
      <c r="R49" s="243"/>
      <c r="S49" s="266">
        <f t="shared" si="16"/>
        <v>-8080.6299999999901</v>
      </c>
      <c r="T49" s="38"/>
      <c r="U49" s="35"/>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9110.7899999999936</v>
      </c>
      <c r="M50" s="233"/>
      <c r="N50" s="303">
        <f t="shared" si="10"/>
        <v>9110.7899999999936</v>
      </c>
      <c r="O50" s="233"/>
      <c r="P50" s="301"/>
      <c r="Q50" s="281">
        <f>SUMIFS(BV_Data_An_Prec!$AM:$AM,BV_Data_An_Prec!$AP:$AP,$B50,BV_Data_An_Prec!$AQ:$AQ,$C50,BV_Data_An_Prec!$AR:$AR,Q$2)</f>
        <v>20776.449999999997</v>
      </c>
      <c r="R50" s="233"/>
      <c r="S50" s="303">
        <f t="shared" si="16"/>
        <v>-11665.660000000003</v>
      </c>
      <c r="T50" s="38"/>
      <c r="U50" s="35"/>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1680.130000000001</v>
      </c>
      <c r="M51" s="243"/>
      <c r="N51" s="266">
        <f t="shared" si="10"/>
        <v>1680.130000000001</v>
      </c>
      <c r="O51" s="243"/>
      <c r="P51" s="38"/>
      <c r="Q51" s="281">
        <f>SUMIFS(BV_Data_An_Prec!$AM:$AM,BV_Data_An_Prec!$AP:$AP,$B51,BV_Data_An_Prec!$AQ:$AQ,$C51,BV_Data_An_Prec!$AR:$AR,Q$2)</f>
        <v>5144.7200000000012</v>
      </c>
      <c r="R51" s="243"/>
      <c r="S51" s="266">
        <f t="shared" si="16"/>
        <v>-3464.59</v>
      </c>
      <c r="T51" s="38"/>
      <c r="U51" s="35"/>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3872.0200000000004</v>
      </c>
      <c r="M52" s="243"/>
      <c r="N52" s="266">
        <f t="shared" si="10"/>
        <v>3872.0200000000004</v>
      </c>
      <c r="O52" s="243"/>
      <c r="P52" s="38"/>
      <c r="Q52" s="281">
        <f>SUMIFS(BV_Data_An_Prec!$AM:$AM,BV_Data_An_Prec!$AP:$AP,$B52,BV_Data_An_Prec!$AQ:$AQ,$C52,BV_Data_An_Prec!$AR:$AR,Q$2)</f>
        <v>22.409999999999968</v>
      </c>
      <c r="R52" s="243"/>
      <c r="S52" s="266">
        <f t="shared" si="16"/>
        <v>3849.6100000000006</v>
      </c>
      <c r="T52" s="38"/>
      <c r="U52" s="35"/>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5"/>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0.26962797044757975</v>
      </c>
      <c r="L54" s="294">
        <f>+SUM(L42:L53)</f>
        <v>48123.61</v>
      </c>
      <c r="M54" s="296"/>
      <c r="N54" s="294">
        <f>+SUM(N42:N53)</f>
        <v>48123.61</v>
      </c>
      <c r="O54" s="295" t="s">
        <v>115</v>
      </c>
      <c r="P54" s="293">
        <f>Q54/Q$27</f>
        <v>0.22860861922182307</v>
      </c>
      <c r="Q54" s="294">
        <f>+SUM(Q42:Q53)</f>
        <v>86457.56</v>
      </c>
      <c r="R54" s="297"/>
      <c r="S54" s="294">
        <f>+SUM(S42:S53)</f>
        <v>-38333.949999999983</v>
      </c>
      <c r="T54" s="38"/>
      <c r="U54" s="35"/>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5"/>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5"/>
      <c r="V56" s="38"/>
      <c r="W56" s="38"/>
      <c r="X56" s="35"/>
      <c r="Y56" s="38"/>
      <c r="Z56" s="38"/>
      <c r="AA56" s="38"/>
      <c r="AB56" s="38"/>
      <c r="AC56" s="38"/>
      <c r="AD56" s="38"/>
      <c r="AE56" s="38"/>
      <c r="AF56" s="38"/>
      <c r="AG56" s="38"/>
      <c r="AH56" s="38"/>
      <c r="AI56" s="38"/>
      <c r="AJ56" s="38"/>
      <c r="AK56" s="38"/>
      <c r="AL56" s="38"/>
      <c r="AM56" s="38"/>
      <c r="AN56" s="38"/>
    </row>
    <row r="57" spans="1:40" ht="19.2"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7460.9200000000055</v>
      </c>
      <c r="M57" s="238"/>
      <c r="N57" s="286">
        <f t="shared" si="17"/>
        <v>7460.9200000000055</v>
      </c>
      <c r="O57" s="238"/>
      <c r="P57" s="304"/>
      <c r="Q57" s="286">
        <f>SUMIFS(BV_Data_An_Prec!$AM:$AM,BV_Data_An_Prec!$AP:$AP,$B57,BV_Data_An_Prec!$AQ:$AQ,$C57,BV_Data_An_Prec!$AR:$AR,Q$2)</f>
        <v>10868.730000000003</v>
      </c>
      <c r="R57" s="238"/>
      <c r="S57" s="286">
        <f t="shared" si="18"/>
        <v>-3407.8099999999977</v>
      </c>
      <c r="T57" s="305"/>
      <c r="U57" s="35"/>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2666.9699999999993</v>
      </c>
      <c r="M58" s="243"/>
      <c r="N58" s="266">
        <f t="shared" si="17"/>
        <v>2666.9699999999993</v>
      </c>
      <c r="O58" s="243"/>
      <c r="P58" s="38"/>
      <c r="Q58" s="266">
        <f>SUMIFS(BV_Data_An_Prec!$AM:$AM,BV_Data_An_Prec!$AP:$AP,$B58,BV_Data_An_Prec!$AQ:$AQ,$C58,BV_Data_An_Prec!$AR:$AR,Q$2)</f>
        <v>4324.2800000000025</v>
      </c>
      <c r="R58" s="243"/>
      <c r="S58" s="266">
        <f t="shared" si="18"/>
        <v>-1657.3100000000031</v>
      </c>
      <c r="T58" s="281"/>
      <c r="U58" s="35"/>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742.85000000000082</v>
      </c>
      <c r="M59" s="243"/>
      <c r="N59" s="266">
        <f t="shared" si="17"/>
        <v>742.85000000000082</v>
      </c>
      <c r="O59" s="243"/>
      <c r="P59" s="38"/>
      <c r="Q59" s="266">
        <f>SUMIFS(BV_Data_An_Prec!$AM:$AM,BV_Data_An_Prec!$AP:$AP,$B59,BV_Data_An_Prec!$AQ:$AQ,$C59,BV_Data_An_Prec!$AR:$AR,Q$2)</f>
        <v>1338.3600000000001</v>
      </c>
      <c r="R59" s="243"/>
      <c r="S59" s="266">
        <f t="shared" si="18"/>
        <v>-595.50999999999931</v>
      </c>
      <c r="T59" s="38"/>
      <c r="U59" s="35"/>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8577.1199999999972</v>
      </c>
      <c r="M60" s="238"/>
      <c r="N60" s="286">
        <f t="shared" si="17"/>
        <v>8577.1199999999972</v>
      </c>
      <c r="O60" s="238"/>
      <c r="P60" s="304"/>
      <c r="Q60" s="286">
        <f>SUMIFS(BV_Data_An_Prec!$AM:$AM,BV_Data_An_Prec!$AP:$AP,$B60,BV_Data_An_Prec!$AQ:$AQ,$C60,BV_Data_An_Prec!$AR:$AR,Q$2)</f>
        <v>8215.5500000000011</v>
      </c>
      <c r="R60" s="238"/>
      <c r="S60" s="286">
        <f t="shared" si="18"/>
        <v>361.56999999999607</v>
      </c>
      <c r="T60" s="38"/>
      <c r="U60" s="35"/>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803.29999999999973</v>
      </c>
      <c r="M61" s="243"/>
      <c r="N61" s="266">
        <f t="shared" si="17"/>
        <v>803.29999999999973</v>
      </c>
      <c r="O61" s="243"/>
      <c r="P61" s="38"/>
      <c r="Q61" s="266">
        <f>SUMIFS(BV_Data_An_Prec!$AM:$AM,BV_Data_An_Prec!$AP:$AP,$B61,BV_Data_An_Prec!$AQ:$AQ,$C61,BV_Data_An_Prec!$AR:$AR,Q$2)</f>
        <v>1499.5699999999997</v>
      </c>
      <c r="R61" s="243"/>
      <c r="S61" s="266">
        <f t="shared" si="18"/>
        <v>-696.27</v>
      </c>
      <c r="T61" s="38"/>
      <c r="U61" s="35"/>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5"/>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1266.8700000000008</v>
      </c>
      <c r="M63" s="243"/>
      <c r="N63" s="266">
        <f t="shared" si="17"/>
        <v>1266.8700000000008</v>
      </c>
      <c r="O63" s="243"/>
      <c r="P63" s="38"/>
      <c r="Q63" s="266">
        <f>SUMIFS(BV_Data_An_Prec!$AM:$AM,BV_Data_An_Prec!$AP:$AP,$B63,BV_Data_An_Prec!$AQ:$AQ,$C63,BV_Data_An_Prec!$AR:$AR,Q$2)</f>
        <v>3089.1000000000004</v>
      </c>
      <c r="R63" s="243"/>
      <c r="S63" s="266">
        <f t="shared" si="18"/>
        <v>-1822.2299999999996</v>
      </c>
      <c r="T63" s="38"/>
      <c r="U63" s="35"/>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335.32000000000016</v>
      </c>
      <c r="M64" s="243"/>
      <c r="N64" s="266">
        <f t="shared" si="17"/>
        <v>335.32000000000016</v>
      </c>
      <c r="O64" s="243"/>
      <c r="P64" s="38"/>
      <c r="Q64" s="266">
        <f>SUMIFS(BV_Data_An_Prec!$AM:$AM,BV_Data_An_Prec!$AP:$AP,$B64,BV_Data_An_Prec!$AQ:$AQ,$C64,BV_Data_An_Prec!$AR:$AR,Q$2)</f>
        <v>1054.0499999999993</v>
      </c>
      <c r="R64" s="243"/>
      <c r="S64" s="266">
        <f t="shared" si="18"/>
        <v>-718.72999999999911</v>
      </c>
      <c r="T64" s="38"/>
      <c r="U64" s="35"/>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1932.6999999999989</v>
      </c>
      <c r="M65" s="243"/>
      <c r="N65" s="266">
        <f t="shared" si="17"/>
        <v>1932.6999999999989</v>
      </c>
      <c r="O65" s="243"/>
      <c r="P65" s="38"/>
      <c r="Q65" s="266">
        <f>SUMIFS(BV_Data_An_Prec!$AM:$AM,BV_Data_An_Prec!$AP:$AP,$B65,BV_Data_An_Prec!$AQ:$AQ,$C65,BV_Data_An_Prec!$AR:$AR,Q$2)</f>
        <v>1264.19</v>
      </c>
      <c r="R65" s="243"/>
      <c r="S65" s="266">
        <f t="shared" si="18"/>
        <v>668.50999999999885</v>
      </c>
      <c r="T65" s="38"/>
      <c r="U65" s="35"/>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2716.3400000000011</v>
      </c>
      <c r="M66" s="243"/>
      <c r="N66" s="266">
        <f t="shared" si="17"/>
        <v>2716.3400000000011</v>
      </c>
      <c r="O66" s="243"/>
      <c r="P66" s="38"/>
      <c r="Q66" s="266">
        <f>SUMIFS(BV_Data_An_Prec!$AM:$AM,BV_Data_An_Prec!$AP:$AP,$B66,BV_Data_An_Prec!$AQ:$AQ,$C66,BV_Data_An_Prec!$AR:$AR,Q$2)</f>
        <v>9429.2899999999991</v>
      </c>
      <c r="R66" s="243"/>
      <c r="S66" s="266">
        <f t="shared" si="18"/>
        <v>-6712.949999999998</v>
      </c>
      <c r="T66" s="38"/>
      <c r="U66" s="35"/>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1075</v>
      </c>
      <c r="M67" s="243"/>
      <c r="N67" s="266">
        <f t="shared" si="17"/>
        <v>1075</v>
      </c>
      <c r="O67" s="243"/>
      <c r="P67" s="38"/>
      <c r="Q67" s="266">
        <f>SUMIFS(BV_Data_An_Prec!$AM:$AM,BV_Data_An_Prec!$AP:$AP,$B67,BV_Data_An_Prec!$AQ:$AQ,$C67,BV_Data_An_Prec!$AR:$AR,Q$2)</f>
        <v>665.02999999999975</v>
      </c>
      <c r="R67" s="243"/>
      <c r="S67" s="266">
        <f t="shared" si="18"/>
        <v>409.97000000000025</v>
      </c>
      <c r="T67" s="38"/>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1558.0700000000006</v>
      </c>
      <c r="M68" s="243"/>
      <c r="N68" s="658">
        <f t="shared" si="17"/>
        <v>1558.0700000000006</v>
      </c>
      <c r="O68" s="243"/>
      <c r="P68" s="38"/>
      <c r="Q68" s="266">
        <f>SUMIFS(BV_Data_An_Prec!$AM:$AM,BV_Data_An_Prec!$AP:$AP,$B68,BV_Data_An_Prec!$AQ:$AQ,$C68,BV_Data_An_Prec!$AR:$AR,Q$2)</f>
        <v>278.29000000000019</v>
      </c>
      <c r="R68" s="243"/>
      <c r="S68" s="266">
        <f t="shared" si="18"/>
        <v>1279.7800000000004</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0.16324076576667132</v>
      </c>
      <c r="L72" s="294">
        <f>+SUM(L55:L71)</f>
        <v>29135.459999999995</v>
      </c>
      <c r="M72" s="296"/>
      <c r="N72" s="294">
        <f>+SUM(N55:N71)</f>
        <v>29135.459999999995</v>
      </c>
      <c r="O72" s="295" t="s">
        <v>115</v>
      </c>
      <c r="P72" s="293">
        <f>Q72/Q$27</f>
        <v>0.11112511640634774</v>
      </c>
      <c r="Q72" s="294">
        <f>+SUM(Q55:Q71)</f>
        <v>42026.44</v>
      </c>
      <c r="R72" s="297"/>
      <c r="S72" s="294">
        <f>+SUM(S55:S71)</f>
        <v>-12890.980000000001</v>
      </c>
      <c r="T72" s="38"/>
      <c r="U72" s="35"/>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5"/>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-0.10576260220105536</v>
      </c>
      <c r="L74" s="294">
        <f>L41+L54+L72</f>
        <v>-18876.670000000053</v>
      </c>
      <c r="M74" s="296"/>
      <c r="N74" s="294">
        <f t="shared" ref="N74:N82" si="19">L74-F74</f>
        <v>-18876.670000000053</v>
      </c>
      <c r="O74" s="295" t="s">
        <v>115</v>
      </c>
      <c r="P74" s="293">
        <f>Q74/Q$27</f>
        <v>-8.7967885161725334E-3</v>
      </c>
      <c r="Q74" s="294">
        <f>Q41+Q54+Q72</f>
        <v>-3326.8599999999278</v>
      </c>
      <c r="R74" s="297"/>
      <c r="S74" s="294">
        <f>L74-Q74</f>
        <v>-15549.810000000125</v>
      </c>
      <c r="T74" s="38"/>
      <c r="U74" s="35"/>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3141</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f>
        <v>24351.53</v>
      </c>
      <c r="M75" s="243"/>
      <c r="N75" s="266">
        <f t="shared" si="19"/>
        <v>24351.53</v>
      </c>
      <c r="O75" s="243"/>
      <c r="P75" s="38"/>
      <c r="Q75" s="266">
        <f>-SUMIFS(BV_Data_An_Prec!$AM:$AM,BV_Data_An_Prec!$AP:$AP,$B75,BV_Data_An_Prec!$AQ:$AQ,$C75,BV_Data_An_Prec!$AR:$AR,Q$2)-Q157</f>
        <v>10883.369999999995</v>
      </c>
      <c r="R75" s="243"/>
      <c r="S75" s="266">
        <f t="shared" ref="S75:S82" si="20">L75-Q75</f>
        <v>13468.160000000003</v>
      </c>
      <c r="T75" s="38"/>
      <c r="U75" s="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0"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5"/>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0"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5"/>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0"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5"/>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0"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5"/>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0"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5"/>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0"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5"/>
      <c r="V81" s="38"/>
      <c r="W81" s="38"/>
      <c r="X81" s="38"/>
      <c r="Y81" s="38"/>
      <c r="Z81" s="38"/>
      <c r="AA81" s="38"/>
      <c r="AB81" s="38"/>
      <c r="AC81" s="38"/>
      <c r="AD81" s="38"/>
      <c r="AE81" s="38"/>
      <c r="AF81" s="38"/>
      <c r="AG81" s="38"/>
      <c r="AH81" s="38"/>
      <c r="AI81" s="38"/>
      <c r="AJ81" s="38"/>
      <c r="AK81" s="38"/>
      <c r="AL81" s="38"/>
      <c r="AM81" s="38"/>
      <c r="AN81" s="38"/>
    </row>
    <row r="82" spans="1:40" ht="16.2" customHeight="1">
      <c r="A82" s="944"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0.97222222222222232</v>
      </c>
      <c r="K82" s="307">
        <f>+L82/J24</f>
        <v>679.58333333333337</v>
      </c>
      <c r="L82" s="266">
        <f>-SUMIFS(BV_Data_An_Cour!$AM:$AM,BV_Data_An_Cour!$AP:$AP,$B82,BV_Data_An_Cour!$AQ:$AQ,$C82,BV_Data_An_Cour!$AR:$AR,L$2)</f>
        <v>24465</v>
      </c>
      <c r="M82" s="243"/>
      <c r="N82" s="266">
        <f t="shared" si="19"/>
        <v>24465</v>
      </c>
      <c r="O82" s="744">
        <f>P82/699</f>
        <v>0</v>
      </c>
      <c r="P82" s="307">
        <f>+Q82/O24</f>
        <v>0</v>
      </c>
      <c r="Q82" s="266">
        <f>-SUMIFS(BV_Data_An_Prec!$AM:$AM,BV_Data_An_Prec!$AP:$AP,$B82,BV_Data_An_Prec!$AQ:$AQ,$C82,BV_Data_An_Prec!$AR:$AR,Q$2)</f>
        <v>0</v>
      </c>
      <c r="R82" s="243"/>
      <c r="S82" s="266">
        <f t="shared" si="20"/>
        <v>24465</v>
      </c>
      <c r="T82" s="38"/>
      <c r="U82" s="35"/>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48816.53</v>
      </c>
      <c r="M83" s="296"/>
      <c r="N83" s="294">
        <f>+SUM(N75:N82)</f>
        <v>48816.53</v>
      </c>
      <c r="O83" s="295"/>
      <c r="P83" s="293"/>
      <c r="Q83" s="294">
        <f>+SUM(Q75:Q82)</f>
        <v>10883.369999999995</v>
      </c>
      <c r="R83" s="297"/>
      <c r="S83" s="294">
        <f>+SUM(S75:S82)</f>
        <v>37933.160000000003</v>
      </c>
      <c r="T83" s="38"/>
      <c r="U83" s="35"/>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5"/>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3" t="s">
        <v>147</v>
      </c>
      <c r="D85" s="954"/>
      <c r="E85" s="955"/>
      <c r="F85" s="956">
        <f>F27-F74+F83</f>
        <v>0</v>
      </c>
      <c r="G85" s="957"/>
      <c r="H85" s="955"/>
      <c r="I85" s="956"/>
      <c r="J85" s="957"/>
      <c r="K85" s="955"/>
      <c r="L85" s="956">
        <f>L27-L74+L83</f>
        <v>246174.72000000332</v>
      </c>
      <c r="M85" s="958"/>
      <c r="N85" s="956">
        <f>N27-N41-N54-N72+N83</f>
        <v>246174.72000000335</v>
      </c>
      <c r="O85" s="957"/>
      <c r="P85" s="955"/>
      <c r="Q85" s="956">
        <f>Q27-Q74+Q83</f>
        <v>392400.51999999624</v>
      </c>
      <c r="R85" s="959"/>
      <c r="S85" s="956">
        <f>S27-S41-S54-S72+S83</f>
        <v>-146225.79999999292</v>
      </c>
      <c r="T85" s="38"/>
      <c r="U85" s="35"/>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35"/>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35"/>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Juin 2026</v>
      </c>
      <c r="T89" s="33"/>
      <c r="U89" s="1049"/>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44" t="s">
        <v>339</v>
      </c>
      <c r="E91" s="1245"/>
      <c r="F91" s="1246"/>
      <c r="G91" s="1249"/>
      <c r="H91" s="1245"/>
      <c r="I91" s="1246"/>
      <c r="J91" s="1249" t="s">
        <v>340</v>
      </c>
      <c r="K91" s="1245"/>
      <c r="L91" s="1246"/>
      <c r="M91" s="1249" t="s">
        <v>668</v>
      </c>
      <c r="N91" s="1246"/>
      <c r="O91" s="1244" t="s">
        <v>341</v>
      </c>
      <c r="P91" s="1245"/>
      <c r="Q91" s="1246"/>
      <c r="R91" s="1247" t="s">
        <v>670</v>
      </c>
      <c r="S91" s="1248"/>
      <c r="T91" s="38"/>
      <c r="U91" s="35"/>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5"/>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49"/>
      <c r="E93" s="949"/>
      <c r="F93" s="240">
        <f>+INDEX('Budget original'!$A$2:$AO$501,MATCH($A93,'Budget original'!$A$2:$A$501,0),MATCH(F$2,'Budget original'!$A$2:$AO$2,0))</f>
        <v>0</v>
      </c>
      <c r="G93" s="257"/>
      <c r="H93" s="949"/>
      <c r="I93" s="240"/>
      <c r="J93" s="238"/>
      <c r="K93" s="284"/>
      <c r="L93" s="286">
        <f>-SUMIFS(BV_Data_An_Cour!$AM:$AM,BV_Data_An_Cour!$AS:$AS,"Oui",BV_Data_An_Cour!$AP:$AP,$B93)</f>
        <v>1516554.2900000007</v>
      </c>
      <c r="M93" s="320"/>
      <c r="N93" s="321"/>
      <c r="O93" s="238"/>
      <c r="P93" s="284"/>
      <c r="Q93" s="286">
        <f>-SUMIFS(BV_Data_An_Prec!$AM:$AM,BV_Data_An_Prec!$AS:$AS,"Oui",BV_Data_An_Prec!$AP:$AP,$B93)</f>
        <v>3841838.1699999995</v>
      </c>
      <c r="R93" s="963"/>
      <c r="S93" s="962"/>
      <c r="T93" s="38"/>
      <c r="U93" s="35"/>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5"/>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4">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19</v>
      </c>
      <c r="K95" s="281">
        <f t="shared" si="21"/>
        <v>1823.6394736842117</v>
      </c>
      <c r="L95" s="266">
        <f>-SUMIFS(BV_Data_An_Cour!$AM:$AM,BV_Data_An_Cour!$AP:$AP,$B95,BV_Data_An_Cour!$AQ:$AQ,$C95,BV_Data_An_Cour!$AR:$AR,$L2)</f>
        <v>34649.150000000023</v>
      </c>
      <c r="M95" s="245">
        <f>J95-D95</f>
        <v>19</v>
      </c>
      <c r="N95" s="246">
        <f>L95-F95</f>
        <v>34649.150000000023</v>
      </c>
      <c r="O95" s="245">
        <f>SUMIFS(BV_Data_An_Prec!$AW:$AW,BV_Data_An_Prec!$AP:$AP,$B95,BV_Data_An_Prec!$AQ:$AQ,$C95,BV_Data_An_Prec!$AY:$AY,O$2)</f>
        <v>5</v>
      </c>
      <c r="P95" s="281">
        <f t="shared" si="22"/>
        <v>-4275.1439999999948</v>
      </c>
      <c r="Q95" s="266">
        <f>-SUMIFS(BV_Data_An_Prec!$AM:$AM,BV_Data_An_Prec!$AP:$AP,$B95,BV_Data_An_Prec!$AQ:$AQ,$C95,BV_Data_An_Prec!$AR:$AR,$L2)</f>
        <v>-21375.719999999972</v>
      </c>
      <c r="R95" s="245">
        <f>J95-O95</f>
        <v>14</v>
      </c>
      <c r="S95" s="266">
        <f t="shared" si="24"/>
        <v>56024.869999999995</v>
      </c>
      <c r="T95" s="38"/>
      <c r="U95" s="35"/>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5">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6">
        <f t="shared" ref="K96" si="26">IF(J96=0,0,L96/J96)</f>
        <v>0</v>
      </c>
      <c r="L96" s="658">
        <f>-SUMIFS(BV_Data_An_Cour!$AM:$AM,BV_Data_An_Cour!$AP:$AP,$B96,BV_Data_An_Cour!$AQ:$AQ,$C96,BV_Data_An_Cour!$AR:$AR,$L2)</f>
        <v>0</v>
      </c>
      <c r="M96" s="736">
        <f>J96-D96</f>
        <v>0</v>
      </c>
      <c r="N96" s="967">
        <f>L96-F96</f>
        <v>0</v>
      </c>
      <c r="O96" s="245">
        <f>SUMIFS(BV_Data_An_Prec!$AW:$AW,BV_Data_An_Prec!$AP:$AP,$B96,BV_Data_An_Prec!$AQ:$AQ,$C96,BV_Data_An_Prec!$AY:$AY,O$2)</f>
        <v>0</v>
      </c>
      <c r="P96" s="966">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19</v>
      </c>
      <c r="K97" s="305">
        <f>IF(J97&lt;=0,0,L97/J97)</f>
        <v>1823.6394736842117</v>
      </c>
      <c r="L97" s="356">
        <f>+L94+L95+L96</f>
        <v>34649.150000000023</v>
      </c>
      <c r="M97" s="252">
        <f>J97-D97</f>
        <v>19</v>
      </c>
      <c r="N97" s="251">
        <f>L97-F97</f>
        <v>34649.150000000023</v>
      </c>
      <c r="O97" s="250">
        <f>+O94+O95+O96</f>
        <v>5</v>
      </c>
      <c r="P97" s="305">
        <f>IF(O97&lt;=0,0,Q97/O97)</f>
        <v>-4275.1439999999948</v>
      </c>
      <c r="Q97" s="356">
        <f>+Q94+Q95+Q96</f>
        <v>-21375.719999999972</v>
      </c>
      <c r="R97" s="252">
        <f>R94+R95</f>
        <v>14</v>
      </c>
      <c r="S97" s="356">
        <f>S94+S95</f>
        <v>56024.869999999995</v>
      </c>
      <c r="T97" s="38"/>
      <c r="U97" s="35"/>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68"/>
      <c r="N98" s="969"/>
      <c r="O98" s="260"/>
      <c r="P98" s="305"/>
      <c r="Q98" s="343"/>
      <c r="R98" s="676">
        <f>R97/O97</f>
        <v>2.8</v>
      </c>
      <c r="S98" s="255">
        <f>IF(Q97=0,0,(S97/Q97))</f>
        <v>-2.6209582647976335</v>
      </c>
      <c r="T98" s="38"/>
      <c r="U98" s="35"/>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0" t="s">
        <v>100</v>
      </c>
      <c r="D99" s="244"/>
      <c r="E99" s="244"/>
      <c r="F99" s="244"/>
      <c r="G99" s="245"/>
      <c r="H99" s="244"/>
      <c r="I99" s="244"/>
      <c r="J99" s="245"/>
      <c r="K99" s="281">
        <f>IF(J99=0,0,L99/J99)</f>
        <v>0</v>
      </c>
      <c r="L99" s="266">
        <f>-SUMIFS(BV_Data_An_Cour!$AM:$AM,BV_Data_An_Cour!$AP:$AP,$B99,BV_Data_An_Cour!$AQ:$AQ,$C99,BV_Data_An_Cour!$AR:$AR,L$2)</f>
        <v>0</v>
      </c>
      <c r="M99" s="245">
        <f>J99-D99</f>
        <v>0</v>
      </c>
      <c r="N99" s="246">
        <f>L99-F99</f>
        <v>0</v>
      </c>
      <c r="O99" s="245"/>
      <c r="P99" s="281">
        <f>IF(O99=0,0,Q99/O99)</f>
        <v>0</v>
      </c>
      <c r="Q99" s="266">
        <f>-SUMIFS(BV_Data_An_Prec!$AM:$AM,BV_Data_An_Prec!$AP:$AP,$B99,BV_Data_An_Prec!$AQ:$AQ,$C99,BV_Data_An_Prec!$AR:$AR,Q$2)</f>
        <v>0</v>
      </c>
      <c r="R99" s="245">
        <f>J99-O99</f>
        <v>0</v>
      </c>
      <c r="S99" s="266">
        <f>L99-Q99</f>
        <v>0</v>
      </c>
      <c r="T99" s="38"/>
      <c r="U99" s="35"/>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5"/>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30</v>
      </c>
      <c r="K101" s="281">
        <f>IF(J101=0,0,L101/J101)</f>
        <v>-313.75166666664495</v>
      </c>
      <c r="L101" s="266">
        <f>-SUMIFS(BV_Data_An_Cour!$AM:$AM,BV_Data_An_Cour!$AP:$AP,$B101,BV_Data_An_Cour!$AQ:$AQ,$C101,BV_Data_An_Cour!$AR:$AR,L$2)</f>
        <v>-9412.5499999993481</v>
      </c>
      <c r="M101" s="245">
        <f>J101-D101</f>
        <v>30</v>
      </c>
      <c r="N101" s="246">
        <f>L101-F101</f>
        <v>-9412.5499999993481</v>
      </c>
      <c r="O101" s="245">
        <f>SUMIFS(BV_Data_An_Prec!$AW:$AW,BV_Data_An_Prec!$AP:$AP,$B101,BV_Data_An_Prec!$AQ:$AQ,$C101,BV_Data_An_Prec!$AY:$AY,O$2)</f>
        <v>79</v>
      </c>
      <c r="P101" s="281">
        <f>IF(O101=0,0,Q101/O101)</f>
        <v>-77.934177215211093</v>
      </c>
      <c r="Q101" s="266">
        <f>-SUMIFS(BV_Data_An_Prec!$AM:$AM,BV_Data_An_Prec!$AP:$AP,$B101,BV_Data_An_Prec!$AQ:$AQ,$C101,BV_Data_An_Prec!$AR:$AR,Q$2)</f>
        <v>-6156.8000000016764</v>
      </c>
      <c r="R101" s="245">
        <f>J101-O101</f>
        <v>-49</v>
      </c>
      <c r="S101" s="266">
        <f>L101-Q101</f>
        <v>-3255.7499999976717</v>
      </c>
      <c r="T101" s="38"/>
      <c r="U101" s="1051"/>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49"/>
      <c r="E102" s="949"/>
      <c r="F102" s="240"/>
      <c r="G102" s="257"/>
      <c r="H102" s="949"/>
      <c r="I102" s="240"/>
      <c r="J102" s="257"/>
      <c r="K102" s="284"/>
      <c r="L102" s="286"/>
      <c r="M102" s="258"/>
      <c r="N102" s="324"/>
      <c r="O102" s="257"/>
      <c r="P102" s="284"/>
      <c r="Q102" s="286"/>
      <c r="R102" s="258"/>
      <c r="S102" s="344"/>
      <c r="T102" s="38"/>
      <c r="U102" s="35"/>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116.95789473684195</v>
      </c>
      <c r="L103" s="266">
        <f>-SUMIFS(BV_Data_An_Cour!$AM:$AM,BV_Data_An_Cour!$AP:$AP,$B103,BV_Data_An_Cour!$AQ:$AQ,$C103,BV_Data_An_Cour!$AR:$AR,$L2)</f>
        <v>2222.1999999999971</v>
      </c>
      <c r="M103" s="245"/>
      <c r="N103" s="246">
        <f>L103-F103</f>
        <v>2222.1999999999971</v>
      </c>
      <c r="O103" s="245"/>
      <c r="P103" s="281">
        <f>IF(O97=0,0,Q103/O97)</f>
        <v>812.09600000000012</v>
      </c>
      <c r="Q103" s="266">
        <f>-SUMIFS(BV_Data_An_Prec!$AM:$AM,BV_Data_An_Prec!$AP:$AP,$B103,BV_Data_An_Prec!$AQ:$AQ,$C103,BV_Data_An_Prec!$AR:$AR,$L2)</f>
        <v>4060.4800000000005</v>
      </c>
      <c r="R103" s="267">
        <f>P103-K103</f>
        <v>695.1381052631582</v>
      </c>
      <c r="S103" s="266">
        <f t="shared" ref="S103:S105" si="29">L103-Q103</f>
        <v>-1838.2800000000034</v>
      </c>
      <c r="T103" s="38"/>
      <c r="U103" s="35"/>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642.894736842106</v>
      </c>
      <c r="L104" s="266">
        <f>-SUMIFS(BV_Data_An_Cour!$AM:$AM,BV_Data_An_Cour!$AP:$AP,$B104,BV_Data_An_Cour!$AQ:$AQ,$C104,BV_Data_An_Cour!$AR:$AR,$L2)</f>
        <v>12215.000000000015</v>
      </c>
      <c r="M104" s="245"/>
      <c r="N104" s="246">
        <f>L104-F104</f>
        <v>12215.000000000015</v>
      </c>
      <c r="O104" s="245"/>
      <c r="P104" s="281">
        <f>IF(O97=0,0,Q104/O97)</f>
        <v>0</v>
      </c>
      <c r="Q104" s="266">
        <f>-SUMIFS(BV_Data_An_Prec!$AM:$AM,BV_Data_An_Prec!$AP:$AP,$B104,BV_Data_An_Prec!$AQ:$AQ,$C104,BV_Data_An_Prec!$AR:$AR,$L2)</f>
        <v>0</v>
      </c>
      <c r="R104" s="267">
        <f t="shared" ref="R104:R106" si="30">P104-K104</f>
        <v>-642.894736842106</v>
      </c>
      <c r="S104" s="266">
        <f t="shared" si="29"/>
        <v>12215.000000000015</v>
      </c>
      <c r="T104" s="38"/>
      <c r="U104" s="35"/>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49">
        <f t="shared" si="25"/>
        <v>0</v>
      </c>
      <c r="F105" s="246">
        <f>+INDEX('Budget original'!$A$2:$AO$501,MATCH($A105,'Budget original'!$A$2:$A$501,0),MATCH(F$2,'Budget original'!$A$2:$AO$2,0))</f>
        <v>0</v>
      </c>
      <c r="G105" s="245"/>
      <c r="H105" s="949"/>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5"/>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19</v>
      </c>
      <c r="K106" s="355">
        <f>IF(J106&lt;=0,0,L106/J106)</f>
        <v>759.85263157894803</v>
      </c>
      <c r="L106" s="356">
        <f>L103+L104+L105</f>
        <v>14437.200000000012</v>
      </c>
      <c r="M106" s="265">
        <f>J106-D106</f>
        <v>19</v>
      </c>
      <c r="N106" s="251">
        <f>L106-F106</f>
        <v>14437.200000000012</v>
      </c>
      <c r="O106" s="252">
        <f>O97</f>
        <v>5</v>
      </c>
      <c r="P106" s="355">
        <f>IF(O106&lt;=0,0,Q106/O106)</f>
        <v>812.09600000000012</v>
      </c>
      <c r="Q106" s="356">
        <f>Q103+Q104+Q105</f>
        <v>4060.4800000000005</v>
      </c>
      <c r="R106" s="357">
        <f t="shared" si="30"/>
        <v>52.243368421052082</v>
      </c>
      <c r="S106" s="356">
        <f>L106-Q106</f>
        <v>10376.720000000012</v>
      </c>
      <c r="T106" s="38"/>
      <c r="U106" s="1051">
        <f>L106-L114</f>
        <v>9944.1000000000131</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2.5555402316967477</v>
      </c>
      <c r="T107" s="38"/>
      <c r="U107" s="35"/>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5"/>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49</v>
      </c>
      <c r="K109" s="269">
        <f>IF(J109&lt;=0,0,L109/J109)</f>
        <v>809.66938775511608</v>
      </c>
      <c r="L109" s="271">
        <f>L97+L106+L101+L99</f>
        <v>39673.800000000687</v>
      </c>
      <c r="M109" s="272">
        <f>J109-D109</f>
        <v>49</v>
      </c>
      <c r="N109" s="271">
        <f>L109-F109</f>
        <v>39673.800000000687</v>
      </c>
      <c r="O109" s="272">
        <f>O97+O101</f>
        <v>84</v>
      </c>
      <c r="P109" s="269">
        <f>IF(O109&lt;=0,0,Q109/O109)</f>
        <v>-279.42904761906726</v>
      </c>
      <c r="Q109" s="271">
        <f>Q97+Q106+Q101+Q99</f>
        <v>-23472.040000001649</v>
      </c>
      <c r="R109" s="272">
        <f>J109-O109</f>
        <v>-35</v>
      </c>
      <c r="S109" s="271">
        <f>L109-Q109</f>
        <v>63145.840000002339</v>
      </c>
      <c r="T109" s="38"/>
      <c r="U109" s="35"/>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5"/>
      <c r="L110" s="960"/>
      <c r="M110" s="276"/>
      <c r="N110" s="277"/>
      <c r="O110" s="273"/>
      <c r="P110" s="945"/>
      <c r="Q110" s="960"/>
      <c r="R110" s="276">
        <f>O109/R109</f>
        <v>-2.4</v>
      </c>
      <c r="S110" s="326">
        <f>IF(Q109=0,0,(S109/Q109))</f>
        <v>-2.690257855729536</v>
      </c>
      <c r="T110" s="38"/>
      <c r="U110" s="35"/>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5"/>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5"/>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0.32272306824265512</v>
      </c>
      <c r="K113" s="281">
        <f>IF($J$97=0,0,L113/(J$94+J$95+J96))</f>
        <v>588.53052631578953</v>
      </c>
      <c r="L113" s="266">
        <f>SUMIFS(BV_Data_An_Cour!$AM:$AM,BV_Data_An_Cour!$AP:$AP,$B113,BV_Data_An_Cour!$AQ:$AQ,$C113,BV_Data_An_Cour!$AR:$AR,$L$2)</f>
        <v>11182.080000000002</v>
      </c>
      <c r="M113" s="243"/>
      <c r="N113" s="266">
        <f t="shared" ref="N113:N154" si="32">L113-F113</f>
        <v>11182.080000000002</v>
      </c>
      <c r="O113" s="282">
        <f>Q113/Q97</f>
        <v>-0.13039280080390281</v>
      </c>
      <c r="P113" s="281">
        <f>IF($J$97=0,0,Q113/(O$94+O$95+O96))</f>
        <v>557.44799999999964</v>
      </c>
      <c r="Q113" s="266">
        <f>SUMIFS(BV_Data_An_Prec!$AM:$AM,BV_Data_An_Prec!$AP:$AP,$B113,BV_Data_An_Prec!$AQ:$AQ,$C113,BV_Data_An_Prec!$AR:$AR,$L$2)</f>
        <v>2787.239999999998</v>
      </c>
      <c r="R113" s="243"/>
      <c r="S113" s="266">
        <f>L113-Q113</f>
        <v>8394.8400000000038</v>
      </c>
      <c r="T113" s="38"/>
      <c r="U113" s="35" t="s">
        <v>3360</v>
      </c>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0.31121685645415975</v>
      </c>
      <c r="K114" s="284">
        <f>IF($J$97=0,0,L114/(J$94+J$95+J96))</f>
        <v>236.47894736842099</v>
      </c>
      <c r="L114" s="266">
        <f>SUMIFS(BV_Data_An_Cour!$AM:$AM,BV_Data_An_Cour!$AP:$AP,$B114,BV_Data_An_Cour!$AQ:$AQ,$C114,BV_Data_An_Cour!$AR:$AR,$L$2)</f>
        <v>4493.0999999999985</v>
      </c>
      <c r="M114" s="238"/>
      <c r="N114" s="286">
        <f t="shared" si="32"/>
        <v>4493.0999999999985</v>
      </c>
      <c r="O114" s="285">
        <f>Q114/(Q106)</f>
        <v>4.9654228071558233E-2</v>
      </c>
      <c r="P114" s="284">
        <f>IF($J$97=0,0,Q114/(O$94+O$95+O96))</f>
        <v>40.324000000000161</v>
      </c>
      <c r="Q114" s="266">
        <f>SUMIFS(BV_Data_An_Prec!$AM:$AM,BV_Data_An_Prec!$AP:$AP,$B114,BV_Data_An_Prec!$AQ:$AQ,$C114,BV_Data_An_Prec!$AR:$AR,$L$2)</f>
        <v>201.6200000000008</v>
      </c>
      <c r="R114" s="238"/>
      <c r="S114" s="286">
        <f t="shared" ref="S114:S166" si="33">L114-Q114</f>
        <v>4291.4799999999977</v>
      </c>
      <c r="T114" s="38"/>
      <c r="U114" s="35"/>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-95.332105263157871</v>
      </c>
      <c r="L115" s="303">
        <f>SUMIFS(BV_Data_An_Cour!$AM:$AM,BV_Data_An_Cour!$AP:$AP,$B115,BV_Data_An_Cour!$AQ:$AQ,$C115,BV_Data_An_Cour!$AR:$AR,$L$2)</f>
        <v>-1811.3099999999995</v>
      </c>
      <c r="M115" s="243"/>
      <c r="N115" s="266">
        <f t="shared" si="32"/>
        <v>-1811.3099999999995</v>
      </c>
      <c r="O115" s="243"/>
      <c r="P115" s="281">
        <f>IF($J$97=0,0,Q115/(O$94+O$95+O96))</f>
        <v>446.60199999999998</v>
      </c>
      <c r="Q115" s="303">
        <f>SUMIFS(BV_Data_An_Prec!$AM:$AM,BV_Data_An_Prec!$AP:$AP,$B115,BV_Data_An_Prec!$AQ:$AQ,$C115,BV_Data_An_Prec!$AR:$AR,$L$2)</f>
        <v>2233.0099999999998</v>
      </c>
      <c r="R115" s="243"/>
      <c r="S115" s="266">
        <f t="shared" si="33"/>
        <v>-4044.3199999999993</v>
      </c>
      <c r="T115" s="38"/>
      <c r="U115" s="35" t="s">
        <v>3361</v>
      </c>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290.77368421052637</v>
      </c>
      <c r="L116" s="266">
        <f>SUMIFS(BV_Data_An_Cour!$AM:$AM,BV_Data_An_Cour!$AP:$AP,$B116,BV_Data_An_Cour!$AQ:$AQ,$C116,BV_Data_An_Cour!$AR:$AR,$L$2)</f>
        <v>5524.7000000000007</v>
      </c>
      <c r="M116" s="243"/>
      <c r="N116" s="266">
        <f t="shared" si="32"/>
        <v>5524.7000000000007</v>
      </c>
      <c r="O116" s="243"/>
      <c r="P116" s="281">
        <f>IF($J$97=0,0,Q116/(O$94+O$95+O96))</f>
        <v>0</v>
      </c>
      <c r="Q116" s="266">
        <f>SUMIFS(BV_Data_An_Prec!$AM:$AM,BV_Data_An_Prec!$AP:$AP,$B116,BV_Data_An_Prec!$AQ:$AQ,$C116,BV_Data_An_Prec!$AR:$AR,$L$2)</f>
        <v>0</v>
      </c>
      <c r="R116" s="243"/>
      <c r="S116" s="266">
        <f t="shared" si="33"/>
        <v>5524.7000000000007</v>
      </c>
      <c r="T116" s="38"/>
      <c r="U116" s="35"/>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f>IF($J$97=0,0,Q117/(O$94+O$95+O96))</f>
        <v>0</v>
      </c>
      <c r="Q117" s="286">
        <f>SUMIFS(BV_Data_An_Prec!$AM:$AM,BV_Data_An_Prec!$AP:$AP,$B117,BV_Data_An_Prec!$AQ:$AQ,$C117,BV_Data_An_Prec!$AR:$AR,$L$2)</f>
        <v>0</v>
      </c>
      <c r="R117" s="238"/>
      <c r="S117" s="286">
        <f t="shared" si="33"/>
        <v>0</v>
      </c>
      <c r="T117" s="38"/>
      <c r="U117" s="91" t="s">
        <v>3142</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655.62526315789478</v>
      </c>
      <c r="L118" s="266">
        <f>SUMIFS(BV_Data_An_Cour!$AM:$AM,BV_Data_An_Cour!$AP:$AP,$B118,BV_Data_An_Cour!$AQ:$AQ,$C118,BV_Data_An_Cour!$AR:$AR,$L$2)</f>
        <v>12456.880000000001</v>
      </c>
      <c r="M118" s="243"/>
      <c r="N118" s="266">
        <f t="shared" si="32"/>
        <v>12456.880000000001</v>
      </c>
      <c r="O118" s="243"/>
      <c r="P118" s="281">
        <f>IF($J$97=0,0,Q118/(O$94+O$95+O96))</f>
        <v>472.59000000000032</v>
      </c>
      <c r="Q118" s="266">
        <f>SUMIFS(BV_Data_An_Prec!$AM:$AM,BV_Data_An_Prec!$AP:$AP,$B118,BV_Data_An_Prec!$AQ:$AQ,$C118,BV_Data_An_Prec!$AR:$AR,$L$2)</f>
        <v>2362.9500000000016</v>
      </c>
      <c r="R118" s="243"/>
      <c r="S118" s="266">
        <f t="shared" si="33"/>
        <v>10093.93</v>
      </c>
      <c r="T118" s="38"/>
      <c r="U118" s="91" t="s">
        <v>3362</v>
      </c>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-349.15052631579027</v>
      </c>
      <c r="L119" s="658">
        <f>SUMIFS(BV_Data_An_Cour!$AM:$AM,BV_Data_An_Cour!$AP:$AP,$B119,BV_Data_An_Cour!$AQ:$AQ,$C119,BV_Data_An_Cour!$AR:$AR,$L$2)</f>
        <v>-6633.8600000000151</v>
      </c>
      <c r="M119" s="243"/>
      <c r="N119" s="658">
        <f t="shared" si="32"/>
        <v>-6633.8600000000151</v>
      </c>
      <c r="O119" s="243"/>
      <c r="P119" s="281">
        <f>IF($J$97=0,0,Q119/(O$94+O$95+O96))</f>
        <v>4583.3920000000016</v>
      </c>
      <c r="Q119" s="658">
        <f>SUMIFS(BV_Data_An_Prec!$AM:$AM,BV_Data_An_Prec!$AP:$AP,$B119,BV_Data_An_Prec!$AQ:$AQ,$C119,BV_Data_An_Prec!$AR:$AR,$L$2)</f>
        <v>22916.960000000006</v>
      </c>
      <c r="R119" s="243"/>
      <c r="S119" s="266">
        <f t="shared" si="33"/>
        <v>-29550.820000000022</v>
      </c>
      <c r="T119" s="35">
        <f>11116-17750</f>
        <v>-6634</v>
      </c>
      <c r="U119" s="91" t="s">
        <v>3369</v>
      </c>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3134</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5"/>
      <c r="U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940" t="s">
        <v>3135</v>
      </c>
      <c r="D121" s="1266"/>
      <c r="E121" s="1267" t="e">
        <f t="shared" si="31"/>
        <v>#DIV/0!</v>
      </c>
      <c r="F121" s="1268">
        <f>+INDEX('Budget original'!$A$2:$AO$501,MATCH($A121,'Budget original'!$A$2:$A$501,0),MATCH(F$2,'Budget original'!$A$2:$AO$2,0))</f>
        <v>0</v>
      </c>
      <c r="G121" s="1269"/>
      <c r="H121" s="1267"/>
      <c r="I121" s="1268"/>
      <c r="J121" s="940"/>
      <c r="K121" s="1267">
        <f>IF($J$97=0,0,L121/(J$94+J$95))</f>
        <v>-365.12368421052622</v>
      </c>
      <c r="L121" s="1270">
        <f>SUMIFS(BV_Data_An_Cour!$AM:$AM,BV_Data_An_Cour!$AP:$AP,$B121,BV_Data_An_Cour!$AQ:$AQ,$C121,BV_Data_An_Cour!$AR:$AR,$L$2)</f>
        <v>-6937.3499999999985</v>
      </c>
      <c r="M121" s="243"/>
      <c r="N121" s="266">
        <f t="shared" si="32"/>
        <v>-6937.3499999999985</v>
      </c>
      <c r="O121" s="243"/>
      <c r="P121" s="281">
        <f>IF($J$97=0,0,Q121/(O$94+O$95))</f>
        <v>0</v>
      </c>
      <c r="Q121" s="266">
        <f>SUMIFS(BV_Data_An_Prec!$AM:$AM,BV_Data_An_Prec!$AP:$AP,$B121,BV_Data_An_Prec!$AQ:$AQ,$C121,BV_Data_An_Prec!$AR:$AR,$L$2)</f>
        <v>0</v>
      </c>
      <c r="R121" s="243"/>
      <c r="S121" s="266">
        <f t="shared" si="33"/>
        <v>-6937.3499999999985</v>
      </c>
      <c r="T121" s="35">
        <v>-6937</v>
      </c>
      <c r="U121" s="38" t="s">
        <v>3386</v>
      </c>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5"/>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0.46061229325145742</v>
      </c>
      <c r="L123" s="294">
        <f>SUM(L113:L122)</f>
        <v>18274.239999999987</v>
      </c>
      <c r="M123" s="296"/>
      <c r="N123" s="294">
        <f t="shared" si="32"/>
        <v>18274.239999999987</v>
      </c>
      <c r="O123" s="295" t="s">
        <v>115</v>
      </c>
      <c r="P123" s="293">
        <f>Q123/Q$109</f>
        <v>-1.2994942067241648</v>
      </c>
      <c r="Q123" s="294">
        <f>SUM(Q113:Q122)</f>
        <v>30501.780000000006</v>
      </c>
      <c r="R123" s="297"/>
      <c r="S123" s="294">
        <f t="shared" si="33"/>
        <v>-12227.540000000019</v>
      </c>
      <c r="T123" s="38"/>
      <c r="U123" s="35"/>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9379.989999999998</v>
      </c>
      <c r="M124" s="243"/>
      <c r="N124" s="266">
        <f t="shared" si="32"/>
        <v>9379.989999999998</v>
      </c>
      <c r="O124" s="243"/>
      <c r="P124" s="38"/>
      <c r="Q124" s="266">
        <f>SUMIFS(BV_Data_An_Prec!$AM:$AM,BV_Data_An_Prec!$AP:$AP,$B124,BV_Data_An_Prec!$AQ:$AQ,$C124,BV_Data_An_Prec!$AR:$AR,$L$2)</f>
        <v>9483.9499999999971</v>
      </c>
      <c r="R124" s="243"/>
      <c r="S124" s="266">
        <f t="shared" si="33"/>
        <v>-103.95999999999913</v>
      </c>
      <c r="T124" s="38"/>
      <c r="U124" s="35"/>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7192.130000000001</v>
      </c>
      <c r="M125" s="243"/>
      <c r="N125" s="266">
        <f t="shared" si="32"/>
        <v>7192.130000000001</v>
      </c>
      <c r="O125" s="243"/>
      <c r="P125" s="38"/>
      <c r="Q125" s="266">
        <f>SUMIFS(BV_Data_An_Prec!$AM:$AM,BV_Data_An_Prec!$AP:$AP,$B125,BV_Data_An_Prec!$AQ:$AQ,$C125,BV_Data_An_Prec!$AR:$AR,$L$2)</f>
        <v>5051.5</v>
      </c>
      <c r="R125" s="243"/>
      <c r="S125" s="266">
        <f t="shared" si="33"/>
        <v>2140.630000000001</v>
      </c>
      <c r="T125" s="38"/>
      <c r="U125" s="35"/>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1637.25</v>
      </c>
      <c r="M126" s="233"/>
      <c r="N126" s="303">
        <f t="shared" si="32"/>
        <v>1637.25</v>
      </c>
      <c r="O126" s="233"/>
      <c r="P126" s="301"/>
      <c r="Q126" s="303">
        <f>SUMIFS(BV_Data_An_Prec!$AM:$AM,BV_Data_An_Prec!$AP:$AP,$B126,BV_Data_An_Prec!$AQ:$AQ,$C126,BV_Data_An_Prec!$AR:$AR,$L$2)</f>
        <v>4544.8600000000006</v>
      </c>
      <c r="R126" s="233"/>
      <c r="S126" s="303">
        <f t="shared" si="33"/>
        <v>-2907.6100000000006</v>
      </c>
      <c r="T126" s="38"/>
      <c r="U126" s="35"/>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5"/>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5"/>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5"/>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5"/>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3759.9299999999985</v>
      </c>
      <c r="M131" s="243"/>
      <c r="N131" s="266">
        <f t="shared" si="32"/>
        <v>3759.9299999999985</v>
      </c>
      <c r="O131" s="243"/>
      <c r="P131" s="38"/>
      <c r="Q131" s="266">
        <f>SUMIFS(BV_Data_An_Prec!$AM:$AM,BV_Data_An_Prec!$AP:$AP,$B131,BV_Data_An_Prec!$AQ:$AQ,$C131,BV_Data_An_Prec!$AR:$AR,$L$2)</f>
        <v>1468.33</v>
      </c>
      <c r="R131" s="243"/>
      <c r="S131" s="266">
        <f t="shared" si="33"/>
        <v>2291.5999999999985</v>
      </c>
      <c r="T131" s="38"/>
      <c r="U131" s="35"/>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5196.3999999999996</v>
      </c>
      <c r="M132" s="233"/>
      <c r="N132" s="303">
        <f t="shared" si="32"/>
        <v>5196.3999999999996</v>
      </c>
      <c r="O132" s="233"/>
      <c r="P132" s="301"/>
      <c r="Q132" s="303">
        <f>SUMIFS(BV_Data_An_Prec!$AM:$AM,BV_Data_An_Prec!$AP:$AP,$B132,BV_Data_An_Prec!$AQ:$AQ,$C132,BV_Data_An_Prec!$AR:$AR,$L$2)</f>
        <v>1863.3700000000008</v>
      </c>
      <c r="R132" s="233"/>
      <c r="S132" s="303">
        <f t="shared" si="33"/>
        <v>3333.0299999999988</v>
      </c>
      <c r="T132" s="38"/>
      <c r="U132" s="35"/>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640.11000000000058</v>
      </c>
      <c r="M133" s="243"/>
      <c r="N133" s="266">
        <f t="shared" si="32"/>
        <v>640.11000000000058</v>
      </c>
      <c r="O133" s="243"/>
      <c r="P133" s="38"/>
      <c r="Q133" s="266">
        <f>SUMIFS(BV_Data_An_Prec!$AM:$AM,BV_Data_An_Prec!$AP:$AP,$B133,BV_Data_An_Prec!$AQ:$AQ,$C133,BV_Data_An_Prec!$AR:$AR,$L$2)</f>
        <v>2074.58</v>
      </c>
      <c r="R133" s="243"/>
      <c r="S133" s="266">
        <f t="shared" si="33"/>
        <v>-1434.4699999999993</v>
      </c>
      <c r="T133" s="38"/>
      <c r="U133" s="35"/>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2401.6099999999997</v>
      </c>
      <c r="M134" s="243"/>
      <c r="N134" s="266">
        <f t="shared" si="32"/>
        <v>2401.6099999999997</v>
      </c>
      <c r="O134" s="243"/>
      <c r="P134" s="38"/>
      <c r="Q134" s="266">
        <f>SUMIFS(BV_Data_An_Prec!$AM:$AM,BV_Data_An_Prec!$AP:$AP,$B134,BV_Data_An_Prec!$AQ:$AQ,$C134,BV_Data_An_Prec!$AR:$AR,$L$2)</f>
        <v>20.799999999999983</v>
      </c>
      <c r="R134" s="243"/>
      <c r="S134" s="266">
        <f t="shared" si="33"/>
        <v>2380.8099999999995</v>
      </c>
      <c r="T134" s="38"/>
      <c r="U134" s="35"/>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5"/>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0.76139467356289225</v>
      </c>
      <c r="L136" s="294">
        <f>SUM(L124:L135)</f>
        <v>30207.42</v>
      </c>
      <c r="M136" s="296"/>
      <c r="N136" s="294">
        <f t="shared" si="32"/>
        <v>30207.42</v>
      </c>
      <c r="O136" s="295" t="s">
        <v>115</v>
      </c>
      <c r="P136" s="293">
        <f>Q136/Q$109</f>
        <v>-1.0441099282379496</v>
      </c>
      <c r="Q136" s="294">
        <f>SUM(Q124:Q135)</f>
        <v>24507.390000000003</v>
      </c>
      <c r="R136" s="297"/>
      <c r="S136" s="294">
        <f t="shared" si="33"/>
        <v>5700.0299999999952</v>
      </c>
      <c r="T136" s="38"/>
      <c r="U136" s="35"/>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5"/>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5"/>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4318.6899999999987</v>
      </c>
      <c r="M139" s="238"/>
      <c r="N139" s="286">
        <f t="shared" si="32"/>
        <v>4318.6899999999987</v>
      </c>
      <c r="O139" s="238"/>
      <c r="P139" s="304"/>
      <c r="Q139" s="286">
        <f>SUMIFS(BV_Data_An_Prec!$AM:$AM,BV_Data_An_Prec!$AP:$AP,$B139,BV_Data_An_Prec!$AQ:$AQ,$C139,BV_Data_An_Prec!$AR:$AR,$L$2)</f>
        <v>1177.8500000000004</v>
      </c>
      <c r="R139" s="238"/>
      <c r="S139" s="286">
        <f t="shared" si="33"/>
        <v>3140.8399999999983</v>
      </c>
      <c r="T139" s="38"/>
      <c r="U139" s="35"/>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1247.5500000000002</v>
      </c>
      <c r="M140" s="243"/>
      <c r="N140" s="266">
        <f t="shared" si="32"/>
        <v>1247.5500000000002</v>
      </c>
      <c r="O140" s="243"/>
      <c r="P140" s="38"/>
      <c r="Q140" s="266">
        <f>SUMIFS(BV_Data_An_Prec!$AM:$AM,BV_Data_An_Prec!$AP:$AP,$B140,BV_Data_An_Prec!$AQ:$AQ,$C140,BV_Data_An_Prec!$AR:$AR,$L$2)</f>
        <v>2218.5499999999993</v>
      </c>
      <c r="R140" s="243"/>
      <c r="S140" s="266">
        <f t="shared" si="33"/>
        <v>-970.99999999999909</v>
      </c>
      <c r="T140" s="38"/>
      <c r="U140" s="35"/>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368.56999999999971</v>
      </c>
      <c r="M141" s="243"/>
      <c r="N141" s="266">
        <f t="shared" si="32"/>
        <v>368.56999999999971</v>
      </c>
      <c r="O141" s="243"/>
      <c r="P141" s="38"/>
      <c r="Q141" s="266">
        <f>SUMIFS(BV_Data_An_Prec!$AM:$AM,BV_Data_An_Prec!$AP:$AP,$B141,BV_Data_An_Prec!$AQ:$AQ,$C141,BV_Data_An_Prec!$AR:$AR,$L$2)</f>
        <v>300</v>
      </c>
      <c r="R141" s="243"/>
      <c r="S141" s="266">
        <f t="shared" si="33"/>
        <v>68.569999999999709</v>
      </c>
      <c r="T141" s="327"/>
      <c r="U141" s="35"/>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5180.5999999999985</v>
      </c>
      <c r="M142" s="238"/>
      <c r="N142" s="286">
        <f t="shared" si="32"/>
        <v>5180.5999999999985</v>
      </c>
      <c r="O142" s="238"/>
      <c r="P142" s="304"/>
      <c r="Q142" s="286">
        <f>SUMIFS(BV_Data_An_Prec!$AM:$AM,BV_Data_An_Prec!$AP:$AP,$B142,BV_Data_An_Prec!$AQ:$AQ,$C142,BV_Data_An_Prec!$AR:$AR,$L$2)</f>
        <v>4693.1899999999996</v>
      </c>
      <c r="R142" s="238"/>
      <c r="S142" s="286">
        <f t="shared" si="33"/>
        <v>487.40999999999894</v>
      </c>
      <c r="T142" s="38"/>
      <c r="U142" s="91"/>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274.8900000000001</v>
      </c>
      <c r="M143" s="243"/>
      <c r="N143" s="266">
        <f t="shared" si="32"/>
        <v>274.8900000000001</v>
      </c>
      <c r="O143" s="243"/>
      <c r="P143" s="38"/>
      <c r="Q143" s="266">
        <f>SUMIFS(BV_Data_An_Prec!$AM:$AM,BV_Data_An_Prec!$AP:$AP,$B143,BV_Data_An_Prec!$AQ:$AQ,$C143,BV_Data_An_Prec!$AR:$AR,$L$2)</f>
        <v>124.94999999999993</v>
      </c>
      <c r="R143" s="243"/>
      <c r="S143" s="266">
        <f t="shared" si="33"/>
        <v>149.94000000000017</v>
      </c>
      <c r="T143" s="38"/>
      <c r="U143" s="35"/>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91"/>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795.16999999999962</v>
      </c>
      <c r="M145" s="243"/>
      <c r="N145" s="266">
        <f t="shared" si="32"/>
        <v>795.16999999999962</v>
      </c>
      <c r="O145" s="243"/>
      <c r="P145" s="38"/>
      <c r="Q145" s="266">
        <f>SUMIFS(BV_Data_An_Prec!$AM:$AM,BV_Data_An_Prec!$AP:$AP,$B145,BV_Data_An_Prec!$AQ:$AQ,$C145,BV_Data_An_Prec!$AR:$AR,$L$2)</f>
        <v>976.88000000000056</v>
      </c>
      <c r="R145" s="243"/>
      <c r="S145" s="266">
        <f t="shared" si="33"/>
        <v>-181.71000000000095</v>
      </c>
      <c r="T145" s="38"/>
      <c r="U145" s="35"/>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223.54999999999995</v>
      </c>
      <c r="M146" s="243"/>
      <c r="N146" s="266">
        <f t="shared" si="32"/>
        <v>223.54999999999995</v>
      </c>
      <c r="O146" s="243"/>
      <c r="P146" s="38"/>
      <c r="Q146" s="266">
        <f>SUMIFS(BV_Data_An_Prec!$AM:$AM,BV_Data_An_Prec!$AP:$AP,$B146,BV_Data_An_Prec!$AQ:$AQ,$C146,BV_Data_An_Prec!$AR:$AR,$L$2)</f>
        <v>672.69999999999982</v>
      </c>
      <c r="R146" s="243"/>
      <c r="S146" s="266">
        <f t="shared" si="33"/>
        <v>-449.14999999999986</v>
      </c>
      <c r="T146" s="38"/>
      <c r="U146" s="35"/>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1183.83</v>
      </c>
      <c r="M147" s="243"/>
      <c r="N147" s="266">
        <f t="shared" si="32"/>
        <v>1183.83</v>
      </c>
      <c r="O147" s="243"/>
      <c r="P147" s="38"/>
      <c r="Q147" s="266">
        <f>SUMIFS(BV_Data_An_Prec!$AM:$AM,BV_Data_An_Prec!$AP:$AP,$B147,BV_Data_An_Prec!$AQ:$AQ,$C147,BV_Data_An_Prec!$AR:$AR,$L$2)</f>
        <v>1044.3700000000008</v>
      </c>
      <c r="R147" s="243"/>
      <c r="S147" s="266">
        <f t="shared" si="33"/>
        <v>139.45999999999913</v>
      </c>
      <c r="T147" s="38"/>
      <c r="U147" s="35"/>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1575.8700000000008</v>
      </c>
      <c r="M148" s="243"/>
      <c r="N148" s="266">
        <f t="shared" si="32"/>
        <v>1575.8700000000008</v>
      </c>
      <c r="O148" s="243"/>
      <c r="P148" s="38"/>
      <c r="Q148" s="266">
        <f>SUMIFS(BV_Data_An_Prec!$AM:$AM,BV_Data_An_Prec!$AP:$AP,$B148,BV_Data_An_Prec!$AQ:$AQ,$C148,BV_Data_An_Prec!$AR:$AR,$L$2)</f>
        <v>11807.11</v>
      </c>
      <c r="R148" s="243"/>
      <c r="S148" s="266">
        <f t="shared" si="33"/>
        <v>-10231.24</v>
      </c>
      <c r="T148" s="38"/>
      <c r="U148" s="35"/>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1178.71</v>
      </c>
      <c r="M150" s="243"/>
      <c r="N150" s="658">
        <f t="shared" si="32"/>
        <v>1178.71</v>
      </c>
      <c r="O150" s="243"/>
      <c r="P150" s="38"/>
      <c r="Q150" s="658">
        <f>SUMIFS(BV_Data_An_Prec!$AM:$AM,BV_Data_An_Prec!$AP:$AP,$B150,BV_Data_An_Prec!$AQ:$AQ,$C150,BV_Data_An_Prec!$AR:$AR,$L$2)</f>
        <v>185.51999999999998</v>
      </c>
      <c r="R150" s="243"/>
      <c r="S150" s="266">
        <f t="shared" si="33"/>
        <v>993.19</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0.41204598500773087</v>
      </c>
      <c r="L154" s="294">
        <f>+SUM(L137:L153)</f>
        <v>16347.429999999997</v>
      </c>
      <c r="M154" s="296"/>
      <c r="N154" s="294">
        <f t="shared" si="32"/>
        <v>16347.429999999997</v>
      </c>
      <c r="O154" s="295" t="s">
        <v>115</v>
      </c>
      <c r="P154" s="293">
        <f>Q154/Q$109</f>
        <v>-0.98845775654772128</v>
      </c>
      <c r="Q154" s="294">
        <f>+SUM(Q137:Q153)</f>
        <v>23201.120000000006</v>
      </c>
      <c r="R154" s="297"/>
      <c r="S154" s="294">
        <f t="shared" si="33"/>
        <v>-6853.6900000000096</v>
      </c>
      <c r="T154" s="38"/>
      <c r="U154" s="35"/>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5"/>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1.6340529518220805</v>
      </c>
      <c r="L156" s="294">
        <f>L123+L136+L154</f>
        <v>64829.089999999982</v>
      </c>
      <c r="M156" s="296"/>
      <c r="N156" s="294">
        <f t="shared" ref="N156:N163" si="34">L156-F156</f>
        <v>64829.089999999982</v>
      </c>
      <c r="O156" s="295" t="s">
        <v>115</v>
      </c>
      <c r="P156" s="293">
        <f>Q156/Q$109</f>
        <v>-3.3320618915098361</v>
      </c>
      <c r="Q156" s="294">
        <f>Q123+Q136+Q154</f>
        <v>78210.290000000023</v>
      </c>
      <c r="R156" s="297"/>
      <c r="S156" s="294">
        <f t="shared" si="33"/>
        <v>-13381.200000000041</v>
      </c>
      <c r="T156" s="38"/>
      <c r="U156" s="35"/>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0"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5"/>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0"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5"/>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0"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5"/>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1" t="e">
        <f>E160/474</f>
        <v>#DIV/0!</v>
      </c>
      <c r="E160" s="307" t="e">
        <f>F160/D97</f>
        <v>#DIV/0!</v>
      </c>
      <c r="F160" s="244">
        <f>+INDEX('Budget original'!$A$2:$AO$501,MATCH($A160,'Budget original'!$A$2:$A$501,0),MATCH(F$2,'Budget original'!$A$2:$AO$2,0))</f>
        <v>0</v>
      </c>
      <c r="G160" s="288"/>
      <c r="H160" s="38"/>
      <c r="I160" s="244"/>
      <c r="J160" s="744">
        <f>K160/500</f>
        <v>0.73684210526315796</v>
      </c>
      <c r="K160" s="307">
        <f>L160/J97</f>
        <v>368.42105263157896</v>
      </c>
      <c r="L160" s="266">
        <f>-SUMIFS(BV_Data_An_Cour!$AM:$AM,BV_Data_An_Cour!$AP:$AP,$B160,BV_Data_An_Cour!$AQ:$AQ,$C160,BV_Data_An_Cour!$AR:$AR,L$2)</f>
        <v>7000</v>
      </c>
      <c r="M160" s="243"/>
      <c r="N160" s="266">
        <f t="shared" si="34"/>
        <v>7000</v>
      </c>
      <c r="O160" s="744">
        <f>P160/500</f>
        <v>0</v>
      </c>
      <c r="P160" s="307">
        <f>Q160/O97</f>
        <v>0</v>
      </c>
      <c r="Q160" s="266">
        <f>-SUMIFS(BV_Data_An_Prec!$AM:$AM,BV_Data_An_Prec!$AP:$AP,$B160,BV_Data_An_Prec!$AQ:$AQ,$C160,BV_Data_An_Prec!$AR:$AR,Q$2)</f>
        <v>0</v>
      </c>
      <c r="R160" s="243"/>
      <c r="S160" s="266">
        <f t="shared" si="33"/>
        <v>7000</v>
      </c>
      <c r="T160" s="305"/>
      <c r="U160" s="35"/>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5"/>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5"/>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5"/>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7000</v>
      </c>
      <c r="M164" s="296"/>
      <c r="N164" s="294">
        <f>SUM(N157:N160)</f>
        <v>7000</v>
      </c>
      <c r="O164" s="295"/>
      <c r="P164" s="293"/>
      <c r="Q164" s="294">
        <f>+SUM(Q157:Q163)</f>
        <v>0</v>
      </c>
      <c r="R164" s="297"/>
      <c r="S164" s="294">
        <f t="shared" si="33"/>
        <v>7000</v>
      </c>
      <c r="T164" s="38"/>
      <c r="U164" s="35"/>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5"/>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f>F109-F156+F164</f>
        <v>0</v>
      </c>
      <c r="G166" s="957"/>
      <c r="H166" s="955"/>
      <c r="I166" s="956"/>
      <c r="J166" s="957"/>
      <c r="K166" s="955"/>
      <c r="L166" s="956">
        <f>L109-L156+L164</f>
        <v>-18155.289999999295</v>
      </c>
      <c r="M166" s="958"/>
      <c r="N166" s="956">
        <f>L166-F166</f>
        <v>-18155.289999999295</v>
      </c>
      <c r="O166" s="957"/>
      <c r="P166" s="955"/>
      <c r="Q166" s="956">
        <f>Q109-Q156+Q164</f>
        <v>-101682.33000000168</v>
      </c>
      <c r="R166" s="959"/>
      <c r="S166" s="956">
        <f t="shared" si="33"/>
        <v>83527.04000000238</v>
      </c>
      <c r="T166" s="38"/>
      <c r="U166" s="35"/>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Juin 2026</v>
      </c>
      <c r="T169" s="33"/>
      <c r="U169" s="1049"/>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44" t="s">
        <v>339</v>
      </c>
      <c r="E171" s="1244"/>
      <c r="F171" s="1250"/>
      <c r="G171" s="1247"/>
      <c r="H171" s="1244"/>
      <c r="I171" s="1250"/>
      <c r="J171" s="1247" t="s">
        <v>340</v>
      </c>
      <c r="K171" s="1244"/>
      <c r="L171" s="1250"/>
      <c r="M171" s="1247" t="s">
        <v>668</v>
      </c>
      <c r="N171" s="1250"/>
      <c r="O171" s="1247" t="s">
        <v>341</v>
      </c>
      <c r="P171" s="1244"/>
      <c r="Q171" s="1250"/>
      <c r="R171" s="1247" t="s">
        <v>670</v>
      </c>
      <c r="S171" s="1250"/>
      <c r="T171" s="38"/>
      <c r="U171" s="35"/>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5"/>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49"/>
      <c r="E173" s="949"/>
      <c r="F173" s="240">
        <f>+INDEX('Budget original'!$A$2:$AO$501,MATCH($A173,'Budget original'!$A$2:$A$501,0),MATCH(F$2,'Budget original'!$A$2:$AO$2,0))</f>
        <v>0</v>
      </c>
      <c r="G173" s="257"/>
      <c r="H173" s="949"/>
      <c r="I173" s="240"/>
      <c r="J173" s="238"/>
      <c r="K173" s="284"/>
      <c r="L173" s="286">
        <f>-SUMIFS(BV_Data_An_Cour!$AM:$AM,BV_Data_An_Cour!$AS:$AS,"Oui",BV_Data_An_Cour!$AP:$AP,$B173)</f>
        <v>6031102.9199999981</v>
      </c>
      <c r="M173" s="320"/>
      <c r="N173" s="321"/>
      <c r="O173" s="238"/>
      <c r="P173" s="284"/>
      <c r="Q173" s="286">
        <f>-SUMIFS(BV_Data_An_Prec!$AM:$AM,BV_Data_An_Prec!$AS:$AS,"Oui",BV_Data_An_Prec!$AP:$AP,$B173)</f>
        <v>7003556.459999999</v>
      </c>
      <c r="R173" s="320"/>
      <c r="S173" s="321"/>
      <c r="T173" s="38"/>
      <c r="U173" s="35"/>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5"/>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62</v>
      </c>
      <c r="K175" s="281">
        <f t="shared" ref="K175:K179" si="35">IF(J175=0,0,L175/J175)</f>
        <v>-317.72725806454378</v>
      </c>
      <c r="L175" s="266">
        <f>-SUMIFS(BV_Data_An_Cour!$AM:$AM,BV_Data_An_Cour!$AP:$AP,$B175,BV_Data_An_Cour!$AQ:$AQ,$C175,BV_Data_An_Cour!$AR:$AR,$L2)</f>
        <v>-19699.090000001714</v>
      </c>
      <c r="M175" s="245">
        <f>J175-D175</f>
        <v>62</v>
      </c>
      <c r="N175" s="246">
        <f>L175-F175</f>
        <v>-19699.090000001714</v>
      </c>
      <c r="O175" s="245">
        <f>SUMIFS(BV_Data_An_Prec!$AW:$AW,BV_Data_An_Prec!$AP:$AP,$B175,BV_Data_An_Prec!$AQ:$AQ,$C175,BV_Data_An_Prec!$AY:$AY,O$2)</f>
        <v>97</v>
      </c>
      <c r="P175" s="281">
        <f t="shared" ref="P175:P179" si="36">IF(O175=0,0,Q175/O175)</f>
        <v>407.25072164948762</v>
      </c>
      <c r="Q175" s="266">
        <f>-SUMIFS(BV_Data_An_Prec!$AM:$AM,BV_Data_An_Prec!$AP:$AP,$B175,BV_Data_An_Prec!$AQ:$AQ,$C175,BV_Data_An_Prec!$AR:$AR,$L2)</f>
        <v>39503.320000000298</v>
      </c>
      <c r="R175" s="245">
        <f t="shared" ref="R175:R177" si="37">J175-O175</f>
        <v>-35</v>
      </c>
      <c r="S175" s="266">
        <f t="shared" ref="S175:S177" si="38">L175-Q175</f>
        <v>-59202.410000002012</v>
      </c>
      <c r="T175" s="38"/>
      <c r="U175" s="35"/>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-0.36082474226804123</v>
      </c>
      <c r="S176" s="986">
        <f>IF(Q175=0,0,(S175/Q175))</f>
        <v>-1.498669225776506</v>
      </c>
      <c r="T176" s="38"/>
      <c r="U176" s="35"/>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4">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16</v>
      </c>
      <c r="K177" s="281">
        <f t="shared" si="35"/>
        <v>2995.3968750000349</v>
      </c>
      <c r="L177" s="266">
        <f>-SUMIFS(BV_Data_An_Cour!$AM:$AM,BV_Data_An_Cour!$AP:$AP,$B177,BV_Data_An_Cour!$AQ:$AQ,$C177,BV_Data_An_Cour!$AR:$AR,$L2)</f>
        <v>47926.350000000559</v>
      </c>
      <c r="M177" s="245">
        <f>J177-D177</f>
        <v>16</v>
      </c>
      <c r="N177" s="246">
        <f>L177-F177</f>
        <v>47926.350000000559</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16</v>
      </c>
      <c r="S177" s="266">
        <f t="shared" si="38"/>
        <v>47926.350000000559</v>
      </c>
      <c r="T177" s="38"/>
      <c r="U177" s="35"/>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5"/>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4"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21</v>
      </c>
      <c r="K179" s="281">
        <f t="shared" si="35"/>
        <v>1927.3809523809523</v>
      </c>
      <c r="L179" s="266">
        <f>-SUMIFS(BV_Data_An_Cour!$AM:$AM,BV_Data_An_Cour!$AP:$AP,$B179,BV_Data_An_Cour!$AQ:$AQ,$C179,BV_Data_An_Cour!$AR:$AR,$L2)</f>
        <v>40475</v>
      </c>
      <c r="M179" s="245" t="e">
        <f>J179-D179</f>
        <v>#N/A</v>
      </c>
      <c r="N179" s="246" t="e">
        <f>L179-F179</f>
        <v>#N/A</v>
      </c>
      <c r="O179" s="245">
        <f>SUMIFS(BV_Data_An_Prec!$AW:$AW,BV_Data_An_Prec!$AP:$AP,$B179,BV_Data_An_Prec!$AQ:$AQ,$C179,BV_Data_An_Prec!$AY:$AY,O$2)</f>
        <v>9</v>
      </c>
      <c r="P179" s="281">
        <f t="shared" si="36"/>
        <v>3525.1522222221311</v>
      </c>
      <c r="Q179" s="266">
        <f>-SUMIFS(BV_Data_An_Prec!$AM:$AM,BV_Data_An_Prec!$AP:$AP,$B179,BV_Data_An_Prec!$AQ:$AQ,$C179,BV_Data_An_Prec!$AR:$AR,$L2)</f>
        <v>31726.36999999918</v>
      </c>
      <c r="R179" s="245">
        <f>J179-O179</f>
        <v>12</v>
      </c>
      <c r="S179" s="266">
        <f>L179-Q179</f>
        <v>8748.6300000008196</v>
      </c>
      <c r="T179" s="38"/>
      <c r="U179" s="35"/>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88">
        <f>R179/O179</f>
        <v>1.3333333333333333</v>
      </c>
      <c r="S180" s="332">
        <f>IF(Q179=0,0,(S179/Q179))</f>
        <v>0.27575263101328784</v>
      </c>
      <c r="T180" s="38"/>
      <c r="U180" s="35"/>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5"/>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3144</v>
      </c>
      <c r="D182" s="269" t="e">
        <f>D175+D177+D179</f>
        <v>#N/A</v>
      </c>
      <c r="E182" s="270" t="e">
        <f>IF(D182&lt;=0,0,F182/D182)</f>
        <v>#N/A</v>
      </c>
      <c r="F182" s="271" t="e">
        <f>#REF!+#REF!+#REF!</f>
        <v>#REF!</v>
      </c>
      <c r="G182" s="272"/>
      <c r="H182" s="270"/>
      <c r="I182" s="271"/>
      <c r="J182" s="272">
        <f>J175+J177+J179</f>
        <v>99</v>
      </c>
      <c r="K182" s="269">
        <f>IF(J182&lt;=0,0,L182/J182)</f>
        <v>693.96222222221058</v>
      </c>
      <c r="L182" s="271">
        <f>L175+L179+L177</f>
        <v>68702.259999998845</v>
      </c>
      <c r="M182" s="272" t="e">
        <f>J182-D182</f>
        <v>#N/A</v>
      </c>
      <c r="N182" s="271" t="e">
        <f>L182-F182</f>
        <v>#REF!</v>
      </c>
      <c r="O182" s="272">
        <f>O175+O177+O179</f>
        <v>106</v>
      </c>
      <c r="P182" s="269">
        <f>IF(O182&lt;=0,0,Q182/O182)</f>
        <v>671.97820754716486</v>
      </c>
      <c r="Q182" s="271">
        <f>Q175+Q179+Q177</f>
        <v>71229.689999999478</v>
      </c>
      <c r="R182" s="272">
        <f>J182-O182</f>
        <v>-7</v>
      </c>
      <c r="S182" s="271">
        <f>L182-Q182</f>
        <v>-2527.4300000006333</v>
      </c>
      <c r="T182" s="38"/>
      <c r="U182" s="35"/>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5"/>
      <c r="L183" s="960"/>
      <c r="M183" s="276"/>
      <c r="N183" s="277"/>
      <c r="O183" s="273"/>
      <c r="P183" s="945"/>
      <c r="Q183" s="960"/>
      <c r="R183" s="276">
        <f>O182/R182</f>
        <v>-15.142857142857142</v>
      </c>
      <c r="S183" s="326">
        <f>IF(Q182=0,0,(S182/Q182))</f>
        <v>-3.5482816224535751E-2</v>
      </c>
      <c r="T183" s="38"/>
      <c r="U183" s="35"/>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5"/>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5"/>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0.21295878767307286</v>
      </c>
      <c r="K186" s="281">
        <f>IF($J$97=0,0,L186/(J$94+J$95+J182))</f>
        <v>123.98940677966101</v>
      </c>
      <c r="L186" s="266">
        <f>SUMIFS(BV_Data_An_Cour!$AM:$AM,BV_Data_An_Cour!$AP:$AP,$B186,BV_Data_An_Cour!$AQ:$AQ,$C186,BV_Data_An_Cour!$AR:$AR,$L$2)</f>
        <v>14630.75</v>
      </c>
      <c r="M186" s="243"/>
      <c r="N186" s="266">
        <f t="shared" ref="N186:N227" si="40">L186-F186</f>
        <v>14630.75</v>
      </c>
      <c r="O186" s="282">
        <f>Q186/Q182</f>
        <v>0</v>
      </c>
      <c r="P186" s="281">
        <f>IF($J$97=0,0,Q186/(O$94+O$95+O182))</f>
        <v>0</v>
      </c>
      <c r="Q186" s="266">
        <f>SUMIFS(BV_Data_An_Prec!$AM:$AM,BV_Data_An_Prec!$AP:$AP,$B186,BV_Data_An_Prec!$AQ:$AQ,$C186,BV_Data_An_Prec!$AR:$AR,$L$2)</f>
        <v>0</v>
      </c>
      <c r="R186" s="243"/>
      <c r="S186" s="266">
        <f t="shared" ref="S186:S227" si="41">L186-Q186</f>
        <v>14630.75</v>
      </c>
      <c r="T186" s="35">
        <v>14631</v>
      </c>
      <c r="U186" s="35" t="s">
        <v>3364</v>
      </c>
      <c r="V186" s="35" t="s">
        <v>3364</v>
      </c>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5"/>
      <c r="U187" s="35"/>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-4.7622881355932263</v>
      </c>
      <c r="L188" s="303">
        <f>SUMIFS(BV_Data_An_Cour!$AM:$AM,BV_Data_An_Cour!$AP:$AP,$B188,BV_Data_An_Cour!$AQ:$AQ,$C188,BV_Data_An_Cour!$AR:$AR,$L$2)</f>
        <v>-561.95000000000073</v>
      </c>
      <c r="M188" s="243"/>
      <c r="N188" s="266">
        <f t="shared" si="40"/>
        <v>-561.95000000000073</v>
      </c>
      <c r="O188" s="243"/>
      <c r="P188" s="281">
        <f>IF($J$97=0,0,Q188/(O$94+O$95+O182))</f>
        <v>0</v>
      </c>
      <c r="Q188" s="303">
        <f>SUMIFS(BV_Data_An_Prec!$AM:$AM,BV_Data_An_Prec!$AP:$AP,$B188,BV_Data_An_Prec!$AQ:$AQ,$C188,BV_Data_An_Prec!$AR:$AR,$L$2)</f>
        <v>0</v>
      </c>
      <c r="R188" s="243"/>
      <c r="S188" s="266">
        <f t="shared" si="41"/>
        <v>-561.95000000000073</v>
      </c>
      <c r="T188" s="35"/>
      <c r="U188" s="35" t="s">
        <v>3370</v>
      </c>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5"/>
      <c r="U189" s="35"/>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91"/>
      <c r="U190" s="35"/>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91"/>
      <c r="U191" s="35"/>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272.67457627118648</v>
      </c>
      <c r="L192" s="658">
        <f>SUMIFS(BV_Data_An_Cour!$AM:$AM,BV_Data_An_Cour!$AP:$AP,$B192,BV_Data_An_Cour!$AQ:$AQ,$C192,BV_Data_An_Cour!$AR:$AR,$L$2)</f>
        <v>32175.600000000006</v>
      </c>
      <c r="M192" s="243"/>
      <c r="N192" s="658">
        <f t="shared" si="40"/>
        <v>32175.600000000006</v>
      </c>
      <c r="O192" s="243"/>
      <c r="P192" s="281">
        <f>IF($J$97=0,0,Q192/(O$94+O$95+O182))</f>
        <v>200.42324324324335</v>
      </c>
      <c r="Q192" s="658">
        <f>SUMIFS(BV_Data_An_Prec!$AM:$AM,BV_Data_An_Prec!$AP:$AP,$B192,BV_Data_An_Prec!$AQ:$AQ,$C192,BV_Data_An_Prec!$AR:$AR,$L$2)</f>
        <v>22246.98000000001</v>
      </c>
      <c r="R192" s="243"/>
      <c r="S192" s="266">
        <f t="shared" si="41"/>
        <v>9928.6199999999953</v>
      </c>
      <c r="T192" s="35">
        <v>32176</v>
      </c>
      <c r="U192" s="35"/>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5"/>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f>IF($J$97=0,0,Q194/(O$94+O$95))</f>
        <v>0</v>
      </c>
      <c r="Q194" s="246">
        <f>SUMIFS(BV_Data_An_Prec!$AM:$AM,BV_Data_An_Prec!$AP:$AP,$B194,BV_Data_An_Prec!$AQ:$AQ,$C194,BV_Data_An_Prec!$AR:$AR,$L$2)</f>
        <v>0</v>
      </c>
      <c r="R194" s="243"/>
      <c r="S194" s="266">
        <f t="shared" si="41"/>
        <v>0</v>
      </c>
      <c r="T194" s="38"/>
      <c r="U194" s="35"/>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5"/>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1.1656155951786622</v>
      </c>
      <c r="L196" s="294">
        <f>SUM(L186:L195)</f>
        <v>46244.400000000009</v>
      </c>
      <c r="M196" s="296"/>
      <c r="N196" s="294">
        <f t="shared" si="40"/>
        <v>46244.400000000009</v>
      </c>
      <c r="O196" s="295" t="s">
        <v>115</v>
      </c>
      <c r="P196" s="293">
        <f>Q196/Q$109</f>
        <v>-0.94780768948921557</v>
      </c>
      <c r="Q196" s="294">
        <f>SUM(Q186:Q195)</f>
        <v>22246.98000000001</v>
      </c>
      <c r="R196" s="297"/>
      <c r="S196" s="294">
        <f t="shared" si="41"/>
        <v>23997.42</v>
      </c>
      <c r="T196" s="38"/>
      <c r="U196" s="35"/>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8333.3300000000017</v>
      </c>
      <c r="M197" s="243"/>
      <c r="N197" s="266">
        <f t="shared" si="40"/>
        <v>8333.3300000000017</v>
      </c>
      <c r="O197" s="243"/>
      <c r="P197" s="38"/>
      <c r="Q197" s="266">
        <f>SUMIFS(BV_Data_An_Prec!$AM:$AM,BV_Data_An_Prec!$AP:$AP,$B197,BV_Data_An_Prec!$AQ:$AQ,$C197,BV_Data_An_Prec!$AR:$AR,$L$2)</f>
        <v>-57273.609999999986</v>
      </c>
      <c r="R197" s="243"/>
      <c r="S197" s="266">
        <f t="shared" si="41"/>
        <v>65606.939999999988</v>
      </c>
      <c r="T197" s="38"/>
      <c r="U197" s="35" t="s">
        <v>3209</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-13054.200000000004</v>
      </c>
      <c r="M198" s="243"/>
      <c r="N198" s="266">
        <f t="shared" si="40"/>
        <v>-13054.200000000004</v>
      </c>
      <c r="O198" s="243"/>
      <c r="P198" s="38"/>
      <c r="Q198" s="266">
        <f>SUMIFS(BV_Data_An_Prec!$AM:$AM,BV_Data_An_Prec!$AP:$AP,$B198,BV_Data_An_Prec!$AQ:$AQ,$C198,BV_Data_An_Prec!$AR:$AR,$L$2)</f>
        <v>12686.980000000003</v>
      </c>
      <c r="R198" s="243"/>
      <c r="S198" s="266">
        <f t="shared" si="41"/>
        <v>-25741.180000000008</v>
      </c>
      <c r="T198" s="38"/>
      <c r="U198" s="35" t="s">
        <v>3371</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0</v>
      </c>
      <c r="M199" s="233"/>
      <c r="N199" s="303">
        <f t="shared" si="40"/>
        <v>0</v>
      </c>
      <c r="O199" s="233"/>
      <c r="P199" s="301"/>
      <c r="Q199" s="303">
        <f>SUMIFS(BV_Data_An_Prec!$AM:$AM,BV_Data_An_Prec!$AP:$AP,$B199,BV_Data_An_Prec!$AQ:$AQ,$C199,BV_Data_An_Prec!$AR:$AR,$L$2)</f>
        <v>33648.75</v>
      </c>
      <c r="R199" s="233"/>
      <c r="S199" s="303">
        <f t="shared" si="41"/>
        <v>-33648.75</v>
      </c>
      <c r="T199" s="38"/>
      <c r="U199" s="35"/>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5"/>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5"/>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5"/>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5"/>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2536.4600000000009</v>
      </c>
      <c r="M204" s="243"/>
      <c r="N204" s="266">
        <f t="shared" si="40"/>
        <v>2536.4600000000009</v>
      </c>
      <c r="O204" s="243"/>
      <c r="P204" s="38"/>
      <c r="Q204" s="266">
        <f>SUMIFS(BV_Data_An_Prec!$AM:$AM,BV_Data_An_Prec!$AP:$AP,$B204,BV_Data_An_Prec!$AQ:$AQ,$C204,BV_Data_An_Prec!$AR:$AR,$L$2)</f>
        <v>2494.6800000000003</v>
      </c>
      <c r="R204" s="243"/>
      <c r="S204" s="266">
        <f t="shared" si="41"/>
        <v>41.780000000000655</v>
      </c>
      <c r="T204" s="38"/>
      <c r="U204" s="35"/>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4952.4199999999983</v>
      </c>
      <c r="M205" s="233"/>
      <c r="N205" s="303">
        <f t="shared" si="40"/>
        <v>4952.4199999999983</v>
      </c>
      <c r="O205" s="233"/>
      <c r="P205" s="301"/>
      <c r="Q205" s="303">
        <f>SUMIFS(BV_Data_An_Prec!$AM:$AM,BV_Data_An_Prec!$AP:$AP,$B205,BV_Data_An_Prec!$AQ:$AQ,$C205,BV_Data_An_Prec!$AR:$AR,$L$2)</f>
        <v>2841.66</v>
      </c>
      <c r="R205" s="233"/>
      <c r="S205" s="303">
        <f t="shared" si="41"/>
        <v>2110.7599999999984</v>
      </c>
      <c r="T205" s="38"/>
      <c r="U205" s="35"/>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691.9399999999996</v>
      </c>
      <c r="M206" s="243"/>
      <c r="N206" s="266">
        <f t="shared" si="40"/>
        <v>691.9399999999996</v>
      </c>
      <c r="O206" s="243"/>
      <c r="P206" s="38"/>
      <c r="Q206" s="266">
        <f>SUMIFS(BV_Data_An_Prec!$AM:$AM,BV_Data_An_Prec!$AP:$AP,$B206,BV_Data_An_Prec!$AQ:$AQ,$C206,BV_Data_An_Prec!$AR:$AR,$L$2)</f>
        <v>6711.51</v>
      </c>
      <c r="R206" s="243"/>
      <c r="S206" s="266">
        <f t="shared" si="41"/>
        <v>-6019.5700000000006</v>
      </c>
      <c r="T206" s="38"/>
      <c r="U206" s="35"/>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417.89</v>
      </c>
      <c r="M207" s="243"/>
      <c r="N207" s="266">
        <f t="shared" si="40"/>
        <v>417.89</v>
      </c>
      <c r="O207" s="243"/>
      <c r="P207" s="38"/>
      <c r="Q207" s="266">
        <f>SUMIFS(BV_Data_An_Prec!$AM:$AM,BV_Data_An_Prec!$AP:$AP,$B207,BV_Data_An_Prec!$AQ:$AQ,$C207,BV_Data_An_Prec!$AR:$AR,$L$2)</f>
        <v>0</v>
      </c>
      <c r="R207" s="243"/>
      <c r="S207" s="266">
        <f t="shared" si="41"/>
        <v>417.89</v>
      </c>
      <c r="T207" s="38"/>
      <c r="U207" s="35"/>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5"/>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9.7743094939227629E-2</v>
      </c>
      <c r="L209" s="294">
        <f>SUM(L197:L208)</f>
        <v>3877.8399999999961</v>
      </c>
      <c r="M209" s="296"/>
      <c r="N209" s="294">
        <f t="shared" si="40"/>
        <v>3877.8399999999961</v>
      </c>
      <c r="O209" s="295" t="s">
        <v>115</v>
      </c>
      <c r="P209" s="293">
        <f>Q209/Q$109</f>
        <v>-4.7289029841459863E-2</v>
      </c>
      <c r="Q209" s="294">
        <f>SUM(Q197:Q208)</f>
        <v>1109.9700000000175</v>
      </c>
      <c r="R209" s="297"/>
      <c r="S209" s="294">
        <f t="shared" si="41"/>
        <v>2767.8699999999785</v>
      </c>
      <c r="T209" s="38"/>
      <c r="U209" s="35"/>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5"/>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5"/>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5"/>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5"/>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5"/>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91"/>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5"/>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91"/>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450</v>
      </c>
      <c r="M218" s="243"/>
      <c r="N218" s="266">
        <f t="shared" si="40"/>
        <v>450</v>
      </c>
      <c r="O218" s="243"/>
      <c r="P218" s="38"/>
      <c r="Q218" s="266">
        <f>SUMIFS(BV_Data_An_Prec!$AM:$AM,BV_Data_An_Prec!$AP:$AP,$B218,BV_Data_An_Prec!$AQ:$AQ,$C218,BV_Data_An_Prec!$AR:$AR,$L$2)</f>
        <v>0</v>
      </c>
      <c r="R218" s="243"/>
      <c r="S218" s="266">
        <f t="shared" si="41"/>
        <v>450</v>
      </c>
      <c r="T218" s="38"/>
      <c r="U218" s="35"/>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630</v>
      </c>
      <c r="M219" s="243"/>
      <c r="N219" s="266">
        <f t="shared" si="40"/>
        <v>630</v>
      </c>
      <c r="O219" s="243"/>
      <c r="P219" s="38"/>
      <c r="Q219" s="266">
        <f>SUMIFS(BV_Data_An_Prec!$AM:$AM,BV_Data_An_Prec!$AP:$AP,$B219,BV_Data_An_Prec!$AQ:$AQ,$C219,BV_Data_An_Prec!$AR:$AR,$L$2)</f>
        <v>0</v>
      </c>
      <c r="R219" s="243"/>
      <c r="S219" s="266">
        <f t="shared" si="41"/>
        <v>630</v>
      </c>
      <c r="T219" s="38"/>
      <c r="U219" s="35"/>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922.94999999999982</v>
      </c>
      <c r="M220" s="243"/>
      <c r="N220" s="266">
        <f t="shared" si="40"/>
        <v>922.94999999999982</v>
      </c>
      <c r="O220" s="243"/>
      <c r="P220" s="38"/>
      <c r="Q220" s="266">
        <f>SUMIFS(BV_Data_An_Prec!$AM:$AM,BV_Data_An_Prec!$AP:$AP,$B220,BV_Data_An_Prec!$AQ:$AQ,$C220,BV_Data_An_Prec!$AR:$AR,$L$2)</f>
        <v>41.979999999999563</v>
      </c>
      <c r="R220" s="243"/>
      <c r="S220" s="266">
        <f t="shared" si="41"/>
        <v>880.97000000000025</v>
      </c>
      <c r="T220" s="38"/>
      <c r="U220" s="35"/>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5"/>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17.5</v>
      </c>
      <c r="M223" s="243"/>
      <c r="N223" s="658">
        <f t="shared" si="40"/>
        <v>17.5</v>
      </c>
      <c r="O223" s="243"/>
      <c r="P223" s="38"/>
      <c r="Q223" s="658">
        <f>SUMIFS(BV_Data_An_Prec!$AM:$AM,BV_Data_An_Prec!$AP:$AP,$B223,BV_Data_An_Prec!$AQ:$AQ,$C223,BV_Data_An_Prec!$AR:$AR,$L$2)</f>
        <v>0</v>
      </c>
      <c r="R223" s="243"/>
      <c r="S223" s="266">
        <f t="shared" si="41"/>
        <v>17.5</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5.0926556064706807E-2</v>
      </c>
      <c r="L227" s="294">
        <f>+SUM(L210:L226)</f>
        <v>2020.4499999999998</v>
      </c>
      <c r="M227" s="296"/>
      <c r="N227" s="294">
        <f t="shared" si="40"/>
        <v>2020.4499999999998</v>
      </c>
      <c r="O227" s="295" t="s">
        <v>115</v>
      </c>
      <c r="P227" s="293">
        <f>Q227/Q$109</f>
        <v>-1.7885109261911881E-3</v>
      </c>
      <c r="Q227" s="294">
        <f>+SUM(Q210:Q226)</f>
        <v>41.979999999999563</v>
      </c>
      <c r="R227" s="297"/>
      <c r="S227" s="294">
        <f t="shared" si="41"/>
        <v>1978.4700000000003</v>
      </c>
      <c r="T227" s="38"/>
      <c r="U227" s="35"/>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5"/>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1.3142852461825965</v>
      </c>
      <c r="L229" s="294">
        <f>L196+L209+L227</f>
        <v>52142.69</v>
      </c>
      <c r="M229" s="296"/>
      <c r="N229" s="294">
        <f t="shared" ref="N229:N236" si="42">L229-F229</f>
        <v>52142.69</v>
      </c>
      <c r="O229" s="295" t="s">
        <v>115</v>
      </c>
      <c r="P229" s="293">
        <f>Q229/Q$109</f>
        <v>-0.99688523025686659</v>
      </c>
      <c r="Q229" s="294">
        <f>Q196+Q209+Q227</f>
        <v>23398.930000000026</v>
      </c>
      <c r="R229" s="297"/>
      <c r="S229" s="294">
        <f t="shared" ref="S229:S236" si="43">L229-Q229</f>
        <v>28743.759999999977</v>
      </c>
      <c r="T229" s="38"/>
      <c r="U229" s="35"/>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5"/>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5"/>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5"/>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5"/>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5"/>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5"/>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5"/>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5"/>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5"/>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16559.569999998843</v>
      </c>
      <c r="M239" s="958"/>
      <c r="N239" s="956" t="e">
        <f>L239-F239</f>
        <v>#REF!</v>
      </c>
      <c r="O239" s="957"/>
      <c r="P239" s="955"/>
      <c r="Q239" s="956">
        <f>Q182-Q229+Q237</f>
        <v>47830.759999999456</v>
      </c>
      <c r="R239" s="959"/>
      <c r="S239" s="956">
        <f>L239-Q239</f>
        <v>-31271.190000000614</v>
      </c>
      <c r="T239" s="38"/>
      <c r="U239" s="35"/>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Juin 2026</v>
      </c>
      <c r="T242" s="226"/>
      <c r="U242" s="1049"/>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44" t="s">
        <v>339</v>
      </c>
      <c r="E244" s="1245"/>
      <c r="F244" s="1246"/>
      <c r="G244" s="1249"/>
      <c r="H244" s="1245"/>
      <c r="I244" s="1246"/>
      <c r="J244" s="1249" t="s">
        <v>340</v>
      </c>
      <c r="K244" s="1245"/>
      <c r="L244" s="1246"/>
      <c r="M244" s="1249" t="s">
        <v>668</v>
      </c>
      <c r="N244" s="1246"/>
      <c r="O244" s="1244" t="s">
        <v>341</v>
      </c>
      <c r="P244" s="1245"/>
      <c r="Q244" s="1246"/>
      <c r="R244" s="1247" t="s">
        <v>670</v>
      </c>
      <c r="S244" s="1248"/>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248</v>
      </c>
      <c r="K246" s="281">
        <f>-SUMIFS(BV_Data_An_Cour!$AM:$AM,BV_Data_An_Cour!$AS:$AS,"Oui",BV_Data_An_Cour!$AP:$AP,$B246,BV_Data_An_Cour!$AQ:$AQ,$C246)</f>
        <v>57146.119999999981</v>
      </c>
      <c r="L246" s="266">
        <f>-SUMIFS(BV_Data_An_Cour!$AM:$AM,BV_Data_An_Cour!$AP:$AP,$B246,BV_Data_An_Cour!$AQ:$AQ,$C246,BV_Data_An_Cour!$AR:$AR,$L$2)</f>
        <v>40017.849999999984</v>
      </c>
      <c r="M246" s="282" t="e">
        <f>(K246-E246)/E246</f>
        <v>#DIV/0!</v>
      </c>
      <c r="N246" s="266">
        <f>L246-F246</f>
        <v>40017.849999999984</v>
      </c>
      <c r="O246" s="245">
        <f>SUMIFS(BV_Data_An_Prec!$AW:$AW,BV_Data_An_Prec!$AP:$AP,$B246,BV_Data_An_Prec!$AQ:$AQ,$C246,BV_Data_An_Prec!$AY:$AY,O$2)</f>
        <v>210</v>
      </c>
      <c r="P246" s="281">
        <f>-SUMIFS(BV_Data_An_Prec!$AM:$AM,BV_Data_An_Prec!$AS:$AS,"Oui",BV_Data_An_Prec!$AP:$AP,$B246,BV_Data_An_Prec!$AQ:$AQ,$C246)</f>
        <v>80373.72000000003</v>
      </c>
      <c r="Q246" s="266">
        <f>-SUMIFS(BV_Data_An_Prec!$AM:$AM,BV_Data_An_Prec!$AP:$AP,$B246,BV_Data_An_Prec!$AQ:$AQ,$C246,BV_Data_An_Prec!$AR:$AR,$L$2)</f>
        <v>62675.450000000026</v>
      </c>
      <c r="R246" s="282">
        <f>IF(O246=0,0,J246/O246)</f>
        <v>1.180952380952381</v>
      </c>
      <c r="S246" s="266">
        <f>L246-Q246</f>
        <v>-22657.600000000042</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0.70027238944656256</v>
      </c>
      <c r="M247" s="282"/>
      <c r="N247" s="266"/>
      <c r="O247" s="267"/>
      <c r="P247" s="38"/>
      <c r="Q247" s="332">
        <f>IF(Q246=0,0,Q246/P246)</f>
        <v>0.77980028795481915</v>
      </c>
      <c r="R247" s="267"/>
      <c r="S247" s="332">
        <f>IF(Q246=0,0,(S246/Q246))</f>
        <v>-0.36150677817231519</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230.42790322580638</v>
      </c>
      <c r="L248" s="334"/>
      <c r="M248" s="285"/>
      <c r="N248" s="286"/>
      <c r="O248" s="335"/>
      <c r="P248" s="333">
        <f>IFERROR(P246/O246,0)</f>
        <v>382.73200000000014</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381</v>
      </c>
      <c r="K249" s="336">
        <f>-SUMIFS(BV_Data_An_Cour!$AM:$AM,BV_Data_An_Cour!$AS:$AS,"Oui",BV_Data_An_Cour!$AP:$AP,$B249,BV_Data_An_Cour!$AQ:$AQ,$C249)</f>
        <v>70178.250000000029</v>
      </c>
      <c r="L249" s="266">
        <f>-SUMIFS(BV_Data_An_Cour!$AM:$AM,BV_Data_An_Cour!$AP:$AP,$B249,BV_Data_An_Cour!$AQ:$AQ,$C249,BV_Data_An_Cour!$AR:$AR,$L$2)</f>
        <v>42852.080000000031</v>
      </c>
      <c r="M249" s="282" t="e">
        <f>(K249-E249)/E249</f>
        <v>#DIV/0!</v>
      </c>
      <c r="N249" s="303">
        <f>L249-F249</f>
        <v>42852.080000000031</v>
      </c>
      <c r="O249" s="245">
        <f>SUMIFS(BV_Data_An_Prec!$AW:$AW,BV_Data_An_Prec!$AP:$AP,$B249,BV_Data_An_Prec!$AQ:$AQ,$C249,BV_Data_An_Prec!$AY:$AY,O$2)</f>
        <v>377</v>
      </c>
      <c r="P249" s="336">
        <f>-SUMIFS(BV_Data_An_Prec!$AM:$AM,BV_Data_An_Prec!$AS:$AS,"Oui",BV_Data_An_Prec!$AP:$AP,$B249,BV_Data_An_Prec!$AQ:$AQ,$C249)</f>
        <v>52490.790000000008</v>
      </c>
      <c r="Q249" s="266">
        <f>-SUMIFS(BV_Data_An_Prec!$AM:$AM,BV_Data_An_Prec!$AP:$AP,$B249,BV_Data_An_Prec!$AQ:$AQ,$C249,BV_Data_An_Prec!$AR:$AR,$L$2)</f>
        <v>37518.78</v>
      </c>
      <c r="R249" s="282">
        <f>IF(O249=0,0,J249/O249)</f>
        <v>1.0106100795755968</v>
      </c>
      <c r="S249" s="266">
        <f>L249-Q249</f>
        <v>5333.300000000032</v>
      </c>
      <c r="T249" s="281"/>
      <c r="U249" s="35"/>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0.61061767712931014</v>
      </c>
      <c r="M250" s="282"/>
      <c r="N250" s="332"/>
      <c r="O250" s="243"/>
      <c r="P250" s="38"/>
      <c r="Q250" s="332">
        <f>IF(Q249=0,0,Q249/P249)</f>
        <v>0.71476881944432524</v>
      </c>
      <c r="R250" s="282"/>
      <c r="S250" s="332">
        <f>IF(Q249=0,0,(S249/Q249))</f>
        <v>0.1421501445409481</v>
      </c>
      <c r="T250" s="38"/>
      <c r="U250" s="35"/>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184.19488188976385</v>
      </c>
      <c r="L251" s="334"/>
      <c r="M251" s="285"/>
      <c r="N251" s="286"/>
      <c r="O251" s="335"/>
      <c r="P251" s="333">
        <f>IFERROR(P249/O249,0)</f>
        <v>139.23286472148544</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468</v>
      </c>
      <c r="K252" s="336">
        <f>-SUMIFS(BV_Data_An_Cour!$AM:$AM,BV_Data_An_Cour!$AS:$AS,"Oui",BV_Data_An_Cour!$AP:$AP,$B252,BV_Data_An_Cour!$AQ:$AQ,$C252)</f>
        <v>77739.280000000057</v>
      </c>
      <c r="L252" s="266">
        <f>-SUMIFS(BV_Data_An_Cour!$AM:$AM,BV_Data_An_Cour!$AP:$AP,$B252,BV_Data_An_Cour!$AQ:$AQ,$C252,BV_Data_An_Cour!$AR:$AR,$L$2)</f>
        <v>56090.140000000058</v>
      </c>
      <c r="M252" s="282" t="e">
        <f>(K252-E252)/E252</f>
        <v>#DIV/0!</v>
      </c>
      <c r="N252" s="266">
        <f>L252-F252</f>
        <v>56090.140000000058</v>
      </c>
      <c r="O252" s="245">
        <f>SUMIFS(BV_Data_An_Prec!$AW:$AW,BV_Data_An_Prec!$AP:$AP,$B252,BV_Data_An_Prec!$AQ:$AQ,$C252,BV_Data_An_Prec!$AY:$AY,O$2)</f>
        <v>691</v>
      </c>
      <c r="P252" s="336">
        <f>-SUMIFS(BV_Data_An_Prec!$AM:$AM,BV_Data_An_Prec!$AS:$AS,"Oui",BV_Data_An_Prec!$AP:$AP,$B252,BV_Data_An_Prec!$AQ:$AQ,$C252)</f>
        <v>90904.360000000015</v>
      </c>
      <c r="Q252" s="266">
        <f>-SUMIFS(BV_Data_An_Prec!$AM:$AM,BV_Data_An_Prec!$AP:$AP,$B252,BV_Data_An_Prec!$AQ:$AQ,$C252,BV_Data_An_Prec!$AR:$AR,$L$2)</f>
        <v>72531.420000000013</v>
      </c>
      <c r="R252" s="282">
        <f>IF(O252=0,0,J252/O252)</f>
        <v>0.6772793053545586</v>
      </c>
      <c r="S252" s="266">
        <f>L252-Q252</f>
        <v>-16441.279999999955</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0.7215160726983838</v>
      </c>
      <c r="M253" s="282"/>
      <c r="N253" s="266" t="e">
        <f>L253-F253</f>
        <v>#DIV/0!</v>
      </c>
      <c r="O253" s="267"/>
      <c r="P253" s="325"/>
      <c r="Q253" s="332">
        <f>IF(Q252=0,0,Q252/P252)</f>
        <v>0.79788714204687217</v>
      </c>
      <c r="R253" s="267"/>
      <c r="S253" s="332">
        <f>IF(Q252=0,0,(S252/Q252))</f>
        <v>-0.22667803829016381</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166.10957264957278</v>
      </c>
      <c r="L254" s="334"/>
      <c r="M254" s="285"/>
      <c r="N254" s="286"/>
      <c r="O254" s="335"/>
      <c r="P254" s="333">
        <f>IFERROR(P252/O252,0)</f>
        <v>131.55479015918959</v>
      </c>
      <c r="Q254" s="334"/>
      <c r="R254" s="335"/>
      <c r="S254" s="266"/>
      <c r="T254" s="281"/>
      <c r="U254" s="1052"/>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35" t="s">
        <v>3373</v>
      </c>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1052"/>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-661.34000000000015</v>
      </c>
      <c r="M258" s="267"/>
      <c r="N258" s="266">
        <f>L258-F258</f>
        <v>-661.34000000000015</v>
      </c>
      <c r="O258" s="267"/>
      <c r="P258" s="281"/>
      <c r="Q258" s="281">
        <f>-SUMIFS(BV_Data_An_Prec!$AM:$AM,BV_Data_An_Prec!$AP:$AP,$B258,BV_Data_An_Prec!$AQ:$AQ,$C258,BV_Data_An_Prec!$AR:$AR,$L$2)</f>
        <v>-3746.4000000000015</v>
      </c>
      <c r="R258" s="345"/>
      <c r="S258" s="266">
        <f t="shared" ref="S258:S259" si="44">L258-Q258</f>
        <v>3085.0600000000013</v>
      </c>
      <c r="T258" s="38"/>
      <c r="U258" s="35"/>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3">
        <f t="shared" ref="J259:K259" si="45">J246+J249+J252+J255+J258</f>
        <v>1097</v>
      </c>
      <c r="K259" s="974">
        <f t="shared" si="45"/>
        <v>205063.65000000008</v>
      </c>
      <c r="L259" s="975">
        <f>L246+L249+L252+L255+L258</f>
        <v>138298.73000000007</v>
      </c>
      <c r="M259" s="976" t="e">
        <f>(K259-E259)/E259</f>
        <v>#DIV/0!</v>
      </c>
      <c r="N259" s="975">
        <f>L259-F259</f>
        <v>138298.73000000007</v>
      </c>
      <c r="O259" s="973">
        <f t="shared" ref="O259:P259" si="46">O246+O249+O252+O255+O258</f>
        <v>1278</v>
      </c>
      <c r="P259" s="974">
        <f t="shared" si="46"/>
        <v>223768.87000000005</v>
      </c>
      <c r="Q259" s="975">
        <f>Q246+Q249+Q252+Q255+Q258</f>
        <v>168979.25000000003</v>
      </c>
      <c r="R259" s="254">
        <f>IF(O259=0,0,J259/O259)</f>
        <v>0.85837245696400621</v>
      </c>
      <c r="S259" s="348">
        <f t="shared" si="44"/>
        <v>-30680.51999999996</v>
      </c>
      <c r="T259" s="305"/>
      <c r="U259" s="35"/>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7"/>
      <c r="K260" s="978">
        <f>IF(J259=0,0,K259/J259)</f>
        <v>186.93131267092076</v>
      </c>
      <c r="L260" s="255">
        <f>IF(L259=0,0,L259/K259)</f>
        <v>0.67441855248358262</v>
      </c>
      <c r="M260" s="977"/>
      <c r="N260" s="979" t="e">
        <f>N259/F259</f>
        <v>#DIV/0!</v>
      </c>
      <c r="O260" s="977"/>
      <c r="P260" s="978">
        <f>IF(O259=0,0,P259/O259)</f>
        <v>175.09301251956185</v>
      </c>
      <c r="Q260" s="255">
        <f>IF(Q259=0,0,Q259/P259)</f>
        <v>0.75515083934597327</v>
      </c>
      <c r="R260" s="354"/>
      <c r="S260" s="255">
        <f>S259/Q259</f>
        <v>-0.18156383106209759</v>
      </c>
      <c r="T260" s="305"/>
      <c r="U260" s="35"/>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0"/>
      <c r="F261" s="303"/>
      <c r="G261" s="337"/>
      <c r="H261" s="990"/>
      <c r="I261" s="303"/>
      <c r="J261" s="337"/>
      <c r="K261" s="990"/>
      <c r="L261" s="303"/>
      <c r="M261" s="337"/>
      <c r="N261" s="303"/>
      <c r="O261" s="337"/>
      <c r="P261" s="990"/>
      <c r="Q261" s="303"/>
      <c r="R261" s="337"/>
      <c r="S261" s="303"/>
      <c r="T261" s="305"/>
      <c r="U261" s="35"/>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332</v>
      </c>
      <c r="K262" s="281">
        <f>-SUMIFS(BV_Data_An_Cour!$AM:$AM,BV_Data_An_Cour!$AS:$AS,"Oui",BV_Data_An_Cour!$AP:$AP,$B262,BV_Data_An_Cour!$AQ:$AQ,$C262)</f>
        <v>14805.160000000003</v>
      </c>
      <c r="L262" s="266">
        <f>-SUMIFS(BV_Data_An_Cour!$AM:$AM,BV_Data_An_Cour!$AP:$AP,$B262,BV_Data_An_Cour!$AQ:$AQ,$C262,BV_Data_An_Cour!$AR:$AR,$L$2)</f>
        <v>3538.3799999999992</v>
      </c>
      <c r="M262" s="282">
        <f>IF(E262=0,0,(K262-E262)/E262)</f>
        <v>0</v>
      </c>
      <c r="N262" s="266">
        <f>L262-F262</f>
        <v>3538.3799999999992</v>
      </c>
      <c r="O262" s="245">
        <f>SUMIFS(BV_Data_An_Prec!$AW:$AW,BV_Data_An_Prec!$AP:$AP,$B262,BV_Data_An_Prec!$AQ:$AQ,$C262,BV_Data_An_Prec!$AY:$AY,O$2)</f>
        <v>416</v>
      </c>
      <c r="P262" s="281">
        <f>-SUMIFS(BV_Data_An_Prec!$AM:$AM,BV_Data_An_Prec!$AS:$AS,"Oui",BV_Data_An_Prec!$AP:$AP,$B262,BV_Data_An_Prec!$AQ:$AQ,$C262)</f>
        <v>35062.180000000008</v>
      </c>
      <c r="Q262" s="266">
        <f>-SUMIFS(BV_Data_An_Prec!$AM:$AM,BV_Data_An_Prec!$AP:$AP,$B262,BV_Data_An_Prec!$AQ:$AQ,$C262,BV_Data_An_Prec!$AR:$AR,$L$2)</f>
        <v>-501.18000000000029</v>
      </c>
      <c r="R262" s="282">
        <f>IF(O262=0,0,J262/O262)</f>
        <v>0.79807692307692313</v>
      </c>
      <c r="S262" s="266">
        <f>L262-Q262</f>
        <v>4039.5599999999995</v>
      </c>
      <c r="T262" s="305"/>
      <c r="U262" s="35"/>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0.23899640395645833</v>
      </c>
      <c r="M263" s="267"/>
      <c r="N263" s="266"/>
      <c r="O263" s="267"/>
      <c r="P263" s="325"/>
      <c r="Q263" s="332">
        <f>IF(Q262=0,0,Q262/P262)</f>
        <v>-1.4294034198672192E-2</v>
      </c>
      <c r="R263" s="267"/>
      <c r="S263" s="332">
        <f>IF(Q262=0,0,(S262/Q262))</f>
        <v>-8.0600981683227531</v>
      </c>
      <c r="T263" s="305"/>
      <c r="U263" s="35"/>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5"/>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5"/>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1051"/>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5"/>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219868.81000000008</v>
      </c>
      <c r="L268" s="271">
        <f>L259+L262+L265</f>
        <v>141837.11000000007</v>
      </c>
      <c r="M268" s="272" t="e">
        <f>L269-F269</f>
        <v>#DIV/0!</v>
      </c>
      <c r="N268" s="271">
        <f>L268-F268</f>
        <v>141837.11000000007</v>
      </c>
      <c r="O268" s="272"/>
      <c r="P268" s="269">
        <f t="shared" ref="P268" si="48">P259+P262+P265</f>
        <v>258831.05000000005</v>
      </c>
      <c r="Q268" s="271">
        <f>Q259+Q262+Q265</f>
        <v>168478.07000000004</v>
      </c>
      <c r="R268" s="272"/>
      <c r="S268" s="271">
        <f>L268-Q268</f>
        <v>-26640.959999999963</v>
      </c>
      <c r="T268" s="38"/>
      <c r="U268" s="35"/>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5"/>
      <c r="L269" s="326">
        <f>L268/K268</f>
        <v>0.64509882051938161</v>
      </c>
      <c r="M269" s="276"/>
      <c r="N269" s="277" t="e">
        <f>N268/F268</f>
        <v>#DIV/0!</v>
      </c>
      <c r="O269" s="273"/>
      <c r="P269" s="945"/>
      <c r="Q269" s="326">
        <f>Q268/P268</f>
        <v>0.65091908408979526</v>
      </c>
      <c r="R269" s="276"/>
      <c r="S269" s="326">
        <f>L268/S268</f>
        <v>-5.3240239841207027</v>
      </c>
      <c r="T269" s="38"/>
      <c r="U269" s="35"/>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5"/>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5"/>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12571.489999999998</v>
      </c>
      <c r="M272" s="243"/>
      <c r="N272" s="266">
        <f t="shared" ref="N272:N303" si="49">L272-F272</f>
        <v>12571.489999999998</v>
      </c>
      <c r="O272" s="243"/>
      <c r="P272" s="38"/>
      <c r="Q272" s="266">
        <f>SUMIFS(BV_Data_An_Prec!$AM:$AM,BV_Data_An_Prec!$AP:$AP,$B272,BV_Data_An_Prec!$AQ:$AQ,$C272,BV_Data_An_Prec!$AR:$AR,$L$2)</f>
        <v>7473.9599999999991</v>
      </c>
      <c r="R272" s="243"/>
      <c r="S272" s="266">
        <f t="shared" ref="S272:S303" si="50">L272-Q272</f>
        <v>5097.5299999999988</v>
      </c>
      <c r="T272" s="38"/>
      <c r="U272" s="35"/>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8702.179999999993</v>
      </c>
      <c r="M273" s="243"/>
      <c r="N273" s="266">
        <f t="shared" si="49"/>
        <v>8702.179999999993</v>
      </c>
      <c r="O273" s="243"/>
      <c r="P273" s="38"/>
      <c r="Q273" s="266">
        <f>SUMIFS(BV_Data_An_Prec!$AM:$AM,BV_Data_An_Prec!$AP:$AP,$B273,BV_Data_An_Prec!$AQ:$AQ,$C273,BV_Data_An_Prec!$AR:$AR,$L$2)</f>
        <v>24696.190000000002</v>
      </c>
      <c r="R273" s="243"/>
      <c r="S273" s="266">
        <f t="shared" si="50"/>
        <v>-15994.010000000009</v>
      </c>
      <c r="T273" s="38"/>
      <c r="U273" s="35"/>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9470.7700000000041</v>
      </c>
      <c r="M274" s="233"/>
      <c r="N274" s="303">
        <f t="shared" si="49"/>
        <v>9470.7700000000041</v>
      </c>
      <c r="O274" s="233"/>
      <c r="P274" s="301"/>
      <c r="Q274" s="303">
        <f>SUMIFS(BV_Data_An_Prec!$AM:$AM,BV_Data_An_Prec!$AP:$AP,$B274,BV_Data_An_Prec!$AQ:$AQ,$C274,BV_Data_An_Prec!$AR:$AR,$L$2)</f>
        <v>30028.260000000009</v>
      </c>
      <c r="R274" s="233"/>
      <c r="S274" s="303">
        <f t="shared" si="50"/>
        <v>-20557.490000000005</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15838.4</v>
      </c>
      <c r="M275" s="243"/>
      <c r="N275" s="266">
        <f t="shared" si="49"/>
        <v>15838.4</v>
      </c>
      <c r="O275" s="243"/>
      <c r="P275" s="745"/>
      <c r="Q275" s="266">
        <f>SUMIFS(BV_Data_An_Prec!$AM:$AM,BV_Data_An_Prec!$AP:$AP,$B275,BV_Data_An_Prec!$AQ:$AQ,$C275,BV_Data_An_Prec!$AR:$AR,$L$2)</f>
        <v>0</v>
      </c>
      <c r="R275" s="243"/>
      <c r="S275" s="266">
        <f t="shared" si="50"/>
        <v>15838.4</v>
      </c>
      <c r="T275" s="38"/>
      <c r="U275" s="35"/>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5"/>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5"/>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5"/>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12623.830000000002</v>
      </c>
      <c r="M279" s="243"/>
      <c r="N279" s="266">
        <f t="shared" si="49"/>
        <v>12623.830000000002</v>
      </c>
      <c r="O279" s="243"/>
      <c r="P279" s="38"/>
      <c r="Q279" s="266">
        <f>SUMIFS(BV_Data_An_Prec!$AM:$AM,BV_Data_An_Prec!$AP:$AP,$B279,BV_Data_An_Prec!$AQ:$AQ,$C279,BV_Data_An_Prec!$AR:$AR,$L$2)</f>
        <v>16414.25</v>
      </c>
      <c r="R279" s="243"/>
      <c r="S279" s="266">
        <f t="shared" si="50"/>
        <v>-3790.4199999999983</v>
      </c>
      <c r="T279" s="38"/>
      <c r="U279" s="35"/>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16075.080000000002</v>
      </c>
      <c r="M280" s="233"/>
      <c r="N280" s="303">
        <f t="shared" si="49"/>
        <v>16075.080000000002</v>
      </c>
      <c r="O280" s="233"/>
      <c r="P280" s="301"/>
      <c r="Q280" s="303">
        <f>SUMIFS(BV_Data_An_Prec!$AM:$AM,BV_Data_An_Prec!$AP:$AP,$B280,BV_Data_An_Prec!$AQ:$AQ,$C280,BV_Data_An_Prec!$AR:$AR,$L$2)</f>
        <v>18599.5</v>
      </c>
      <c r="R280" s="233"/>
      <c r="S280" s="303">
        <f t="shared" si="50"/>
        <v>-2524.4199999999983</v>
      </c>
      <c r="T280" s="38"/>
      <c r="U280" s="35"/>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4298.3499999999985</v>
      </c>
      <c r="M281" s="243"/>
      <c r="N281" s="266">
        <f t="shared" si="49"/>
        <v>4298.3499999999985</v>
      </c>
      <c r="O281" s="243"/>
      <c r="P281" s="38"/>
      <c r="Q281" s="266">
        <f>SUMIFS(BV_Data_An_Prec!$AM:$AM,BV_Data_An_Prec!$AP:$AP,$B281,BV_Data_An_Prec!$AQ:$AQ,$C281,BV_Data_An_Prec!$AR:$AR,$L$2)</f>
        <v>10569.369999999995</v>
      </c>
      <c r="R281" s="243"/>
      <c r="S281" s="266">
        <f t="shared" si="50"/>
        <v>-6271.0199999999968</v>
      </c>
      <c r="T281" s="38"/>
      <c r="U281" s="35"/>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4709.6000000000004</v>
      </c>
      <c r="M282" s="243"/>
      <c r="N282" s="266">
        <f t="shared" si="49"/>
        <v>4709.6000000000004</v>
      </c>
      <c r="O282" s="243"/>
      <c r="P282" s="38"/>
      <c r="Q282" s="266">
        <f>SUMIFS(BV_Data_An_Prec!$AM:$AM,BV_Data_An_Prec!$AP:$AP,$B282,BV_Data_An_Prec!$AQ:$AQ,$C282,BV_Data_An_Prec!$AR:$AR,$L$2)</f>
        <v>968.47999999999956</v>
      </c>
      <c r="R282" s="243"/>
      <c r="S282" s="266">
        <f t="shared" si="50"/>
        <v>3741.1200000000008</v>
      </c>
      <c r="T282" s="38"/>
      <c r="U282" s="35"/>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5"/>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0.59427113256890218</v>
      </c>
      <c r="L284" s="294">
        <f>+SUM(L272:L283)</f>
        <v>84289.700000000012</v>
      </c>
      <c r="M284" s="296"/>
      <c r="N284" s="294">
        <f t="shared" si="49"/>
        <v>84289.700000000012</v>
      </c>
      <c r="O284" s="295" t="s">
        <v>171</v>
      </c>
      <c r="P284" s="293">
        <f>Q284/Q$268</f>
        <v>0.64548466159423579</v>
      </c>
      <c r="Q284" s="294">
        <f>+SUM(Q272:Q283)</f>
        <v>108750.01</v>
      </c>
      <c r="R284" s="297"/>
      <c r="S284" s="294">
        <f t="shared" si="50"/>
        <v>-24460.309999999983</v>
      </c>
      <c r="T284" s="38"/>
      <c r="U284" s="35"/>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4277.6100000000006</v>
      </c>
      <c r="M285" s="243"/>
      <c r="N285" s="266">
        <f t="shared" si="49"/>
        <v>4277.6100000000006</v>
      </c>
      <c r="O285" s="243"/>
      <c r="P285" s="38"/>
      <c r="Q285" s="266">
        <f>SUMIFS(BV_Data_An_Prec!$AM:$AM,BV_Data_An_Prec!$AP:$AP,$B285,BV_Data_An_Prec!$AQ:$AQ,$C285,BV_Data_An_Prec!$AR:$AR,$L$2)</f>
        <v>626.39000000000033</v>
      </c>
      <c r="R285" s="243"/>
      <c r="S285" s="266">
        <f t="shared" si="50"/>
        <v>3651.2200000000003</v>
      </c>
      <c r="T285" s="38"/>
      <c r="U285" s="35"/>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9916.75</v>
      </c>
      <c r="M286" s="243"/>
      <c r="N286" s="266">
        <f t="shared" si="49"/>
        <v>9916.75</v>
      </c>
      <c r="O286" s="243"/>
      <c r="P286" s="38"/>
      <c r="Q286" s="266">
        <f>SUMIFS(BV_Data_An_Prec!$AM:$AM,BV_Data_An_Prec!$AP:$AP,$B286,BV_Data_An_Prec!$AQ:$AQ,$C286,BV_Data_An_Prec!$AR:$AR,$L$2)</f>
        <v>465.72999999999956</v>
      </c>
      <c r="R286" s="243"/>
      <c r="S286" s="266">
        <f t="shared" si="50"/>
        <v>9451.02</v>
      </c>
      <c r="T286" s="38"/>
      <c r="U286" s="1050" t="s">
        <v>3372</v>
      </c>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14194.269999999999</v>
      </c>
      <c r="M287" s="238"/>
      <c r="N287" s="286">
        <f t="shared" si="49"/>
        <v>14194.269999999999</v>
      </c>
      <c r="O287" s="238"/>
      <c r="P287" s="304"/>
      <c r="Q287" s="266">
        <f>SUMIFS(BV_Data_An_Prec!$AM:$AM,BV_Data_An_Prec!$AP:$AP,$B287,BV_Data_An_Prec!$AQ:$AQ,$C287,BV_Data_An_Prec!$AR:$AR,$L$2)</f>
        <v>-13474.449999999997</v>
      </c>
      <c r="R287" s="238"/>
      <c r="S287" s="286">
        <f t="shared" si="50"/>
        <v>27668.719999999994</v>
      </c>
      <c r="T287" s="38"/>
      <c r="U287" s="35"/>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3487.6999999999989</v>
      </c>
      <c r="M288" s="243"/>
      <c r="N288" s="266">
        <f t="shared" si="49"/>
        <v>3487.6999999999989</v>
      </c>
      <c r="O288" s="243"/>
      <c r="P288" s="38"/>
      <c r="Q288" s="303">
        <f>SUMIFS(BV_Data_An_Prec!$AM:$AM,BV_Data_An_Prec!$AP:$AP,$B288,BV_Data_An_Prec!$AQ:$AQ,$C288,BV_Data_An_Prec!$AR:$AR,$L$2)</f>
        <v>3074.7900000000009</v>
      </c>
      <c r="R288" s="243"/>
      <c r="S288" s="266">
        <f t="shared" si="50"/>
        <v>412.90999999999804</v>
      </c>
      <c r="T288" s="38"/>
      <c r="U288" s="35"/>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552.86000000000058</v>
      </c>
      <c r="M289" s="243"/>
      <c r="N289" s="266">
        <f t="shared" si="49"/>
        <v>552.86000000000058</v>
      </c>
      <c r="O289" s="243"/>
      <c r="P289" s="38"/>
      <c r="Q289" s="266">
        <f>SUMIFS(BV_Data_An_Prec!$AM:$AM,BV_Data_An_Prec!$AP:$AP,$B289,BV_Data_An_Prec!$AQ:$AQ,$C289,BV_Data_An_Prec!$AR:$AR,$L$2)</f>
        <v>475.96</v>
      </c>
      <c r="R289" s="243"/>
      <c r="S289" s="266">
        <f t="shared" si="50"/>
        <v>76.900000000000603</v>
      </c>
      <c r="T289" s="38"/>
      <c r="U289" s="35"/>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12745.529999999995</v>
      </c>
      <c r="M290" s="238"/>
      <c r="N290" s="286">
        <f t="shared" si="49"/>
        <v>12745.529999999995</v>
      </c>
      <c r="O290" s="238"/>
      <c r="P290" s="304"/>
      <c r="Q290" s="266">
        <f>SUMIFS(BV_Data_An_Prec!$AM:$AM,BV_Data_An_Prec!$AP:$AP,$B290,BV_Data_An_Prec!$AQ:$AQ,$C290,BV_Data_An_Prec!$AR:$AR,$L$2)</f>
        <v>13637.299999999996</v>
      </c>
      <c r="R290" s="238"/>
      <c r="S290" s="286">
        <f t="shared" si="50"/>
        <v>-891.77000000000044</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5"/>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3878.3199999999961</v>
      </c>
      <c r="M292" s="243"/>
      <c r="N292" s="266">
        <f t="shared" si="49"/>
        <v>3878.3199999999961</v>
      </c>
      <c r="O292" s="243"/>
      <c r="P292" s="38"/>
      <c r="Q292" s="266">
        <f>SUMIFS(BV_Data_An_Prec!$AM:$AM,BV_Data_An_Prec!$AP:$AP,$B292,BV_Data_An_Prec!$AQ:$AQ,$C292,BV_Data_An_Prec!$AR:$AR,$L$2)</f>
        <v>-1664.0200000000004</v>
      </c>
      <c r="R292" s="243"/>
      <c r="S292" s="266">
        <f t="shared" si="50"/>
        <v>5542.3399999999965</v>
      </c>
      <c r="T292" s="38"/>
      <c r="U292" s="35"/>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5"/>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1192.7900000000009</v>
      </c>
      <c r="M294" s="243"/>
      <c r="N294" s="266">
        <f t="shared" si="49"/>
        <v>1192.7900000000009</v>
      </c>
      <c r="O294" s="243"/>
      <c r="P294" s="281"/>
      <c r="Q294" s="266">
        <f>SUMIFS(BV_Data_An_Prec!$AM:$AM,BV_Data_An_Prec!$AP:$AP,$B294,BV_Data_An_Prec!$AQ:$AQ,$C294,BV_Data_An_Prec!$AR:$AR,$L$2)</f>
        <v>1465.3000000000002</v>
      </c>
      <c r="R294" s="243"/>
      <c r="S294" s="266">
        <f t="shared" si="50"/>
        <v>-272.50999999999931</v>
      </c>
      <c r="T294" s="38"/>
      <c r="U294" s="35"/>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335.32000000000016</v>
      </c>
      <c r="M295" s="243"/>
      <c r="N295" s="266">
        <f t="shared" si="49"/>
        <v>335.32000000000016</v>
      </c>
      <c r="O295" s="243"/>
      <c r="P295" s="38"/>
      <c r="Q295" s="266">
        <f>SUMIFS(BV_Data_An_Prec!$AM:$AM,BV_Data_An_Prec!$AP:$AP,$B295,BV_Data_An_Prec!$AQ:$AQ,$C295,BV_Data_An_Prec!$AR:$AR,$L$2)</f>
        <v>1484.0600000000004</v>
      </c>
      <c r="R295" s="243"/>
      <c r="S295" s="266">
        <f t="shared" si="50"/>
        <v>-1148.7400000000002</v>
      </c>
      <c r="T295" s="38"/>
      <c r="U295" s="35"/>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1284.2200000000003</v>
      </c>
      <c r="M296" s="243"/>
      <c r="N296" s="266">
        <f t="shared" si="49"/>
        <v>1284.2200000000003</v>
      </c>
      <c r="O296" s="243"/>
      <c r="P296" s="38"/>
      <c r="Q296" s="266">
        <f>SUMIFS(BV_Data_An_Prec!$AM:$AM,BV_Data_An_Prec!$AP:$AP,$B296,BV_Data_An_Prec!$AQ:$AQ,$C296,BV_Data_An_Prec!$AR:$AR,$L$2)</f>
        <v>864.15000000000009</v>
      </c>
      <c r="R296" s="243"/>
      <c r="S296" s="266">
        <f t="shared" si="50"/>
        <v>420.07000000000016</v>
      </c>
      <c r="T296" s="38"/>
      <c r="U296" s="35"/>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1529.9900000000005</v>
      </c>
      <c r="M297" s="243"/>
      <c r="N297" s="266">
        <f t="shared" si="49"/>
        <v>1529.9900000000005</v>
      </c>
      <c r="O297" s="243"/>
      <c r="P297" s="38"/>
      <c r="Q297" s="266">
        <f>SUMIFS(BV_Data_An_Prec!$AM:$AM,BV_Data_An_Prec!$AP:$AP,$B297,BV_Data_An_Prec!$AQ:$AQ,$C297,BV_Data_An_Prec!$AR:$AR,$L$2)</f>
        <v>8384.16</v>
      </c>
      <c r="R297" s="243"/>
      <c r="S297" s="266">
        <f t="shared" si="50"/>
        <v>-6854.1699999999992</v>
      </c>
      <c r="T297" s="38"/>
      <c r="U297" s="35"/>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372.52999999999884</v>
      </c>
      <c r="M298" s="243"/>
      <c r="N298" s="266">
        <f t="shared" si="49"/>
        <v>372.52999999999884</v>
      </c>
      <c r="O298" s="243"/>
      <c r="P298" s="38"/>
      <c r="Q298" s="266">
        <f>SUMIFS(BV_Data_An_Prec!$AM:$AM,BV_Data_An_Prec!$AP:$AP,$B298,BV_Data_An_Prec!$AQ:$AQ,$C298,BV_Data_An_Prec!$AR:$AR,$L$2)</f>
        <v>3687.2999999999993</v>
      </c>
      <c r="R298" s="243"/>
      <c r="S298" s="266">
        <f t="shared" si="50"/>
        <v>-3314.7700000000004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1585.2200000000003</v>
      </c>
      <c r="M299" s="243"/>
      <c r="N299" s="266">
        <f t="shared" si="49"/>
        <v>1585.2200000000003</v>
      </c>
      <c r="O299" s="243"/>
      <c r="P299" s="38"/>
      <c r="Q299" s="266">
        <f>SUMIFS(BV_Data_An_Prec!$AM:$AM,BV_Data_An_Prec!$AP:$AP,$B299,BV_Data_An_Prec!$AQ:$AQ,$C299,BV_Data_An_Prec!$AR:$AR,$L$2)</f>
        <v>301.3900000000001</v>
      </c>
      <c r="R299" s="243"/>
      <c r="S299" s="266">
        <f t="shared" si="50"/>
        <v>1283.8300000000002</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5"/>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5"/>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5"/>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0.39025830405032891</v>
      </c>
      <c r="L303" s="294">
        <f>+SUM(L285:L302)</f>
        <v>55353.109999999979</v>
      </c>
      <c r="M303" s="296"/>
      <c r="N303" s="294">
        <f t="shared" si="49"/>
        <v>55353.109999999979</v>
      </c>
      <c r="O303" s="295" t="s">
        <v>171</v>
      </c>
      <c r="P303" s="293">
        <f>Q303/Q$268</f>
        <v>0.11472151835547495</v>
      </c>
      <c r="Q303" s="294">
        <f>+SUM(Q285:Q302)</f>
        <v>19328.059999999998</v>
      </c>
      <c r="R303" s="297"/>
      <c r="S303" s="294">
        <f t="shared" si="50"/>
        <v>36025.049999999981</v>
      </c>
      <c r="T303" s="38"/>
      <c r="U303" s="35"/>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5"/>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0.9845294366192312</v>
      </c>
      <c r="L305" s="294">
        <f>L284+L303</f>
        <v>139642.81</v>
      </c>
      <c r="M305" s="296"/>
      <c r="N305" s="294">
        <f>L305-F305</f>
        <v>139642.81</v>
      </c>
      <c r="O305" s="295" t="s">
        <v>115</v>
      </c>
      <c r="P305" s="293">
        <f>Q305/Q$268</f>
        <v>0.76020617994971074</v>
      </c>
      <c r="Q305" s="294">
        <f>Q284+Q303</f>
        <v>128078.06999999999</v>
      </c>
      <c r="R305" s="297"/>
      <c r="S305" s="294">
        <f>L305-Q305</f>
        <v>11564.740000000005</v>
      </c>
      <c r="T305" s="38"/>
      <c r="U305" s="35"/>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5"/>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f>F268-F305</f>
        <v>0</v>
      </c>
      <c r="G307" s="957"/>
      <c r="H307" s="955"/>
      <c r="I307" s="956"/>
      <c r="J307" s="957"/>
      <c r="K307" s="955"/>
      <c r="L307" s="956">
        <f>L268-L305</f>
        <v>2194.3000000000757</v>
      </c>
      <c r="M307" s="958"/>
      <c r="N307" s="956">
        <f>L307-F307</f>
        <v>2194.3000000000757</v>
      </c>
      <c r="O307" s="957"/>
      <c r="P307" s="955"/>
      <c r="Q307" s="956">
        <f>Q268-Q305</f>
        <v>40400.000000000044</v>
      </c>
      <c r="R307" s="959"/>
      <c r="S307" s="956">
        <f>L307-Q307</f>
        <v>-38205.699999999968</v>
      </c>
      <c r="T307" s="38"/>
      <c r="U307" s="35"/>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5"/>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Juin 2026</v>
      </c>
      <c r="T310" s="226"/>
      <c r="U310" s="1049"/>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44" t="s">
        <v>339</v>
      </c>
      <c r="E312" s="1245"/>
      <c r="F312" s="1246"/>
      <c r="G312" s="1249"/>
      <c r="H312" s="1245"/>
      <c r="I312" s="1246"/>
      <c r="J312" s="1249" t="s">
        <v>340</v>
      </c>
      <c r="K312" s="1245"/>
      <c r="L312" s="1246"/>
      <c r="M312" s="1249" t="s">
        <v>668</v>
      </c>
      <c r="N312" s="1246"/>
      <c r="O312" s="1244" t="s">
        <v>341</v>
      </c>
      <c r="P312" s="1245"/>
      <c r="Q312" s="1246"/>
      <c r="R312" s="1247" t="s">
        <v>670</v>
      </c>
      <c r="S312" s="1248"/>
      <c r="T312" s="329"/>
      <c r="U312" s="35"/>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5"/>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5"/>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105326.47000000004</v>
      </c>
      <c r="L315" s="266">
        <f>-SUMIFS(BV_Data_An_Cour!$AM:$AM,BV_Data_An_Cour!$AP:$AP,$B315,BV_Data_An_Cour!$AQ:$AQ,$C315,BV_Data_An_Cour!$AR:$AR,$L$2)</f>
        <v>42546.710000000014</v>
      </c>
      <c r="M315" s="282">
        <f>IFERROR((K315-E315)/E315,0)</f>
        <v>0</v>
      </c>
      <c r="N315" s="266">
        <f>L315-F315</f>
        <v>42546.710000000014</v>
      </c>
      <c r="O315" s="267"/>
      <c r="P315" s="281">
        <f>-SUMIFS(BV_Data_An_Prec!$AM:$AM,BV_Data_An_Prec!$AS:$AS,"Oui",BV_Data_An_Prec!$AP:$AP,$B315,BV_Data_An_Prec!$AQ:$AQ,$C315)</f>
        <v>134630.71</v>
      </c>
      <c r="Q315" s="266">
        <f>-SUMIFS(BV_Data_An_Prec!$AM:$AM,BV_Data_An_Prec!$AP:$AP,$B315,BV_Data_An_Prec!$AQ:$AQ,$C315,BV_Data_An_Prec!$AR:$AR,$L$2)</f>
        <v>56462.760000000017</v>
      </c>
      <c r="R315" s="282">
        <f>IF(O315=0,0,J315/O315)</f>
        <v>0</v>
      </c>
      <c r="S315" s="266">
        <f>L315-Q315</f>
        <v>-13916.050000000003</v>
      </c>
      <c r="T315" s="36"/>
      <c r="U315" s="35"/>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0.40395078274245777</v>
      </c>
      <c r="M316" s="282"/>
      <c r="N316" s="266">
        <f>IFERROR(N315/M315,0)</f>
        <v>0</v>
      </c>
      <c r="O316" s="267"/>
      <c r="P316" s="38"/>
      <c r="Q316" s="332">
        <f>IFERROR(Q315/P315,0)</f>
        <v>0.4193898999715594</v>
      </c>
      <c r="R316" s="267"/>
      <c r="S316" s="332">
        <f>IF(Q315=0,0,(S315/Q315))</f>
        <v>-0.24646421818557929</v>
      </c>
      <c r="T316" s="36"/>
      <c r="U316" s="35"/>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5"/>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6596.5</v>
      </c>
      <c r="L318" s="303">
        <f>-SUMIFS(BV_Data_An_Cour!$AM:$AM,BV_Data_An_Cour!$AP:$AP,$B318,BV_Data_An_Cour!$AQ:$AQ,$C318,BV_Data_An_Cour!$AR:$AR,$L$2)</f>
        <v>3452.14</v>
      </c>
      <c r="M318" s="340">
        <f>IFERROR((K318-E318)/E318,0)</f>
        <v>0</v>
      </c>
      <c r="N318" s="303">
        <f>L318-F318</f>
        <v>3452.14</v>
      </c>
      <c r="O318" s="337"/>
      <c r="P318" s="336">
        <f>-SUMIFS(BV_Data_An_Prec!$AM:$AM,BV_Data_An_Prec!$AS:$AS,"Oui",BV_Data_An_Prec!$AP:$AP,$B318,BV_Data_An_Prec!$AQ:$AQ,$C318)</f>
        <v>5478.3700000000017</v>
      </c>
      <c r="Q318" s="303">
        <f>-SUMIFS(BV_Data_An_Prec!$AM:$AM,BV_Data_An_Prec!$AP:$AP,$B318,BV_Data_An_Prec!$AQ:$AQ,$C318,BV_Data_An_Prec!$AR:$AR,$L$2)</f>
        <v>1668.2000000000016</v>
      </c>
      <c r="R318" s="282">
        <f>IF(O318=0,0,J318/O318)</f>
        <v>0</v>
      </c>
      <c r="S318" s="266">
        <f>L318-Q318</f>
        <v>1783.9399999999982</v>
      </c>
      <c r="T318" s="327"/>
      <c r="U318" s="35"/>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0.52332903812627907</v>
      </c>
      <c r="M319" s="282"/>
      <c r="N319" s="266">
        <f>IFERROR(N318/F318,0)</f>
        <v>0</v>
      </c>
      <c r="O319" s="267"/>
      <c r="P319" s="38"/>
      <c r="Q319" s="332">
        <f>IFERROR(Q318/P318,0)</f>
        <v>0.30450663244724274</v>
      </c>
      <c r="R319" s="267"/>
      <c r="S319" s="332">
        <f>IF(Q318=0,0,(S318/Q318))</f>
        <v>1.0693801702433741</v>
      </c>
      <c r="T319" s="327"/>
      <c r="U319" s="35"/>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5"/>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54709.619999999995</v>
      </c>
      <c r="L321" s="266">
        <f>-SUMIFS(BV_Data_An_Cour!$AM:$AM,BV_Data_An_Cour!$AP:$AP,$B321,BV_Data_An_Cour!$AQ:$AQ,$C321,BV_Data_An_Cour!$AR:$AR,$L$2)</f>
        <v>36654.109999999993</v>
      </c>
      <c r="M321" s="282">
        <f>IFERROR((K321-E321)/E321,0)</f>
        <v>0</v>
      </c>
      <c r="N321" s="303">
        <f>L321-F321</f>
        <v>36654.109999999993</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36654.109999999993</v>
      </c>
      <c r="T321" s="327"/>
      <c r="U321" s="35"/>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0.66997559113004246</v>
      </c>
      <c r="M322" s="254"/>
      <c r="N322" s="255">
        <f>IF(L321=0,0,N321/L321)</f>
        <v>1</v>
      </c>
      <c r="O322" s="243"/>
      <c r="P322" s="38"/>
      <c r="Q322" s="332">
        <f>IFERROR(Q321/P321,0)</f>
        <v>0</v>
      </c>
      <c r="R322" s="267"/>
      <c r="S322" s="332">
        <f>IF(Q321=0,0,(S321/Q321))</f>
        <v>0</v>
      </c>
      <c r="T322" s="327"/>
      <c r="U322" s="35"/>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5"/>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-1141.0299999999988</v>
      </c>
      <c r="M324" s="928"/>
      <c r="N324" s="929"/>
      <c r="O324" s="681"/>
      <c r="P324" s="38"/>
      <c r="Q324" s="266">
        <f>-SUMIFS(BV_Data_An_Prec!$AM:$AM,BV_Data_An_Prec!$AP:$AP,$B324,BV_Data_An_Prec!$AQ:$AQ,$C324,BV_Data_An_Prec!$AR:$AR,$L$2)</f>
        <v>-624.55999999999995</v>
      </c>
      <c r="R324" s="282">
        <f>IF(O324=0,0,J324/O324)</f>
        <v>0</v>
      </c>
      <c r="S324" s="266">
        <f>L324-Q324</f>
        <v>-516.46999999999889</v>
      </c>
      <c r="T324" s="327"/>
      <c r="U324" s="35"/>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5"/>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3108</v>
      </c>
      <c r="D326" s="269"/>
      <c r="E326" s="270">
        <f>E318+E321+E315</f>
        <v>0</v>
      </c>
      <c r="F326" s="271">
        <f>F318+F321+F315</f>
        <v>0</v>
      </c>
      <c r="G326" s="272"/>
      <c r="H326" s="270"/>
      <c r="I326" s="271"/>
      <c r="J326" s="272"/>
      <c r="K326" s="269">
        <f t="shared" ref="K326" si="51">K318+K321+K315</f>
        <v>166632.59000000003</v>
      </c>
      <c r="L326" s="271">
        <f>L318+L321+L315+L324</f>
        <v>81511.930000000008</v>
      </c>
      <c r="M326" s="272" t="e">
        <f>L327-F327</f>
        <v>#DIV/0!</v>
      </c>
      <c r="N326" s="271">
        <f>L326-F326</f>
        <v>81511.930000000008</v>
      </c>
      <c r="O326" s="272"/>
      <c r="P326" s="269">
        <f t="shared" ref="P326" si="52">P318+P321+P315</f>
        <v>140109.07999999999</v>
      </c>
      <c r="Q326" s="271">
        <f>Q318+Q321+Q315+Q324</f>
        <v>57506.400000000023</v>
      </c>
      <c r="R326" s="272"/>
      <c r="S326" s="271">
        <f>L326-Q326</f>
        <v>24005.529999999984</v>
      </c>
      <c r="T326" s="38"/>
      <c r="U326" s="35"/>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5"/>
      <c r="L327" s="326">
        <f>L326/K326</f>
        <v>0.48917159602452315</v>
      </c>
      <c r="M327" s="276"/>
      <c r="N327" s="277" t="e">
        <f>N326/F326</f>
        <v>#DIV/0!</v>
      </c>
      <c r="O327" s="273"/>
      <c r="P327" s="945"/>
      <c r="Q327" s="326">
        <f>Q326/P326</f>
        <v>0.41044020844330736</v>
      </c>
      <c r="R327" s="276"/>
      <c r="S327" s="326">
        <f>S326/Q326</f>
        <v>0.41744101526090965</v>
      </c>
      <c r="T327" s="38"/>
      <c r="U327" s="35"/>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5"/>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5"/>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12179.11</v>
      </c>
      <c r="M330" s="243"/>
      <c r="N330" s="266">
        <f t="shared" ref="N330:N360" si="53">L330-F330</f>
        <v>12179.11</v>
      </c>
      <c r="O330" s="243"/>
      <c r="P330" s="38"/>
      <c r="Q330" s="266">
        <f>SUMIFS(BV_Data_An_Prec!$AM:$AM,BV_Data_An_Prec!$AP:$AP,$B330,BV_Data_An_Prec!$AQ:$AQ,$C330,BV_Data_An_Prec!$AR:$AR,$L$2)</f>
        <v>8225.8400000000038</v>
      </c>
      <c r="R330" s="243"/>
      <c r="S330" s="266">
        <f t="shared" ref="S330:S361" si="54">L330-Q330</f>
        <v>3953.2699999999968</v>
      </c>
      <c r="T330" s="38"/>
      <c r="U330" s="35"/>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7126.7699999999968</v>
      </c>
      <c r="M331" s="243"/>
      <c r="N331" s="266">
        <f t="shared" si="53"/>
        <v>7126.7699999999968</v>
      </c>
      <c r="O331" s="243"/>
      <c r="P331" s="38"/>
      <c r="Q331" s="266">
        <f>SUMIFS(BV_Data_An_Prec!$AM:$AM,BV_Data_An_Prec!$AP:$AP,$B331,BV_Data_An_Prec!$AQ:$AQ,$C331,BV_Data_An_Prec!$AR:$AR,$L$2)</f>
        <v>6344.6100000000006</v>
      </c>
      <c r="R331" s="243"/>
      <c r="S331" s="266">
        <f t="shared" si="54"/>
        <v>782.15999999999622</v>
      </c>
      <c r="T331" s="38"/>
      <c r="U331" s="35"/>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184.04999999999995</v>
      </c>
      <c r="M332" s="233"/>
      <c r="N332" s="303">
        <f t="shared" si="53"/>
        <v>184.04999999999995</v>
      </c>
      <c r="O332" s="233"/>
      <c r="P332" s="301"/>
      <c r="Q332" s="303">
        <f>SUMIFS(BV_Data_An_Prec!$AM:$AM,BV_Data_An_Prec!$AP:$AP,$B332,BV_Data_An_Prec!$AQ:$AQ,$C332,BV_Data_An_Prec!$AR:$AR,$L$2)</f>
        <v>0</v>
      </c>
      <c r="R332" s="233"/>
      <c r="S332" s="303">
        <f t="shared" si="54"/>
        <v>184.04999999999995</v>
      </c>
      <c r="T332" s="38"/>
      <c r="U332" s="35"/>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5"/>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5"/>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5"/>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5"/>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4896.380000000001</v>
      </c>
      <c r="M337" s="243"/>
      <c r="N337" s="266">
        <f t="shared" si="53"/>
        <v>4896.380000000001</v>
      </c>
      <c r="O337" s="243"/>
      <c r="P337" s="38"/>
      <c r="Q337" s="266">
        <f>SUMIFS(BV_Data_An_Prec!$AM:$AM,BV_Data_An_Prec!$AP:$AP,$B337,BV_Data_An_Prec!$AQ:$AQ,$C337,BV_Data_An_Prec!$AR:$AR,$L$2)</f>
        <v>3186.6800000000003</v>
      </c>
      <c r="R337" s="243"/>
      <c r="S337" s="266">
        <f t="shared" si="54"/>
        <v>1709.7000000000007</v>
      </c>
      <c r="T337" s="38"/>
      <c r="U337" s="35"/>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6245.619999999999</v>
      </c>
      <c r="M338" s="233"/>
      <c r="N338" s="303">
        <f t="shared" si="53"/>
        <v>6245.619999999999</v>
      </c>
      <c r="O338" s="233"/>
      <c r="P338" s="301"/>
      <c r="Q338" s="303">
        <f>SUMIFS(BV_Data_An_Prec!$AM:$AM,BV_Data_An_Prec!$AP:$AP,$B338,BV_Data_An_Prec!$AQ:$AQ,$C338,BV_Data_An_Prec!$AR:$AR,$L$2)</f>
        <v>3851.1299999999974</v>
      </c>
      <c r="R338" s="233"/>
      <c r="S338" s="303">
        <f t="shared" si="54"/>
        <v>2394.4900000000016</v>
      </c>
      <c r="T338" s="38"/>
      <c r="U338" s="35"/>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1071.9699999999993</v>
      </c>
      <c r="M339" s="243"/>
      <c r="N339" s="266">
        <f t="shared" si="53"/>
        <v>1071.9699999999993</v>
      </c>
      <c r="O339" s="243"/>
      <c r="P339" s="38"/>
      <c r="Q339" s="266">
        <f>SUMIFS(BV_Data_An_Prec!$AM:$AM,BV_Data_An_Prec!$AP:$AP,$B339,BV_Data_An_Prec!$AQ:$AQ,$C339,BV_Data_An_Prec!$AR:$AR,$L$2)</f>
        <v>2636.1499999999996</v>
      </c>
      <c r="R339" s="243"/>
      <c r="S339" s="266">
        <f t="shared" si="54"/>
        <v>-1564.1800000000003</v>
      </c>
      <c r="T339" s="38"/>
      <c r="U339" s="35"/>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1689.48</v>
      </c>
      <c r="M340" s="243"/>
      <c r="N340" s="266">
        <f t="shared" si="53"/>
        <v>1689.48</v>
      </c>
      <c r="O340" s="243"/>
      <c r="P340" s="38"/>
      <c r="Q340" s="266">
        <f>SUMIFS(BV_Data_An_Prec!$AM:$AM,BV_Data_An_Prec!$AP:$AP,$B340,BV_Data_An_Prec!$AQ:$AQ,$C340,BV_Data_An_Prec!$AR:$AR,$L$2)</f>
        <v>37.159999999999997</v>
      </c>
      <c r="R340" s="243"/>
      <c r="S340" s="266">
        <f t="shared" si="54"/>
        <v>1652.32</v>
      </c>
      <c r="T340" s="38"/>
      <c r="U340" s="35"/>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5"/>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0.40967475558485728</v>
      </c>
      <c r="L342" s="294">
        <f>+SUM(L330:L341)</f>
        <v>33393.379999999997</v>
      </c>
      <c r="M342" s="296"/>
      <c r="N342" s="294">
        <f t="shared" si="53"/>
        <v>33393.379999999997</v>
      </c>
      <c r="O342" s="295" t="s">
        <v>115</v>
      </c>
      <c r="P342" s="293">
        <f>IF(Q326=0,0,Q342/Q$326)</f>
        <v>0.42224117663425276</v>
      </c>
      <c r="Q342" s="294">
        <f>+SUM(Q330:Q341)</f>
        <v>24281.570000000003</v>
      </c>
      <c r="R342" s="297"/>
      <c r="S342" s="294">
        <f t="shared" si="54"/>
        <v>9111.809999999994</v>
      </c>
      <c r="T342" s="38"/>
      <c r="U342" s="35"/>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755.45</v>
      </c>
      <c r="M343" s="243"/>
      <c r="N343" s="266">
        <f t="shared" si="53"/>
        <v>755.45</v>
      </c>
      <c r="O343" s="243"/>
      <c r="P343" s="38"/>
      <c r="Q343" s="266">
        <f>SUMIFS(BV_Data_An_Prec!$AM:$AM,BV_Data_An_Prec!$AP:$AP,$B343,BV_Data_An_Prec!$AQ:$AQ,$C343,BV_Data_An_Prec!$AR:$AR,$L$2)</f>
        <v>-204.39000000000016</v>
      </c>
      <c r="R343" s="243"/>
      <c r="S343" s="266">
        <f t="shared" si="54"/>
        <v>959.84000000000015</v>
      </c>
      <c r="T343" s="38"/>
      <c r="U343" s="35"/>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855.61999999999989</v>
      </c>
      <c r="M344" s="243"/>
      <c r="N344" s="266">
        <f t="shared" si="53"/>
        <v>855.61999999999989</v>
      </c>
      <c r="O344" s="243"/>
      <c r="P344" s="38"/>
      <c r="Q344" s="266">
        <f>SUMIFS(BV_Data_An_Prec!$AM:$AM,BV_Data_An_Prec!$AP:$AP,$B344,BV_Data_An_Prec!$AQ:$AQ,$C344,BV_Data_An_Prec!$AR:$AR,$L$2)</f>
        <v>827.69000000000051</v>
      </c>
      <c r="R344" s="243"/>
      <c r="S344" s="266">
        <f t="shared" si="54"/>
        <v>27.929999999999382</v>
      </c>
      <c r="T344" s="38"/>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-821.12</v>
      </c>
      <c r="M345" s="238"/>
      <c r="N345" s="286">
        <f t="shared" si="53"/>
        <v>-821.12</v>
      </c>
      <c r="O345" s="238"/>
      <c r="P345" s="304"/>
      <c r="Q345" s="266">
        <f>SUMIFS(BV_Data_An_Prec!$AM:$AM,BV_Data_An_Prec!$AP:$AP,$B345,BV_Data_An_Prec!$AQ:$AQ,$C345,BV_Data_An_Prec!$AR:$AR,$L$2)</f>
        <v>-3170.9800000000005</v>
      </c>
      <c r="R345" s="238"/>
      <c r="S345" s="286">
        <f t="shared" si="54"/>
        <v>2349.8600000000006</v>
      </c>
      <c r="T345" s="38"/>
      <c r="U345" s="35"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2201.1399999999994</v>
      </c>
      <c r="M346" s="243"/>
      <c r="N346" s="266">
        <f t="shared" si="53"/>
        <v>2201.1399999999994</v>
      </c>
      <c r="O346" s="243"/>
      <c r="P346" s="38"/>
      <c r="Q346" s="303">
        <f>SUMIFS(BV_Data_An_Prec!$AM:$AM,BV_Data_An_Prec!$AP:$AP,$B346,BV_Data_An_Prec!$AQ:$AQ,$C346,BV_Data_An_Prec!$AR:$AR,$L$2)</f>
        <v>1374.9299999999985</v>
      </c>
      <c r="R346" s="243"/>
      <c r="S346" s="266">
        <f t="shared" si="54"/>
        <v>826.21000000000095</v>
      </c>
      <c r="T346" s="38"/>
      <c r="U346" s="35"/>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184.28999999999996</v>
      </c>
      <c r="M347" s="243"/>
      <c r="N347" s="266">
        <f t="shared" si="53"/>
        <v>184.28999999999996</v>
      </c>
      <c r="O347" s="243"/>
      <c r="P347" s="38"/>
      <c r="Q347" s="266">
        <f>SUMIFS(BV_Data_An_Prec!$AM:$AM,BV_Data_An_Prec!$AP:$AP,$B347,BV_Data_An_Prec!$AQ:$AQ,$C347,BV_Data_An_Prec!$AR:$AR,$L$2)</f>
        <v>150</v>
      </c>
      <c r="R347" s="243"/>
      <c r="S347" s="266">
        <f t="shared" si="54"/>
        <v>34.289999999999964</v>
      </c>
      <c r="T347" s="38"/>
      <c r="U347" s="35"/>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3503.4300000000003</v>
      </c>
      <c r="M348" s="238"/>
      <c r="N348" s="286">
        <f t="shared" si="53"/>
        <v>3503.4300000000003</v>
      </c>
      <c r="O348" s="238"/>
      <c r="P348" s="304"/>
      <c r="Q348" s="266">
        <f>SUMIFS(BV_Data_An_Prec!$AM:$AM,BV_Data_An_Prec!$AP:$AP,$B348,BV_Data_An_Prec!$AQ:$AQ,$C348,BV_Data_An_Prec!$AR:$AR,$L$2)</f>
        <v>4623.0799999999981</v>
      </c>
      <c r="R348" s="238"/>
      <c r="S348" s="286">
        <f t="shared" si="54"/>
        <v>-1119.6499999999978</v>
      </c>
      <c r="T348" s="38"/>
      <c r="U348" s="35"/>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5"/>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17405.850000000006</v>
      </c>
      <c r="M350" s="243"/>
      <c r="N350" s="266">
        <f t="shared" si="53"/>
        <v>17405.850000000006</v>
      </c>
      <c r="O350" s="243"/>
      <c r="P350" s="38"/>
      <c r="Q350" s="266">
        <f>SUMIFS(BV_Data_An_Prec!$AM:$AM,BV_Data_An_Prec!$AP:$AP,$B350,BV_Data_An_Prec!$AQ:$AQ,$C350,BV_Data_An_Prec!$AR:$AR,$L$2)</f>
        <v>7933.33</v>
      </c>
      <c r="R350" s="243"/>
      <c r="S350" s="266">
        <f t="shared" si="54"/>
        <v>9472.5200000000059</v>
      </c>
      <c r="T350" s="38"/>
      <c r="U350" s="35"/>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5"/>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577.61000000000013</v>
      </c>
      <c r="M352" s="243"/>
      <c r="N352" s="266">
        <f t="shared" si="53"/>
        <v>577.61000000000013</v>
      </c>
      <c r="O352" s="243"/>
      <c r="P352" s="38"/>
      <c r="Q352" s="266">
        <f>SUMIFS(BV_Data_An_Prec!$AM:$AM,BV_Data_An_Prec!$AP:$AP,$B352,BV_Data_An_Prec!$AQ:$AQ,$C352,BV_Data_An_Prec!$AR:$AR,$L$2)</f>
        <v>488.44999999999982</v>
      </c>
      <c r="R352" s="243"/>
      <c r="S352" s="266">
        <f t="shared" si="54"/>
        <v>89.160000000000309</v>
      </c>
      <c r="T352" s="38"/>
      <c r="U352" s="35"/>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111.77999999999997</v>
      </c>
      <c r="M353" s="243"/>
      <c r="N353" s="266">
        <f t="shared" si="53"/>
        <v>111.77999999999997</v>
      </c>
      <c r="O353" s="243"/>
      <c r="P353" s="38"/>
      <c r="Q353" s="266">
        <f>SUMIFS(BV_Data_An_Prec!$AM:$AM,BV_Data_An_Prec!$AP:$AP,$B353,BV_Data_An_Prec!$AQ:$AQ,$C353,BV_Data_An_Prec!$AR:$AR,$L$2)</f>
        <v>336.3599999999999</v>
      </c>
      <c r="R353" s="243"/>
      <c r="S353" s="266">
        <f t="shared" si="54"/>
        <v>-224.57999999999993</v>
      </c>
      <c r="T353" s="38"/>
      <c r="U353" s="35"/>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428.07999999999993</v>
      </c>
      <c r="M354" s="243"/>
      <c r="N354" s="266">
        <f t="shared" si="53"/>
        <v>428.07999999999993</v>
      </c>
      <c r="O354" s="243"/>
      <c r="P354" s="38"/>
      <c r="Q354" s="266">
        <f>SUMIFS(BV_Data_An_Prec!$AM:$AM,BV_Data_An_Prec!$AP:$AP,$B354,BV_Data_An_Prec!$AQ:$AQ,$C354,BV_Data_An_Prec!$AR:$AR,$L$2)</f>
        <v>288.04999999999995</v>
      </c>
      <c r="R354" s="243"/>
      <c r="S354" s="266">
        <f t="shared" si="54"/>
        <v>140.02999999999997</v>
      </c>
      <c r="T354" s="38"/>
      <c r="U354" s="35"/>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2612.67</v>
      </c>
      <c r="M355" s="243"/>
      <c r="N355" s="266">
        <f t="shared" si="53"/>
        <v>2612.67</v>
      </c>
      <c r="O355" s="243"/>
      <c r="P355" s="38"/>
      <c r="Q355" s="266">
        <f>SUMIFS(BV_Data_An_Prec!$AM:$AM,BV_Data_An_Prec!$AP:$AP,$B355,BV_Data_An_Prec!$AQ:$AQ,$C355,BV_Data_An_Prec!$AR:$AR,$L$2)</f>
        <v>3628.7399999999989</v>
      </c>
      <c r="R355" s="243"/>
      <c r="S355" s="266">
        <f t="shared" si="54"/>
        <v>-1016.0699999999988</v>
      </c>
      <c r="T355" s="38"/>
      <c r="U355" s="35"/>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519.36000000000013</v>
      </c>
      <c r="M357" s="243"/>
      <c r="N357" s="266">
        <f t="shared" si="53"/>
        <v>519.36000000000013</v>
      </c>
      <c r="O357" s="243"/>
      <c r="P357" s="38"/>
      <c r="Q357" s="266">
        <f>SUMIFS(BV_Data_An_Prec!$AM:$AM,BV_Data_An_Prec!$AP:$AP,$B357,BV_Data_An_Prec!$AQ:$AQ,$C357,BV_Data_An_Prec!$AR:$AR,$L$2)</f>
        <v>92.759999999999991</v>
      </c>
      <c r="R357" s="243"/>
      <c r="S357" s="266">
        <f t="shared" si="54"/>
        <v>426.60000000000014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3190</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3923.52</v>
      </c>
      <c r="M358" s="243"/>
      <c r="N358" s="266">
        <f t="shared" si="53"/>
        <v>3923.52</v>
      </c>
      <c r="O358" s="243"/>
      <c r="P358" s="38"/>
      <c r="Q358" s="266">
        <f>SUMIFS(BV_Data_An_Prec!$AM:$AM,BV_Data_An_Prec!$AP:$AP,$B358,BV_Data_An_Prec!$AQ:$AQ,$C358,BV_Data_An_Prec!$AR:$AR,$L$2)</f>
        <v>0</v>
      </c>
      <c r="R358" s="243"/>
      <c r="S358" s="266">
        <f t="shared" si="54"/>
        <v>3923.52</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0.39574182576709938</v>
      </c>
      <c r="L361" s="294">
        <f>+SUM(L343:L360)</f>
        <v>32257.680000000004</v>
      </c>
      <c r="M361" s="296"/>
      <c r="N361" s="294">
        <f>+SUM(N343:N360)</f>
        <v>32257.680000000004</v>
      </c>
      <c r="O361" s="295" t="s">
        <v>115</v>
      </c>
      <c r="P361" s="293">
        <f>Q361/Q$326</f>
        <v>0.28462953688632897</v>
      </c>
      <c r="Q361" s="294">
        <f>+SUM(Q343:Q360)</f>
        <v>16368.019999999995</v>
      </c>
      <c r="R361" s="297"/>
      <c r="S361" s="294">
        <f t="shared" si="54"/>
        <v>15889.660000000009</v>
      </c>
      <c r="T361" s="38"/>
      <c r="U361" s="35"/>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5"/>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0.8054165813519566</v>
      </c>
      <c r="L363" s="294">
        <f>L342+L361</f>
        <v>65651.06</v>
      </c>
      <c r="M363" s="296"/>
      <c r="N363" s="294">
        <f>L363-F363</f>
        <v>65651.06</v>
      </c>
      <c r="O363" s="295" t="s">
        <v>115</v>
      </c>
      <c r="P363" s="293">
        <f>Q363/Q$326</f>
        <v>0.70687071352058173</v>
      </c>
      <c r="Q363" s="294">
        <f>Q342+Q361</f>
        <v>40649.589999999997</v>
      </c>
      <c r="R363" s="297"/>
      <c r="S363" s="294">
        <f>L363-Q363</f>
        <v>25001.47</v>
      </c>
      <c r="T363" s="38"/>
      <c r="U363" s="35"/>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5"/>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f>F326-F363</f>
        <v>0</v>
      </c>
      <c r="G365" s="957"/>
      <c r="H365" s="955"/>
      <c r="I365" s="956"/>
      <c r="J365" s="957"/>
      <c r="K365" s="955"/>
      <c r="L365" s="956">
        <f>L326-L363</f>
        <v>15860.87000000001</v>
      </c>
      <c r="M365" s="958"/>
      <c r="N365" s="956">
        <f>L365-F365</f>
        <v>15860.87000000001</v>
      </c>
      <c r="O365" s="957"/>
      <c r="P365" s="955"/>
      <c r="Q365" s="956">
        <f>Q326-Q363</f>
        <v>16856.810000000027</v>
      </c>
      <c r="R365" s="959"/>
      <c r="S365" s="956">
        <f>L365-Q365</f>
        <v>-995.94000000001688</v>
      </c>
      <c r="T365" s="38"/>
      <c r="U365" s="35"/>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5"/>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Juin 2026</v>
      </c>
      <c r="T367" s="38"/>
      <c r="U367" s="35"/>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5"/>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44" t="s">
        <v>339</v>
      </c>
      <c r="E369" s="1245"/>
      <c r="F369" s="1246"/>
      <c r="G369" s="1249"/>
      <c r="H369" s="1245"/>
      <c r="I369" s="1246"/>
      <c r="J369" s="1249" t="s">
        <v>340</v>
      </c>
      <c r="K369" s="1245"/>
      <c r="L369" s="1246"/>
      <c r="M369" s="1249" t="s">
        <v>668</v>
      </c>
      <c r="N369" s="1246"/>
      <c r="O369" s="1244" t="s">
        <v>341</v>
      </c>
      <c r="P369" s="1245"/>
      <c r="Q369" s="1246"/>
      <c r="R369" s="1247" t="s">
        <v>670</v>
      </c>
      <c r="S369" s="1248"/>
      <c r="T369" s="38"/>
      <c r="U369" s="35"/>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5"/>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60893.31</v>
      </c>
      <c r="K371" s="327">
        <f t="shared" ref="K371:K380" si="55">IF(J371&lt;=0,0,L371/J371)</f>
        <v>0.36434905575013105</v>
      </c>
      <c r="L371" s="266">
        <f>-SUMIFS(BV_Data_An_Cour!$AM:$AM,BV_Data_An_Cour!$AP:$AP,$B371,BV_Data_An_Cour!$AQ:$AQ,$C371,BV_Data_An_Cour!$AR:$AR,$L$2)</f>
        <v>22186.420000000013</v>
      </c>
      <c r="M371" s="282" t="e">
        <f t="shared" ref="M371:M377" si="56">(+J371-D371)/D371</f>
        <v>#DIV/0!</v>
      </c>
      <c r="N371" s="266">
        <f t="shared" ref="N371:N380" si="57">L371-F371</f>
        <v>22186.420000000013</v>
      </c>
      <c r="O371" s="281">
        <f>-SUMIFS(BV_Data_An_Prec!$AM:$AM,BV_Data_An_Prec!$AS:$AS,"Oui",BV_Data_An_Prec!$AP:$AP,$B371,BV_Data_An_Prec!$AQ:$AQ,$C371)</f>
        <v>50774.790000000037</v>
      </c>
      <c r="P371" s="327">
        <f t="shared" ref="P371:P380" si="58">IF(O371&lt;=0,0,Q371/O371)</f>
        <v>0.411652318010572</v>
      </c>
      <c r="Q371" s="266">
        <f>-SUMIFS(BV_Data_An_Prec!$AM:$AM,BV_Data_An_Prec!$AP:$AP,$B371,BV_Data_An_Prec!$AQ:$AQ,$C371,BV_Data_An_Prec!$AR:$AR,$L$2)</f>
        <v>20901.560000000027</v>
      </c>
      <c r="R371" s="282">
        <f t="shared" ref="R371:R380" si="59">IF(O371=0,0,(J371-O371)/O371)</f>
        <v>0.19928236039971711</v>
      </c>
      <c r="S371" s="266">
        <f t="shared" ref="S371:S380" si="60">L371-Q371</f>
        <v>1284.859999999986</v>
      </c>
      <c r="T371" s="38"/>
      <c r="U371" s="35"/>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5"/>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90257.47000000003</v>
      </c>
      <c r="K373" s="327">
        <f t="shared" si="55"/>
        <v>0.28845136031399954</v>
      </c>
      <c r="L373" s="266">
        <f>-SUMIFS(BV_Data_An_Cour!$AM:$AM,BV_Data_An_Cour!$AP:$AP,$B373,BV_Data_An_Cour!$AQ:$AQ,$C373,BV_Data_An_Cour!$AR:$AR,$L$2)</f>
        <v>26034.890000000014</v>
      </c>
      <c r="M373" s="282" t="e">
        <f t="shared" si="56"/>
        <v>#DIV/0!</v>
      </c>
      <c r="N373" s="266">
        <f t="shared" si="57"/>
        <v>26034.890000000014</v>
      </c>
      <c r="O373" s="281">
        <f>-SUMIFS(BV_Data_An_Prec!$AM:$AM,BV_Data_An_Prec!$AS:$AS,"Oui",BV_Data_An_Prec!$AP:$AP,$B373,BV_Data_An_Prec!$AQ:$AQ,$C373)</f>
        <v>65686.729999999981</v>
      </c>
      <c r="P373" s="327">
        <f t="shared" si="58"/>
        <v>0.28896353951551529</v>
      </c>
      <c r="Q373" s="266">
        <f>-SUMIFS(BV_Data_An_Prec!$AM:$AM,BV_Data_An_Prec!$AP:$AP,$B373,BV_Data_An_Prec!$AQ:$AQ,$C373,BV_Data_An_Prec!$AR:$AR,$L$2)</f>
        <v>18981.069999999978</v>
      </c>
      <c r="R373" s="282">
        <f t="shared" si="59"/>
        <v>0.37405941808946885</v>
      </c>
      <c r="S373" s="266">
        <f t="shared" si="60"/>
        <v>7053.8200000000361</v>
      </c>
      <c r="T373" s="38"/>
      <c r="U373" s="35"/>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47867.75</v>
      </c>
      <c r="K374" s="327">
        <f t="shared" si="55"/>
        <v>0.31346135968371136</v>
      </c>
      <c r="L374" s="266">
        <f>-SUMIFS(BV_Data_An_Cour!$AM:$AM,BV_Data_An_Cour!$AP:$AP,$B374,BV_Data_An_Cour!$AQ:$AQ,$C374,BV_Data_An_Cour!$AR:$AR,$L$2)</f>
        <v>15004.689999999973</v>
      </c>
      <c r="M374" s="282" t="e">
        <f t="shared" si="56"/>
        <v>#DIV/0!</v>
      </c>
      <c r="N374" s="266">
        <f t="shared" si="57"/>
        <v>15004.689999999973</v>
      </c>
      <c r="O374" s="281">
        <f>-SUMIFS(BV_Data_An_Prec!$AM:$AM,BV_Data_An_Prec!$AS:$AS,"Oui",BV_Data_An_Prec!$AP:$AP,$B374,BV_Data_An_Prec!$AQ:$AQ,$C374)</f>
        <v>43048.570000000007</v>
      </c>
      <c r="P374" s="327">
        <f t="shared" si="58"/>
        <v>0.31135854222335324</v>
      </c>
      <c r="Q374" s="266">
        <f>-SUMIFS(BV_Data_An_Prec!$AM:$AM,BV_Data_An_Prec!$AP:$AP,$B374,BV_Data_An_Prec!$AQ:$AQ,$C374,BV_Data_An_Prec!$AR:$AR,$L$2)</f>
        <v>13403.539999999979</v>
      </c>
      <c r="R374" s="282">
        <f t="shared" si="59"/>
        <v>0.11194750487646843</v>
      </c>
      <c r="S374" s="266">
        <f t="shared" si="60"/>
        <v>1601.1499999999942</v>
      </c>
      <c r="T374" s="38"/>
      <c r="U374" s="35"/>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50611.01999999999</v>
      </c>
      <c r="K375" s="327">
        <f t="shared" si="55"/>
        <v>0.23124509247195582</v>
      </c>
      <c r="L375" s="266">
        <f>-SUMIFS(BV_Data_An_Cour!$AM:$AM,BV_Data_An_Cour!$AP:$AP,$B375,BV_Data_An_Cour!$AQ:$AQ,$C375,BV_Data_An_Cour!$AR:$AR,$L$2)</f>
        <v>11703.550000000003</v>
      </c>
      <c r="M375" s="282" t="e">
        <f t="shared" si="56"/>
        <v>#DIV/0!</v>
      </c>
      <c r="N375" s="266">
        <f t="shared" si="57"/>
        <v>11703.550000000003</v>
      </c>
      <c r="O375" s="281">
        <f>-SUMIFS(BV_Data_An_Prec!$AM:$AM,BV_Data_An_Prec!$AS:$AS,"Oui",BV_Data_An_Prec!$AP:$AP,$B375,BV_Data_An_Prec!$AQ:$AQ,$C375)</f>
        <v>30596.850000000006</v>
      </c>
      <c r="P375" s="327">
        <f t="shared" si="58"/>
        <v>0.16901347687752163</v>
      </c>
      <c r="Q375" s="266">
        <f>-SUMIFS(BV_Data_An_Prec!$AM:$AM,BV_Data_An_Prec!$AP:$AP,$B375,BV_Data_An_Prec!$AQ:$AQ,$C375,BV_Data_An_Prec!$AR:$AR,$L$2)</f>
        <v>5171.2799999999988</v>
      </c>
      <c r="R375" s="282">
        <f t="shared" si="59"/>
        <v>0.65412517955279648</v>
      </c>
      <c r="S375" s="266">
        <f t="shared" si="60"/>
        <v>6532.2700000000041</v>
      </c>
      <c r="T375" s="38"/>
      <c r="U375" s="35"/>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124633.58999999997</v>
      </c>
      <c r="K376" s="327">
        <f t="shared" si="55"/>
        <v>0.15998167107278199</v>
      </c>
      <c r="L376" s="266">
        <f>-SUMIFS(BV_Data_An_Cour!$AM:$AM,BV_Data_An_Cour!$AP:$AP,$B376,BV_Data_An_Cour!$AQ:$AQ,$C376,BV_Data_An_Cour!$AR:$AR,$L$2)</f>
        <v>19939.089999999967</v>
      </c>
      <c r="M376" s="282" t="e">
        <f t="shared" si="56"/>
        <v>#DIV/0!</v>
      </c>
      <c r="N376" s="266">
        <f t="shared" si="57"/>
        <v>19939.089999999967</v>
      </c>
      <c r="O376" s="281">
        <f>-SUMIFS(BV_Data_An_Prec!$AM:$AM,BV_Data_An_Prec!$AS:$AS,"Oui",BV_Data_An_Prec!$AP:$AP,$B376,BV_Data_An_Prec!$AQ:$AQ,$C376)</f>
        <v>125132.81999999995</v>
      </c>
      <c r="P376" s="327">
        <f t="shared" si="58"/>
        <v>9.0990916691559884E-2</v>
      </c>
      <c r="Q376" s="266">
        <f>-SUMIFS(BV_Data_An_Prec!$AM:$AM,BV_Data_An_Prec!$AP:$AP,$B376,BV_Data_An_Prec!$AQ:$AQ,$C376,BV_Data_An_Prec!$AR:$AR,$L$2)</f>
        <v>11385.949999999953</v>
      </c>
      <c r="R376" s="282">
        <f t="shared" si="59"/>
        <v>-3.9896008097634302E-3</v>
      </c>
      <c r="S376" s="266">
        <f t="shared" si="60"/>
        <v>8553.140000000014</v>
      </c>
      <c r="T376" s="38"/>
      <c r="U376" s="35"/>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5"/>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2410.0499999999956</v>
      </c>
      <c r="M378" s="282"/>
      <c r="N378" s="266">
        <f t="shared" si="57"/>
        <v>2410.0499999999956</v>
      </c>
      <c r="O378" s="281">
        <f>-SUMIFS(BV_Data_An_Prec!$AM:$AM,BV_Data_An_Prec!$AS:$AS,"Oui",BV_Data_An_Prec!$AP:$AP,$B378,BV_Data_An_Prec!$AQ:$AQ,$C378)</f>
        <v>0</v>
      </c>
      <c r="P378" s="327">
        <f t="shared" si="58"/>
        <v>0</v>
      </c>
      <c r="Q378" s="266">
        <f>-SUMIFS(BV_Data_An_Prec!$AM:$AM,BV_Data_An_Prec!$AP:$AP,$B378,BV_Data_An_Prec!$AQ:$AQ,$C378,BV_Data_An_Prec!$AR:$AR,$L$2)</f>
        <v>8585.1999999999971</v>
      </c>
      <c r="R378" s="282">
        <f t="shared" si="59"/>
        <v>0</v>
      </c>
      <c r="S378" s="266">
        <f t="shared" si="60"/>
        <v>-6175.1500000000015</v>
      </c>
      <c r="T378" s="38"/>
      <c r="U378" s="35"/>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436.71000000000004</v>
      </c>
      <c r="M379" s="282"/>
      <c r="N379" s="266">
        <f t="shared" si="57"/>
        <v>436.71000000000004</v>
      </c>
      <c r="O379" s="281">
        <f>-SUMIFS(BV_Data_An_Prec!$AM:$AM,BV_Data_An_Prec!$AS:$AS,"Oui",BV_Data_An_Prec!$AP:$AP,$B379,BV_Data_An_Prec!$AQ:$AQ,$C379)</f>
        <v>0</v>
      </c>
      <c r="P379" s="327">
        <f t="shared" si="58"/>
        <v>0</v>
      </c>
      <c r="Q379" s="266">
        <f>-SUMIFS(BV_Data_An_Prec!$AM:$AM,BV_Data_An_Prec!$AP:$AP,$B379,BV_Data_An_Prec!$AQ:$AQ,$C379,BV_Data_An_Prec!$AR:$AR,$L$2)</f>
        <v>5286.5500000000011</v>
      </c>
      <c r="R379" s="282">
        <f t="shared" si="59"/>
        <v>0</v>
      </c>
      <c r="S379" s="266">
        <f t="shared" si="60"/>
        <v>-4849.8400000000011</v>
      </c>
      <c r="T379" s="38"/>
      <c r="U379" s="35"/>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374263.14</v>
      </c>
      <c r="K380" s="370">
        <f t="shared" si="55"/>
        <v>0.26108742634927923</v>
      </c>
      <c r="L380" s="356">
        <f>SUM(L371:L379)</f>
        <v>97715.39999999998</v>
      </c>
      <c r="M380" s="371" t="e">
        <f>(+J380-D380)/D380</f>
        <v>#DIV/0!</v>
      </c>
      <c r="N380" s="356">
        <f t="shared" si="57"/>
        <v>97715.39999999998</v>
      </c>
      <c r="O380" s="355">
        <f t="shared" ref="O380" si="63">SUM(O371:O379)</f>
        <v>315239.76</v>
      </c>
      <c r="P380" s="370">
        <f t="shared" si="58"/>
        <v>0.26556025166368585</v>
      </c>
      <c r="Q380" s="356">
        <f>SUM(Q371:Q379)</f>
        <v>83715.149999999936</v>
      </c>
      <c r="R380" s="371">
        <f t="shared" si="59"/>
        <v>0.18723329823623772</v>
      </c>
      <c r="S380" s="356">
        <f t="shared" si="60"/>
        <v>14000.250000000044</v>
      </c>
      <c r="T380" s="38"/>
      <c r="U380" s="35"/>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0.1672367546376021</v>
      </c>
      <c r="T381" s="38"/>
      <c r="U381" s="35"/>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5"/>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18632.909999999989</v>
      </c>
      <c r="K383" s="327">
        <f t="shared" ref="K383:K385" si="64">IF(J383&lt;=0,0,L383/J383)</f>
        <v>0.21857670111646485</v>
      </c>
      <c r="L383" s="303">
        <f>-SUMIFS(BV_Data_An_Cour!$AM:$AM,BV_Data_An_Cour!$AP:$AP,$B383,BV_Data_An_Cour!$AQ:$AQ,$C383,BV_Data_An_Cour!$AR:$AR,$L$2)</f>
        <v>4072.7199999999866</v>
      </c>
      <c r="M383" s="282" t="e">
        <f>(+J383-D383)/D383</f>
        <v>#DIV/0!</v>
      </c>
      <c r="N383" s="266">
        <f>L383-F383</f>
        <v>4072.7199999999866</v>
      </c>
      <c r="O383" s="281">
        <f>-SUMIFS(BV_Data_An_Prec!$AM:$AM,BV_Data_An_Prec!$AS:$AS,"Oui",BV_Data_An_Prec!$AP:$AP,$B383,BV_Data_An_Prec!$AQ:$AQ,$C383)</f>
        <v>3313.4199999999983</v>
      </c>
      <c r="P383" s="327">
        <f t="shared" ref="P383:P385" si="65">IF(O383&lt;=0,0,Q383/O383)</f>
        <v>0.14782309517054981</v>
      </c>
      <c r="Q383" s="303">
        <f>-SUMIFS(BV_Data_An_Prec!$AM:$AM,BV_Data_An_Prec!$AP:$AP,$B383,BV_Data_An_Prec!$AQ:$AQ,$C383,BV_Data_An_Prec!$AR:$AR,$L$2)</f>
        <v>489.80000000000291</v>
      </c>
      <c r="R383" s="282">
        <f t="shared" ref="R383:R385" si="66">IF(O383=0,0,(J383-O383)/O383)</f>
        <v>4.6234675954150086</v>
      </c>
      <c r="S383" s="266">
        <f t="shared" ref="S383:S385" si="67">L383-Q383</f>
        <v>3582.9199999999837</v>
      </c>
      <c r="T383" s="38"/>
      <c r="U383" s="35"/>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14869.200000000004</v>
      </c>
      <c r="K384" s="327">
        <f t="shared" si="64"/>
        <v>0.27263538051811809</v>
      </c>
      <c r="L384" s="286">
        <f>-SUMIFS(BV_Data_An_Cour!$AM:$AM,BV_Data_An_Cour!$AP:$AP,$B384,BV_Data_An_Cour!$AQ:$AQ,$C384,BV_Data_An_Cour!$AR:$AR,$L$2)</f>
        <v>4053.8700000000026</v>
      </c>
      <c r="M384" s="282" t="e">
        <f>(+J384-D384)/D384</f>
        <v>#DIV/0!</v>
      </c>
      <c r="N384" s="266">
        <f>L384-F384</f>
        <v>4053.8700000000026</v>
      </c>
      <c r="O384" s="281">
        <f>-SUMIFS(BV_Data_An_Prec!$AM:$AM,BV_Data_An_Prec!$AS:$AS,"Oui",BV_Data_An_Prec!$AP:$AP,$B384,BV_Data_An_Prec!$AQ:$AQ,$C384)</f>
        <v>10142.23</v>
      </c>
      <c r="P384" s="327">
        <f t="shared" si="65"/>
        <v>-1.8690169716127469E-2</v>
      </c>
      <c r="Q384" s="286">
        <f>-SUMIFS(BV_Data_An_Prec!$AM:$AM,BV_Data_An_Prec!$AP:$AP,$B384,BV_Data_An_Prec!$AQ:$AQ,$C384,BV_Data_An_Prec!$AR:$AR,$L$2)</f>
        <v>-189.55999999999949</v>
      </c>
      <c r="R384" s="282">
        <f t="shared" si="66"/>
        <v>0.46606811322559288</v>
      </c>
      <c r="S384" s="266">
        <f t="shared" si="67"/>
        <v>4243.4300000000021</v>
      </c>
      <c r="T384" s="38"/>
      <c r="U384" s="35"/>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407765.25</v>
      </c>
      <c r="K385" s="370">
        <f t="shared" si="64"/>
        <v>0.25956598802865122</v>
      </c>
      <c r="L385" s="356">
        <f>L380+L383+L384</f>
        <v>105841.98999999996</v>
      </c>
      <c r="M385" s="371" t="e">
        <f>(+J385-D385)/D385</f>
        <v>#DIV/0!</v>
      </c>
      <c r="N385" s="356">
        <f>L385-F385</f>
        <v>105841.98999999996</v>
      </c>
      <c r="O385" s="357">
        <f t="shared" ref="O385" si="69">O380+O383+O384</f>
        <v>328695.40999999997</v>
      </c>
      <c r="P385" s="370">
        <f t="shared" si="65"/>
        <v>0.25560256530506448</v>
      </c>
      <c r="Q385" s="356">
        <f>Q380+Q383+Q384</f>
        <v>84015.389999999941</v>
      </c>
      <c r="R385" s="371">
        <f t="shared" si="66"/>
        <v>0.24055656876985301</v>
      </c>
      <c r="S385" s="356">
        <f t="shared" si="67"/>
        <v>21826.60000000002</v>
      </c>
      <c r="T385" s="38"/>
      <c r="U385" s="9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0.25979287842382254</v>
      </c>
      <c r="T386" s="38"/>
      <c r="U386" s="35"/>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5"/>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9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5"/>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407765.25</v>
      </c>
      <c r="K390" s="373">
        <f>IF(J390&lt;=0,0,L390/J390)</f>
        <v>0.25956598802865122</v>
      </c>
      <c r="L390" s="271">
        <f>L385+L388</f>
        <v>105841.98999999996</v>
      </c>
      <c r="M390" s="272" t="e">
        <f>(+J390-D390)/D390</f>
        <v>#DIV/0!</v>
      </c>
      <c r="N390" s="271">
        <f>L390-F390</f>
        <v>105841.98999999996</v>
      </c>
      <c r="O390" s="272">
        <f t="shared" ref="O390" si="70">O385+O388</f>
        <v>328695.40999999997</v>
      </c>
      <c r="P390" s="373">
        <f>IF(O390&lt;=0,0,Q390/O390)</f>
        <v>0.25560256530506448</v>
      </c>
      <c r="Q390" s="271">
        <f>Q385+Q388</f>
        <v>84015.389999999941</v>
      </c>
      <c r="R390" s="363">
        <f>IF(O390=0,0,(J390-O390)/O390)</f>
        <v>0.24055656876985301</v>
      </c>
      <c r="S390" s="271">
        <f>L390-Q390</f>
        <v>21826.60000000002</v>
      </c>
      <c r="T390" s="38"/>
      <c r="U390" s="35"/>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0.25979287842382254</v>
      </c>
      <c r="T391" s="38"/>
      <c r="U391" s="35"/>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5"/>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5"/>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5820.1500000000005</v>
      </c>
      <c r="M394" s="243"/>
      <c r="N394" s="246">
        <f t="shared" ref="N394:N424" si="71">L394-F394</f>
        <v>5820.1500000000005</v>
      </c>
      <c r="O394" s="243"/>
      <c r="P394" s="38"/>
      <c r="Q394" s="266">
        <f>SUMIFS(BV_Data_An_Prec!$AM:$AM,BV_Data_An_Prec!$AP:$AP,$B394,BV_Data_An_Prec!$AQ:$AQ,$C394,BV_Data_An_Prec!$AR:$AR,$L$2)</f>
        <v>1720.0499999999993</v>
      </c>
      <c r="R394" s="243"/>
      <c r="S394" s="266">
        <f t="shared" ref="S394:S424" si="72">L394-Q394</f>
        <v>4100.1000000000013</v>
      </c>
      <c r="T394" s="38"/>
      <c r="U394" s="35"/>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2900.7199999999993</v>
      </c>
      <c r="M395" s="243"/>
      <c r="N395" s="246">
        <f t="shared" si="71"/>
        <v>2900.7199999999993</v>
      </c>
      <c r="O395" s="243"/>
      <c r="P395" s="38"/>
      <c r="Q395" s="266">
        <f>SUMIFS(BV_Data_An_Prec!$AM:$AM,BV_Data_An_Prec!$AP:$AP,$B395,BV_Data_An_Prec!$AQ:$AQ,$C395,BV_Data_An_Prec!$AR:$AR,$L$2)</f>
        <v>2768.5</v>
      </c>
      <c r="R395" s="243"/>
      <c r="S395" s="266">
        <f t="shared" si="72"/>
        <v>132.21999999999935</v>
      </c>
      <c r="T395" s="38"/>
      <c r="U395" s="35"/>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16762.869999999995</v>
      </c>
      <c r="M396" s="233"/>
      <c r="N396" s="262">
        <f t="shared" si="71"/>
        <v>16762.869999999995</v>
      </c>
      <c r="O396" s="233"/>
      <c r="P396" s="301"/>
      <c r="Q396" s="303">
        <f>SUMIFS(BV_Data_An_Prec!$AM:$AM,BV_Data_An_Prec!$AP:$AP,$B396,BV_Data_An_Prec!$AQ:$AQ,$C396,BV_Data_An_Prec!$AR:$AR,$L$2)</f>
        <v>18762.459999999992</v>
      </c>
      <c r="R396" s="233"/>
      <c r="S396" s="303">
        <f t="shared" si="72"/>
        <v>-1999.5899999999965</v>
      </c>
      <c r="T396" s="38"/>
      <c r="U396" s="1053"/>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5"/>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5"/>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5"/>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5"/>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3186.5200000000004</v>
      </c>
      <c r="M401" s="243"/>
      <c r="N401" s="246">
        <f t="shared" si="71"/>
        <v>3186.5200000000004</v>
      </c>
      <c r="O401" s="243"/>
      <c r="P401" s="38"/>
      <c r="Q401" s="266">
        <f>SUMIFS(BV_Data_An_Prec!$AM:$AM,BV_Data_An_Prec!$AP:$AP,$B401,BV_Data_An_Prec!$AQ:$AQ,$C401,BV_Data_An_Prec!$AR:$AR,$L$2)</f>
        <v>2514.9500000000007</v>
      </c>
      <c r="R401" s="243"/>
      <c r="S401" s="266">
        <f t="shared" si="72"/>
        <v>671.56999999999971</v>
      </c>
      <c r="T401" s="38"/>
      <c r="U401" s="35"/>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3481.630000000001</v>
      </c>
      <c r="M402" s="233"/>
      <c r="N402" s="262">
        <f t="shared" si="71"/>
        <v>3481.630000000001</v>
      </c>
      <c r="O402" s="233"/>
      <c r="P402" s="301"/>
      <c r="Q402" s="303">
        <f>SUMIFS(BV_Data_An_Prec!$AM:$AM,BV_Data_An_Prec!$AP:$AP,$B402,BV_Data_An_Prec!$AQ:$AQ,$C402,BV_Data_An_Prec!$AR:$AR,$L$2)</f>
        <v>2960.4300000000021</v>
      </c>
      <c r="R402" s="233"/>
      <c r="S402" s="303">
        <f t="shared" si="72"/>
        <v>521.19999999999891</v>
      </c>
      <c r="T402" s="38"/>
      <c r="U402" s="35"/>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406.04999999999927</v>
      </c>
      <c r="M403" s="243"/>
      <c r="N403" s="246">
        <f t="shared" si="71"/>
        <v>406.04999999999927</v>
      </c>
      <c r="O403" s="243"/>
      <c r="P403" s="38"/>
      <c r="Q403" s="266">
        <f>SUMIFS(BV_Data_An_Prec!$AM:$AM,BV_Data_An_Prec!$AP:$AP,$B403,BV_Data_An_Prec!$AQ:$AQ,$C403,BV_Data_An_Prec!$AR:$AR,$L$2)</f>
        <v>1395.4099999999999</v>
      </c>
      <c r="R403" s="243"/>
      <c r="S403" s="266">
        <f t="shared" si="72"/>
        <v>-989.36000000000058</v>
      </c>
      <c r="T403" s="38"/>
      <c r="U403" s="35"/>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1319.1100000000006</v>
      </c>
      <c r="M404" s="243"/>
      <c r="N404" s="246">
        <f t="shared" si="71"/>
        <v>1319.1100000000006</v>
      </c>
      <c r="O404" s="243"/>
      <c r="P404" s="38"/>
      <c r="Q404" s="266">
        <f>SUMIFS(BV_Data_An_Prec!$AM:$AM,BV_Data_An_Prec!$AP:$AP,$B404,BV_Data_An_Prec!$AQ:$AQ,$C404,BV_Data_An_Prec!$AR:$AR,$L$2)</f>
        <v>159.90999999999985</v>
      </c>
      <c r="R404" s="243"/>
      <c r="S404" s="266">
        <f t="shared" si="72"/>
        <v>1159.2000000000007</v>
      </c>
      <c r="T404" s="38"/>
      <c r="U404" s="35"/>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5"/>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0.3200719298645085</v>
      </c>
      <c r="L406" s="294">
        <f>+SUM(L394:L405)</f>
        <v>33877.049999999996</v>
      </c>
      <c r="M406" s="296"/>
      <c r="N406" s="294">
        <f t="shared" si="71"/>
        <v>33877.049999999996</v>
      </c>
      <c r="O406" s="295" t="s">
        <v>115</v>
      </c>
      <c r="P406" s="293">
        <f>Q406/Q$390</f>
        <v>0.36043051160031531</v>
      </c>
      <c r="Q406" s="294">
        <f>+SUM(Q394:Q405)</f>
        <v>30281.709999999992</v>
      </c>
      <c r="R406" s="297"/>
      <c r="S406" s="294">
        <f t="shared" si="72"/>
        <v>3595.3400000000038</v>
      </c>
      <c r="T406" s="38"/>
      <c r="U406" s="35"/>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1238.7799999999997</v>
      </c>
      <c r="M407" s="243"/>
      <c r="N407" s="266">
        <f t="shared" si="71"/>
        <v>1238.7799999999997</v>
      </c>
      <c r="O407" s="243"/>
      <c r="P407" s="38"/>
      <c r="Q407" s="266">
        <f>SUMIFS(BV_Data_An_Prec!$AM:$AM,BV_Data_An_Prec!$AP:$AP,$B407,BV_Data_An_Prec!$AQ:$AQ,$C407,BV_Data_An_Prec!$AR:$AR,$L$2)</f>
        <v>865.27000000000066</v>
      </c>
      <c r="R407" s="243"/>
      <c r="S407" s="266">
        <f t="shared" si="72"/>
        <v>373.50999999999908</v>
      </c>
      <c r="T407" s="38"/>
      <c r="U407" s="35"/>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231.95000000000005</v>
      </c>
      <c r="R408" s="243"/>
      <c r="S408" s="266">
        <f t="shared" si="72"/>
        <v>-231.95000000000005</v>
      </c>
      <c r="T408" s="38"/>
      <c r="U408" s="35"/>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2849.3100000000013</v>
      </c>
      <c r="M409" s="238"/>
      <c r="N409" s="286">
        <f t="shared" si="71"/>
        <v>2849.3100000000013</v>
      </c>
      <c r="O409" s="238"/>
      <c r="P409" s="304"/>
      <c r="Q409" s="286">
        <f>SUMIFS(BV_Data_An_Prec!$AM:$AM,BV_Data_An_Prec!$AP:$AP,$B409,BV_Data_An_Prec!$AQ:$AQ,$C409,BV_Data_An_Prec!$AR:$AR,$L$2)</f>
        <v>1326.7200000000012</v>
      </c>
      <c r="R409" s="238"/>
      <c r="S409" s="286">
        <f t="shared" si="72"/>
        <v>1522.5900000000001</v>
      </c>
      <c r="T409" s="38"/>
      <c r="U409" s="35"/>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1887.42</v>
      </c>
      <c r="M410" s="243"/>
      <c r="N410" s="266">
        <f t="shared" si="71"/>
        <v>1887.42</v>
      </c>
      <c r="O410" s="243"/>
      <c r="P410" s="38"/>
      <c r="Q410" s="266">
        <f>SUMIFS(BV_Data_An_Prec!$AM:$AM,BV_Data_An_Prec!$AP:$AP,$B410,BV_Data_An_Prec!$AQ:$AQ,$C410,BV_Data_An_Prec!$AR:$AR,$L$2)</f>
        <v>1891.6100000000006</v>
      </c>
      <c r="R410" s="243"/>
      <c r="S410" s="266">
        <f t="shared" si="72"/>
        <v>-4.1900000000005093</v>
      </c>
      <c r="T410" s="38"/>
      <c r="U410" s="35"/>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184.26999999999953</v>
      </c>
      <c r="M411" s="243"/>
      <c r="N411" s="266">
        <f t="shared" si="71"/>
        <v>184.26999999999953</v>
      </c>
      <c r="O411" s="243"/>
      <c r="P411" s="38"/>
      <c r="Q411" s="266">
        <f>SUMIFS(BV_Data_An_Prec!$AM:$AM,BV_Data_An_Prec!$AP:$AP,$B411,BV_Data_An_Prec!$AQ:$AQ,$C411,BV_Data_An_Prec!$AR:$AR,$L$2)</f>
        <v>150</v>
      </c>
      <c r="R411" s="243"/>
      <c r="S411" s="266">
        <f t="shared" si="72"/>
        <v>34.269999999999527</v>
      </c>
      <c r="T411" s="38"/>
      <c r="U411" s="35"/>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2590.3199999999997</v>
      </c>
      <c r="M412" s="238"/>
      <c r="N412" s="286">
        <f t="shared" si="71"/>
        <v>2590.3199999999997</v>
      </c>
      <c r="O412" s="238"/>
      <c r="P412" s="304"/>
      <c r="Q412" s="286">
        <f>SUMIFS(BV_Data_An_Prec!$AM:$AM,BV_Data_An_Prec!$AP:$AP,$B412,BV_Data_An_Prec!$AQ:$AQ,$C412,BV_Data_An_Prec!$AR:$AR,$L$2)</f>
        <v>2975.6300000000006</v>
      </c>
      <c r="R412" s="238"/>
      <c r="S412" s="286">
        <f t="shared" si="72"/>
        <v>-385.31000000000085</v>
      </c>
      <c r="T412" s="38"/>
      <c r="U412" s="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5"/>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145</v>
      </c>
      <c r="M414" s="243"/>
      <c r="N414" s="266">
        <f t="shared" si="71"/>
        <v>145</v>
      </c>
      <c r="O414" s="243"/>
      <c r="P414" s="38"/>
      <c r="Q414" s="266">
        <f>SUMIFS(BV_Data_An_Prec!$AM:$AM,BV_Data_An_Prec!$AP:$AP,$B414,BV_Data_An_Prec!$AQ:$AQ,$C414,BV_Data_An_Prec!$AR:$AR,$L$2)</f>
        <v>88.269999999999982</v>
      </c>
      <c r="R414" s="243"/>
      <c r="S414" s="266">
        <f t="shared" si="72"/>
        <v>56.730000000000018</v>
      </c>
      <c r="T414" s="38"/>
      <c r="U414" s="35"/>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5"/>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432.09000000000015</v>
      </c>
      <c r="M416" s="243"/>
      <c r="N416" s="266">
        <f t="shared" si="71"/>
        <v>432.09000000000015</v>
      </c>
      <c r="O416" s="243"/>
      <c r="P416" s="38"/>
      <c r="Q416" s="266">
        <f>SUMIFS(BV_Data_An_Prec!$AM:$AM,BV_Data_An_Prec!$AP:$AP,$B416,BV_Data_An_Prec!$AQ:$AQ,$C416,BV_Data_An_Prec!$AR:$AR,$L$2)</f>
        <v>488.38000000000011</v>
      </c>
      <c r="R416" s="243"/>
      <c r="S416" s="266">
        <f t="shared" si="72"/>
        <v>-56.289999999999964</v>
      </c>
      <c r="T416" s="38"/>
      <c r="U416" s="35"/>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111.78999999999996</v>
      </c>
      <c r="M417" s="243"/>
      <c r="N417" s="266">
        <f t="shared" si="71"/>
        <v>111.78999999999996</v>
      </c>
      <c r="O417" s="243"/>
      <c r="P417" s="38"/>
      <c r="Q417" s="266">
        <f>SUMIFS(BV_Data_An_Prec!$AM:$AM,BV_Data_An_Prec!$AP:$AP,$B417,BV_Data_An_Prec!$AQ:$AQ,$C417,BV_Data_An_Prec!$AR:$AR,$L$2)</f>
        <v>336.3299999999997</v>
      </c>
      <c r="R417" s="243"/>
      <c r="S417" s="266">
        <f t="shared" si="72"/>
        <v>-224.53999999999974</v>
      </c>
      <c r="T417" s="38"/>
      <c r="U417" s="35"/>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681.64000000000033</v>
      </c>
      <c r="M418" s="243"/>
      <c r="N418" s="266">
        <f t="shared" si="71"/>
        <v>681.64000000000033</v>
      </c>
      <c r="O418" s="243"/>
      <c r="P418" s="38"/>
      <c r="Q418" s="266">
        <f>SUMIFS(BV_Data_An_Prec!$AM:$AM,BV_Data_An_Prec!$AP:$AP,$B418,BV_Data_An_Prec!$AQ:$AQ,$C418,BV_Data_An_Prec!$AR:$AR,$L$2)</f>
        <v>331.27</v>
      </c>
      <c r="R418" s="243"/>
      <c r="S418" s="266">
        <f t="shared" si="72"/>
        <v>350.37000000000035</v>
      </c>
      <c r="T418" s="38"/>
      <c r="U418" s="35"/>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1123.8900000000003</v>
      </c>
      <c r="M419" s="243"/>
      <c r="N419" s="266">
        <f t="shared" si="71"/>
        <v>1123.8900000000003</v>
      </c>
      <c r="O419" s="243"/>
      <c r="P419" s="38"/>
      <c r="Q419" s="266">
        <f>SUMIFS(BV_Data_An_Prec!$AM:$AM,BV_Data_An_Prec!$AP:$AP,$B419,BV_Data_An_Prec!$AQ:$AQ,$C419,BV_Data_An_Prec!$AR:$AR,$L$2)</f>
        <v>3538.4</v>
      </c>
      <c r="R419" s="243"/>
      <c r="S419" s="266">
        <f t="shared" si="72"/>
        <v>-2414.5099999999998</v>
      </c>
      <c r="T419" s="38"/>
      <c r="U419" s="35"/>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790.5</v>
      </c>
      <c r="R420" s="243"/>
      <c r="S420" s="266">
        <f t="shared" si="72"/>
        <v>-790.5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519.36000000000013</v>
      </c>
      <c r="M421" s="243"/>
      <c r="N421" s="266">
        <f t="shared" si="71"/>
        <v>519.36000000000013</v>
      </c>
      <c r="O421" s="243"/>
      <c r="P421" s="38"/>
      <c r="Q421" s="266">
        <f>SUMIFS(BV_Data_An_Prec!$AM:$AM,BV_Data_An_Prec!$AP:$AP,$B421,BV_Data_An_Prec!$AQ:$AQ,$C421,BV_Data_An_Prec!$AR:$AR,$L$2)</f>
        <v>92.759999999999991</v>
      </c>
      <c r="R421" s="243"/>
      <c r="S421" s="266">
        <f t="shared" si="72"/>
        <v>426.60000000000014</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0.11114558598151833</v>
      </c>
      <c r="L425" s="294">
        <f>+SUM(L407:L424)</f>
        <v>11763.869999999999</v>
      </c>
      <c r="M425" s="296"/>
      <c r="N425" s="294">
        <f>+SUM(N407:N424)</f>
        <v>11763.869999999999</v>
      </c>
      <c r="O425" s="295" t="s">
        <v>115</v>
      </c>
      <c r="P425" s="293">
        <f>Q425/Q$390</f>
        <v>0.15600820278284744</v>
      </c>
      <c r="Q425" s="294">
        <f>+SUM(Q407:Q424)</f>
        <v>13107.090000000004</v>
      </c>
      <c r="R425" s="297"/>
      <c r="S425" s="294">
        <f>+SUM(S407:S424)</f>
        <v>-1343.2200000000016</v>
      </c>
      <c r="T425" s="38"/>
      <c r="U425" s="35"/>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5"/>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0.43121751584602686</v>
      </c>
      <c r="L427" s="294">
        <f>L406+L425</f>
        <v>45640.92</v>
      </c>
      <c r="M427" s="296"/>
      <c r="N427" s="294">
        <f>L427-F427</f>
        <v>45640.92</v>
      </c>
      <c r="O427" s="295" t="s">
        <v>115</v>
      </c>
      <c r="P427" s="293">
        <f>Q427/Q$390</f>
        <v>0.51643871438316269</v>
      </c>
      <c r="Q427" s="294">
        <f>Q406+Q425</f>
        <v>43388.799999999996</v>
      </c>
      <c r="R427" s="297"/>
      <c r="S427" s="294">
        <f>L427-Q427</f>
        <v>2252.1200000000026</v>
      </c>
      <c r="T427" s="38"/>
      <c r="U427" s="35"/>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5"/>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f>F390-F427</f>
        <v>0</v>
      </c>
      <c r="G429" s="957"/>
      <c r="H429" s="955"/>
      <c r="I429" s="956"/>
      <c r="J429" s="957"/>
      <c r="K429" s="955"/>
      <c r="L429" s="956">
        <f>L390-L427</f>
        <v>60201.069999999963</v>
      </c>
      <c r="M429" s="958"/>
      <c r="N429" s="956">
        <f>L429-F429</f>
        <v>60201.069999999963</v>
      </c>
      <c r="O429" s="957"/>
      <c r="P429" s="955"/>
      <c r="Q429" s="956">
        <f>Q390-Q427</f>
        <v>40626.589999999946</v>
      </c>
      <c r="R429" s="959"/>
      <c r="S429" s="956">
        <f>L429-Q429</f>
        <v>19574.480000000018</v>
      </c>
      <c r="T429" s="38"/>
      <c r="U429" s="35"/>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5"/>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5"/>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Juin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44" t="s">
        <v>339</v>
      </c>
      <c r="E434" s="1245"/>
      <c r="F434" s="1246"/>
      <c r="G434" s="1249"/>
      <c r="H434" s="1245"/>
      <c r="I434" s="1246"/>
      <c r="J434" s="1249" t="s">
        <v>340</v>
      </c>
      <c r="K434" s="1245"/>
      <c r="L434" s="1246"/>
      <c r="M434" s="1249"/>
      <c r="N434" s="1246"/>
      <c r="O434" s="1244" t="s">
        <v>341</v>
      </c>
      <c r="P434" s="1245"/>
      <c r="Q434" s="1246"/>
      <c r="R434" s="1249" t="s">
        <v>342</v>
      </c>
      <c r="S434" s="124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437</v>
      </c>
      <c r="K437" s="922">
        <f>-SUMIFS(BV_Data_An_Cour!$AM:$AM,BV_Data_An_Cour!$AS:$AS,"Oui",BV_Data_An_Cour!$AP:$AP,$B437,BV_Data_An_Cour!$AQ:$AQ,$C437)</f>
        <v>70820</v>
      </c>
      <c r="L437" s="658">
        <f>-SUMIFS(BV_Data_An_Cour!$AM:$AM,BV_Data_An_Cour!$AP:$AP,$B437,BV_Data_An_Cour!$AQ:$AQ,$C437,BV_Data_An_Cour!$AR:$AR,$L$2)</f>
        <v>53041.86</v>
      </c>
      <c r="M437" s="925">
        <f>IFERROR((K437-E437)/E437,0)</f>
        <v>0</v>
      </c>
      <c r="N437" s="658">
        <f>L437-F437</f>
        <v>53041.86</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53041.86</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0.7489672408924033</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152</v>
      </c>
      <c r="K440" s="336">
        <f>-SUMIFS(BV_Data_An_Cour!$AM:$AM,BV_Data_An_Cour!$AS:$AS,"Oui",BV_Data_An_Cour!$AP:$AP,$B440,BV_Data_An_Cour!$AQ:$AQ,$C440)</f>
        <v>19165.469999999972</v>
      </c>
      <c r="L440" s="303">
        <f>-SUMIFS(BV_Data_An_Cour!$AM:$AM,BV_Data_An_Cour!$AP:$AP,$B440,BV_Data_An_Cour!$AQ:$AQ,$C440,BV_Data_An_Cour!$AR:$AR,$L$2)</f>
        <v>13954.829999999973</v>
      </c>
      <c r="M440" s="340">
        <f>IFERROR((K440-E440)/E440,0)</f>
        <v>0</v>
      </c>
      <c r="N440" s="303">
        <f>L440-F440</f>
        <v>13954.829999999973</v>
      </c>
      <c r="O440" s="337">
        <f>SUMIFS(BV_Data_An_Prec!$AW:$AW,BV_Data_An_Prec!$AP:$AP,$B440,BV_Data_An_Prec!$AQ:$AQ,$C440,BV_Data_An_Prec!$AY:$AY,O$2)</f>
        <v>546</v>
      </c>
      <c r="P440" s="336">
        <f>-SUMIFS(BV_Data_An_Prec!$AM:$AM,BV_Data_An_Prec!$AS:$AS,"Oui",BV_Data_An_Prec!$AP:$AP,$B440,BV_Data_An_Prec!$AQ:$AQ,$C440)</f>
        <v>79714.150000000023</v>
      </c>
      <c r="Q440" s="303">
        <f>-SUMIFS(BV_Data_An_Prec!$AM:$AM,BV_Data_An_Prec!$AP:$AP,$B440,BV_Data_An_Prec!$AQ:$AQ,$C440,BV_Data_An_Prec!$AR:$AR,$L$2)</f>
        <v>59632.690000000017</v>
      </c>
      <c r="R440" s="282">
        <f>IF(O440=0,0,J440/O440)</f>
        <v>0.2783882783882784</v>
      </c>
      <c r="S440" s="266">
        <f>L440-Q440</f>
        <v>-45677.860000000044</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0.72812354719190253</v>
      </c>
      <c r="M441" s="282"/>
      <c r="N441" s="266">
        <f>IFERROR(N440/M440,0)</f>
        <v>0</v>
      </c>
      <c r="O441" s="267"/>
      <c r="P441" s="38"/>
      <c r="Q441" s="332">
        <f>IFERROR(Q440/P440,0)</f>
        <v>0.74808161411744334</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0</v>
      </c>
      <c r="K443" s="281">
        <f>-SUMIFS(BV_Data_An_Cour!$AM:$AM,BV_Data_An_Cour!$AS:$AS,"Oui",BV_Data_An_Cour!$AP:$AP,$B443,BV_Data_An_Cour!$AQ:$AQ,$C443)</f>
        <v>0</v>
      </c>
      <c r="L443" s="266">
        <f>-SUMIFS(BV_Data_An_Cour!$AM:$AM,BV_Data_An_Cour!$AP:$AP,$B443,BV_Data_An_Cour!$AQ:$AQ,$C443,BV_Data_An_Cour!$AR:$AR,$L$2)</f>
        <v>0</v>
      </c>
      <c r="M443" s="282">
        <f>IFERROR((K443-E443)/E443,0)</f>
        <v>0</v>
      </c>
      <c r="N443" s="303">
        <f>L443-F443</f>
        <v>0</v>
      </c>
      <c r="O443" s="337">
        <f>SUMIFS(BV_Data_An_Prec!$AW:$AW,BV_Data_An_Prec!$AP:$AP,$B443,BV_Data_An_Prec!$AQ:$AQ,$C443,BV_Data_An_Prec!$AY:$AY,O$2)</f>
        <v>13</v>
      </c>
      <c r="P443" s="281">
        <f>-SUMIFS(BV_Data_An_Prec!$AM:$AM,BV_Data_An_Prec!$AS:$AS,"Oui",BV_Data_An_Prec!$AP:$AP,$B443,BV_Data_An_Prec!$AQ:$AQ,$C443)</f>
        <v>1500</v>
      </c>
      <c r="Q443" s="266">
        <f>-SUMIFS(BV_Data_An_Prec!$AM:$AM,BV_Data_An_Prec!$AP:$AP,$B443,BV_Data_An_Prec!$AQ:$AQ,$C443,BV_Data_An_Prec!$AR:$AR,$L$2)</f>
        <v>1049.97</v>
      </c>
      <c r="R443" s="282">
        <f>IF(O443=0,0,J443/O443)</f>
        <v>0</v>
      </c>
      <c r="S443" s="266">
        <f>L443-Q443</f>
        <v>-1049.97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v>
      </c>
      <c r="M444" s="282"/>
      <c r="N444" s="266">
        <f>IFERROR(N443/M443,0)</f>
        <v>0</v>
      </c>
      <c r="O444" s="267"/>
      <c r="P444" s="38"/>
      <c r="Q444" s="332">
        <f>IFERROR(Q443/P443,0)</f>
        <v>0.69998000000000005</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t="s">
        <v>3373</v>
      </c>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89985.469999999972</v>
      </c>
      <c r="L448" s="271">
        <f>L437+L440+L443</f>
        <v>66996.689999999973</v>
      </c>
      <c r="M448" s="272"/>
      <c r="N448" s="271"/>
      <c r="O448" s="272"/>
      <c r="P448" s="269">
        <f>P437+P440+P443</f>
        <v>81214.150000000023</v>
      </c>
      <c r="Q448" s="271">
        <f>Q437+Q440+Q443</f>
        <v>60682.660000000018</v>
      </c>
      <c r="R448" s="272">
        <f>IF(O448=0,0,(J448-O448)/O448)</f>
        <v>0</v>
      </c>
      <c r="S448" s="271">
        <f>L448-Q448</f>
        <v>6314.0299999999552</v>
      </c>
      <c r="T448" s="38"/>
      <c r="U448" s="35"/>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5"/>
      <c r="L449" s="326">
        <f>L448/K448</f>
        <v>0.74452786655445591</v>
      </c>
      <c r="M449" s="276"/>
      <c r="N449" s="277"/>
      <c r="O449" s="273"/>
      <c r="P449" s="945"/>
      <c r="Q449" s="326">
        <f>Q448/P448</f>
        <v>0.7471931923193188</v>
      </c>
      <c r="R449" s="276"/>
      <c r="S449" s="326">
        <f>IF(Q448=0,0,S448/Q448)</f>
        <v>0.10404998726159917</v>
      </c>
      <c r="T449" s="38"/>
      <c r="U449" s="35"/>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1560</v>
      </c>
      <c r="M452" s="243"/>
      <c r="N452" s="253"/>
      <c r="O452" s="243"/>
      <c r="P452" s="38"/>
      <c r="Q452" s="266">
        <f>SUMIFS(BV_Data_An_Prec!$AM:$AM,BV_Data_An_Prec!$AP:$AP,$B452,BV_Data_An_Prec!$AQ:$AQ,$C452,BV_Data_An_Prec!$AR:$AR,$L$2)</f>
        <v>0</v>
      </c>
      <c r="R452" s="243"/>
      <c r="S452" s="266">
        <f t="shared" ref="S452:S481" si="73">L452-Q452</f>
        <v>1560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7349.1600000000017</v>
      </c>
      <c r="M453" s="243"/>
      <c r="N453" s="266"/>
      <c r="O453" s="243"/>
      <c r="P453" s="38"/>
      <c r="Q453" s="286">
        <f>SUMIFS(BV_Data_An_Prec!$AM:$AM,BV_Data_An_Prec!$AP:$AP,$B453,BV_Data_An_Prec!$AQ:$AQ,$C453,BV_Data_An_Prec!$AR:$AR,$L$2)</f>
        <v>0</v>
      </c>
      <c r="R453" s="243"/>
      <c r="S453" s="266">
        <f t="shared" si="73"/>
        <v>7349.1600000000017</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4902.3599999999997</v>
      </c>
      <c r="M459" s="243"/>
      <c r="N459" s="266"/>
      <c r="O459" s="243"/>
      <c r="P459" s="38"/>
      <c r="Q459" s="286">
        <f>SUMIFS(BV_Data_An_Prec!$AM:$AM,BV_Data_An_Prec!$AP:$AP,$B459,BV_Data_An_Prec!$AQ:$AQ,$C459,BV_Data_An_Prec!$AR:$AR,$L$2)</f>
        <v>0</v>
      </c>
      <c r="R459" s="243"/>
      <c r="S459" s="266">
        <f t="shared" si="73"/>
        <v>4902.3599999999997</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4971.96</v>
      </c>
      <c r="M460" s="233"/>
      <c r="N460" s="303"/>
      <c r="O460" s="233"/>
      <c r="P460" s="301"/>
      <c r="Q460" s="266">
        <f>SUMIFS(BV_Data_An_Prec!$AM:$AM,BV_Data_An_Prec!$AP:$AP,$B460,BV_Data_An_Prec!$AQ:$AQ,$C460,BV_Data_An_Prec!$AR:$AR,$L$2)</f>
        <v>0</v>
      </c>
      <c r="R460" s="233"/>
      <c r="S460" s="303">
        <f t="shared" si="73"/>
        <v>4971.96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1046.9000000000001</v>
      </c>
      <c r="M461" s="243"/>
      <c r="N461" s="266"/>
      <c r="O461" s="243"/>
      <c r="P461" s="38"/>
      <c r="Q461" s="266">
        <f>SUMIFS(BV_Data_An_Prec!$AM:$AM,BV_Data_An_Prec!$AP:$AP,$B461,BV_Data_An_Prec!$AQ:$AQ,$C461,BV_Data_An_Prec!$AR:$AR,$L$2)</f>
        <v>0</v>
      </c>
      <c r="R461" s="243"/>
      <c r="S461" s="266">
        <f t="shared" si="73"/>
        <v>1046.9000000000001</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665.01</v>
      </c>
      <c r="M462" s="243"/>
      <c r="N462" s="266"/>
      <c r="O462" s="243"/>
      <c r="P462" s="38"/>
      <c r="Q462" s="266">
        <f>SUMIFS(BV_Data_An_Prec!$AM:$AM,BV_Data_An_Prec!$AP:$AP,$B462,BV_Data_An_Prec!$AQ:$AQ,$C462,BV_Data_An_Prec!$AR:$AR,$L$2)</f>
        <v>0</v>
      </c>
      <c r="R462" s="243"/>
      <c r="S462" s="266">
        <f t="shared" si="73"/>
        <v>665.01</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0.30591645646971527</v>
      </c>
      <c r="L464" s="294">
        <f>+SUM(L452:L463)</f>
        <v>20495.39</v>
      </c>
      <c r="M464" s="296"/>
      <c r="N464" s="294"/>
      <c r="O464" s="295" t="s">
        <v>115</v>
      </c>
      <c r="P464" s="293">
        <f>IFERROR(Q464/Q$448,0)</f>
        <v>0</v>
      </c>
      <c r="Q464" s="294">
        <f>+SUM(Q452:Q463)</f>
        <v>0</v>
      </c>
      <c r="R464" s="297"/>
      <c r="S464" s="294">
        <f t="shared" si="73"/>
        <v>20495.39</v>
      </c>
      <c r="T464" s="38"/>
      <c r="U464" s="35"/>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80.48</v>
      </c>
      <c r="M466" s="243"/>
      <c r="N466" s="266"/>
      <c r="O466" s="243"/>
      <c r="P466" s="38"/>
      <c r="Q466" s="266">
        <f>SUMIFS(BV_Data_An_Prec!$AM:$AM,BV_Data_An_Prec!$AP:$AP,$B466,BV_Data_An_Prec!$AQ:$AQ,$C466,BV_Data_An_Prec!$AR:$AR,$L$2)</f>
        <v>0</v>
      </c>
      <c r="R466" s="243"/>
      <c r="S466" s="266">
        <f t="shared" si="73"/>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1.2012533753533203E-3</v>
      </c>
      <c r="L482" s="294">
        <f>+SUM(L465:L481)</f>
        <v>80.48</v>
      </c>
      <c r="M482" s="296"/>
      <c r="N482" s="294"/>
      <c r="O482" s="295" t="s">
        <v>115</v>
      </c>
      <c r="P482" s="293">
        <f>IFERROR(Q482/Q$448,0)</f>
        <v>0</v>
      </c>
      <c r="Q482" s="294">
        <f>+SUM(Q465:Q481)</f>
        <v>0</v>
      </c>
      <c r="R482" s="297"/>
      <c r="S482" s="294">
        <f>+SUM(S465:S481)</f>
        <v>80.48</v>
      </c>
      <c r="T482" s="38"/>
      <c r="U482" s="35"/>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0.30711770984506859</v>
      </c>
      <c r="L484" s="294">
        <f>L464+L482</f>
        <v>20575.87</v>
      </c>
      <c r="M484" s="296"/>
      <c r="N484" s="294"/>
      <c r="O484" s="295" t="s">
        <v>115</v>
      </c>
      <c r="P484" s="293">
        <f>IFERROR(Q484/Q$448,0)</f>
        <v>0</v>
      </c>
      <c r="Q484" s="294">
        <f>Q464+Q482</f>
        <v>0</v>
      </c>
      <c r="R484" s="297"/>
      <c r="S484" s="294">
        <f>L484-Q484</f>
        <v>20575.87</v>
      </c>
      <c r="T484" s="38"/>
      <c r="U484" s="35"/>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46420.819999999978</v>
      </c>
      <c r="M486" s="958"/>
      <c r="N486" s="956"/>
      <c r="O486" s="957"/>
      <c r="P486" s="955"/>
      <c r="Q486" s="956">
        <f>Q448-Q484</f>
        <v>60682.660000000018</v>
      </c>
      <c r="R486" s="959"/>
      <c r="S486" s="956">
        <f>L486-Q486</f>
        <v>-14261.84000000004</v>
      </c>
      <c r="T486" s="38"/>
      <c r="U486" s="35"/>
      <c r="V486" s="38"/>
      <c r="W486" s="38"/>
      <c r="X486" s="38"/>
      <c r="Y486" s="38"/>
      <c r="Z486" s="38"/>
      <c r="AA486" s="38"/>
      <c r="AB486" s="38"/>
      <c r="AC486" s="38"/>
      <c r="AD486" s="38"/>
      <c r="AE486" s="38"/>
      <c r="AF486" s="281">
        <f>AF494-AF497</f>
        <v>662868.59000000276</v>
      </c>
      <c r="AG486" s="38"/>
      <c r="AH486" s="38"/>
      <c r="AI486" s="38"/>
      <c r="AJ486" s="281">
        <f>AF486-751819</f>
        <v>-88950.409999997239</v>
      </c>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5"/>
      <c r="V487" s="38"/>
      <c r="W487" s="38"/>
      <c r="X487" s="38"/>
      <c r="Y487" s="38"/>
      <c r="Z487" s="38"/>
      <c r="AA487" s="38"/>
      <c r="AB487" s="38"/>
      <c r="AC487" s="38"/>
      <c r="AD487" s="38"/>
      <c r="AE487" s="38"/>
      <c r="AF487" s="281">
        <f>AF567-AF498</f>
        <v>40.229999999999563</v>
      </c>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Juin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254" t="s">
        <v>592</v>
      </c>
      <c r="Y491" s="1252"/>
      <c r="Z491" s="1255"/>
      <c r="AA491" s="1251"/>
      <c r="AB491" s="1252"/>
      <c r="AC491" s="1255"/>
      <c r="AD491" s="1251" t="s">
        <v>340</v>
      </c>
      <c r="AE491" s="1252"/>
      <c r="AF491" s="1255"/>
      <c r="AG491" s="1251" t="s">
        <v>668</v>
      </c>
      <c r="AH491" s="1252"/>
      <c r="AI491" s="1255"/>
      <c r="AJ491" s="1251" t="s">
        <v>593</v>
      </c>
      <c r="AK491" s="1252"/>
      <c r="AL491" s="1252"/>
      <c r="AM491" s="1251" t="s">
        <v>594</v>
      </c>
      <c r="AN491" s="1252"/>
      <c r="AO491" s="125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19783630.240000002</v>
      </c>
      <c r="AG493" s="384"/>
      <c r="AH493" s="385"/>
      <c r="AI493" s="386"/>
      <c r="AJ493" s="384"/>
      <c r="AK493" s="385"/>
      <c r="AL493" s="383">
        <f>Q5+Q93+Q173+P268+P326+O390+P448</f>
        <v>30408379.140000001</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3.4525781755613862E-2</v>
      </c>
      <c r="AE494" s="393"/>
      <c r="AF494" s="391">
        <f>L27+L109+L182+L268+L326+L390+L448</f>
        <v>683045.30000000272</v>
      </c>
      <c r="AG494" s="392"/>
      <c r="AH494" s="393" t="e">
        <f>AF494-Z494</f>
        <v>#REF!</v>
      </c>
      <c r="AI494" s="394" t="e">
        <f>AH494/Z494</f>
        <v>#REF!</v>
      </c>
      <c r="AJ494" s="754">
        <f>AL494/AL493</f>
        <v>2.619772847254739E-2</v>
      </c>
      <c r="AK494" s="393"/>
      <c r="AL494" s="391">
        <f>Q27+Q109+Q182+Q268+Q326+Q390+Q448</f>
        <v>796630.45999999414</v>
      </c>
      <c r="AM494" s="395"/>
      <c r="AN494" s="393">
        <f>AF494-AL494</f>
        <v>-113585.15999999142</v>
      </c>
      <c r="AO494" s="396">
        <f>IF(AL494=0,0,AN494/AL494)</f>
        <v>-0.14258199466788182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1158.7365454545454</v>
      </c>
      <c r="AF496" s="399">
        <f t="shared" ref="AF496:AF502" si="76">+SUMIF($C:$C,$V496,L:L)</f>
        <v>63730.509999999995</v>
      </c>
      <c r="AG496" s="400" t="e">
        <f t="shared" ref="AG496:AG505" si="77">AE496-Y496</f>
        <v>#DIV/0!</v>
      </c>
      <c r="AH496" s="401">
        <f t="shared" ref="AH496:AH505" si="78">AF496-Z496</f>
        <v>63730.509999999995</v>
      </c>
      <c r="AI496" s="402">
        <f t="shared" ref="AI496:AI505" si="79">IF(Z496=0,0,AH496/Z496)</f>
        <v>0</v>
      </c>
      <c r="AJ496" s="407"/>
      <c r="AK496" s="401">
        <f>IF(AL496=0,0,AL496/(O$13+O$97))</f>
        <v>914.8585365853661</v>
      </c>
      <c r="AL496" s="399">
        <f>SUMIFS(BV_Data_An_Prec!$AM:$AM,BV_Data_An_Prec!$AQ:$AQ,$V496)</f>
        <v>75018.400000000023</v>
      </c>
      <c r="AM496" s="403">
        <f>AE496-AK496</f>
        <v>243.87800886917933</v>
      </c>
      <c r="AN496" s="401">
        <f>AF496-AL496</f>
        <v>-11287.890000000029</v>
      </c>
      <c r="AO496" s="408">
        <f>IF(AL496=0,0,AN496/AL496)</f>
        <v>-0.15046828511405236</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366.84927272727271</v>
      </c>
      <c r="AF497" s="383">
        <f t="shared" si="76"/>
        <v>20176.71</v>
      </c>
      <c r="AG497" s="384" t="e">
        <f t="shared" si="77"/>
        <v>#DIV/0!</v>
      </c>
      <c r="AH497" s="385">
        <f t="shared" si="78"/>
        <v>20176.71</v>
      </c>
      <c r="AI497" s="412">
        <f t="shared" si="79"/>
        <v>0</v>
      </c>
      <c r="AJ497" s="411"/>
      <c r="AK497" s="385">
        <f t="shared" ref="AK497:AK504" si="81">IF(AL497=0,0,AL497/(O$13+O$97))</f>
        <v>190.73878048780477</v>
      </c>
      <c r="AL497" s="383">
        <f>SUMIFS(BV_Data_An_Prec!$AM:$AM,BV_Data_An_Prec!$AQ:$AQ,$V497)</f>
        <v>15640.579999999993</v>
      </c>
      <c r="AM497" s="991">
        <f t="shared" ref="AM497:AM504" si="82">AE497-AK497</f>
        <v>176.11049223946793</v>
      </c>
      <c r="AN497" s="385">
        <f t="shared" ref="AN497:AN504" si="83">AF497-AL497</f>
        <v>4536.1300000000065</v>
      </c>
      <c r="AO497" s="388">
        <f t="shared" ref="AO497:AO504" si="84">IF(AL497=0,0,AN497/AL497)</f>
        <v>0.29002313213448661</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571.35945454545458</v>
      </c>
      <c r="AF498" s="399">
        <f t="shared" si="76"/>
        <v>31424.77</v>
      </c>
      <c r="AG498" s="400" t="e">
        <f t="shared" si="77"/>
        <v>#DIV/0!</v>
      </c>
      <c r="AH498" s="401">
        <f t="shared" si="78"/>
        <v>31424.77</v>
      </c>
      <c r="AI498" s="402">
        <f t="shared" si="79"/>
        <v>0</v>
      </c>
      <c r="AJ498" s="407"/>
      <c r="AK498" s="401">
        <f t="shared" si="81"/>
        <v>-37.764634146341464</v>
      </c>
      <c r="AL498" s="399">
        <f>SUMIFS(BV_Data_An_Prec!$AM:$AM,BV_Data_An_Prec!$AQ:$AQ,$V498)</f>
        <v>-3096.7000000000003</v>
      </c>
      <c r="AM498" s="403">
        <f t="shared" si="82"/>
        <v>609.12408869179603</v>
      </c>
      <c r="AN498" s="401">
        <f t="shared" si="83"/>
        <v>34521.47</v>
      </c>
      <c r="AO498" s="408">
        <f t="shared" si="84"/>
        <v>-11.14782510414312</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206.50981818181819</v>
      </c>
      <c r="AF499" s="399">
        <f t="shared" si="76"/>
        <v>11358.04</v>
      </c>
      <c r="AG499" s="400" t="e">
        <f t="shared" si="77"/>
        <v>#DIV/0!</v>
      </c>
      <c r="AH499" s="401">
        <f t="shared" si="78"/>
        <v>11358.04</v>
      </c>
      <c r="AI499" s="402">
        <f t="shared" si="79"/>
        <v>0</v>
      </c>
      <c r="AJ499" s="407"/>
      <c r="AK499" s="401">
        <f t="shared" si="81"/>
        <v>1.0971951219512226</v>
      </c>
      <c r="AL499" s="399">
        <f>SUMIFS(BV_Data_An_Prec!$AM:$AM,BV_Data_An_Prec!$AQ:$AQ,$V499)</f>
        <v>89.970000000000255</v>
      </c>
      <c r="AM499" s="403">
        <f t="shared" si="82"/>
        <v>205.41262305986697</v>
      </c>
      <c r="AN499" s="401">
        <f t="shared" si="83"/>
        <v>11268.07</v>
      </c>
      <c r="AO499" s="408">
        <f t="shared" si="84"/>
        <v>125.24252528620616</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41.902181818181816</v>
      </c>
      <c r="AF500" s="383">
        <f t="shared" si="76"/>
        <v>2304.62</v>
      </c>
      <c r="AG500" s="384" t="e">
        <f t="shared" si="77"/>
        <v>#DIV/0!</v>
      </c>
      <c r="AH500" s="385">
        <f t="shared" si="78"/>
        <v>2304.62</v>
      </c>
      <c r="AI500" s="412">
        <f t="shared" si="79"/>
        <v>0</v>
      </c>
      <c r="AJ500" s="411"/>
      <c r="AK500" s="385">
        <f t="shared" si="81"/>
        <v>0</v>
      </c>
      <c r="AL500" s="383">
        <f>SUMIFS(BV_Data_An_Prec!$AM:$AM,BV_Data_An_Prec!$AQ:$AQ,$V500)</f>
        <v>0</v>
      </c>
      <c r="AM500" s="991">
        <f t="shared" si="82"/>
        <v>41.902181818181816</v>
      </c>
      <c r="AN500" s="385">
        <f t="shared" si="83"/>
        <v>2304.62</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-1523.0209090909091</v>
      </c>
      <c r="AF501" s="399">
        <f t="shared" si="76"/>
        <v>-83766.149999999994</v>
      </c>
      <c r="AG501" s="400" t="e">
        <f t="shared" si="77"/>
        <v>#DIV/0!</v>
      </c>
      <c r="AH501" s="401">
        <f t="shared" si="78"/>
        <v>-83766.149999999994</v>
      </c>
      <c r="AI501" s="402">
        <f t="shared" si="79"/>
        <v>0</v>
      </c>
      <c r="AJ501" s="407"/>
      <c r="AK501" s="401">
        <f t="shared" si="81"/>
        <v>-1408.8823170731707</v>
      </c>
      <c r="AL501" s="399">
        <f>SUMIFS(BV_Data_An_Prec!$AM:$AM,BV_Data_An_Prec!$AQ:$AQ,$V501)</f>
        <v>-115528.35</v>
      </c>
      <c r="AM501" s="403">
        <f t="shared" si="82"/>
        <v>-114.13859201773835</v>
      </c>
      <c r="AN501" s="401">
        <f t="shared" si="83"/>
        <v>31762.200000000012</v>
      </c>
      <c r="AO501" s="408">
        <f t="shared" si="84"/>
        <v>-0.27492991979890657</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1167.9776363636367</v>
      </c>
      <c r="AF502" s="399">
        <f t="shared" si="76"/>
        <v>64238.770000000019</v>
      </c>
      <c r="AG502" s="704" t="e">
        <f t="shared" si="77"/>
        <v>#DIV/0!</v>
      </c>
      <c r="AH502" s="659">
        <f t="shared" si="78"/>
        <v>64238.770000000019</v>
      </c>
      <c r="AI502" s="402">
        <f t="shared" si="79"/>
        <v>0</v>
      </c>
      <c r="AJ502" s="407"/>
      <c r="AK502" s="401">
        <f t="shared" si="81"/>
        <v>1908.2979268292686</v>
      </c>
      <c r="AL502" s="399">
        <f>SUMIFS(BV_Data_An_Prec!$AM:$AM,BV_Data_An_Prec!$AQ:$AQ,$V502)</f>
        <v>156480.43000000002</v>
      </c>
      <c r="AM502" s="403">
        <f t="shared" si="82"/>
        <v>-740.32029046563184</v>
      </c>
      <c r="AN502" s="401">
        <f t="shared" si="83"/>
        <v>-92241.66</v>
      </c>
      <c r="AO502" s="408">
        <f t="shared" si="84"/>
        <v>-0.589477291185869</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3134</v>
      </c>
      <c r="W503" s="405"/>
      <c r="X503" s="402"/>
      <c r="Y503" s="406" t="e">
        <f t="shared" si="74"/>
        <v>#DIV/0!</v>
      </c>
      <c r="Z503" s="399">
        <f>IFERROR(SUMIF($C:$C,$V503,F:F),0)</f>
        <v>0</v>
      </c>
      <c r="AA503" s="398"/>
      <c r="AB503" s="406"/>
      <c r="AC503" s="399"/>
      <c r="AD503" s="407"/>
      <c r="AE503" s="401">
        <f>IF(AF503=0,0,AF503/(J$13+J$97))</f>
        <v>-2186.7694545454556</v>
      </c>
      <c r="AF503" s="399">
        <f>IFERROR(SUMIF($C:$C,$V503,L:L),0)</f>
        <v>-120272.32000000007</v>
      </c>
      <c r="AG503" s="400" t="e">
        <f t="shared" si="77"/>
        <v>#DIV/0!</v>
      </c>
      <c r="AH503" s="401">
        <f t="shared" si="78"/>
        <v>-120272.32000000007</v>
      </c>
      <c r="AI503" s="402">
        <f t="shared" si="79"/>
        <v>0</v>
      </c>
      <c r="AJ503" s="407"/>
      <c r="AK503" s="401">
        <f t="shared" si="81"/>
        <v>-2532.5174390243897</v>
      </c>
      <c r="AL503" s="399">
        <f>SUMIFS(BV_Data_An_Prec!$AM:$AM,BV_Data_An_Prec!$AQ:$AQ,$V503)</f>
        <v>-207666.42999999993</v>
      </c>
      <c r="AM503" s="403">
        <f>AE503-AK503</f>
        <v>345.74798447893409</v>
      </c>
      <c r="AN503" s="401">
        <f t="shared" si="83"/>
        <v>87394.10999999987</v>
      </c>
      <c r="AO503" s="408">
        <f t="shared" si="84"/>
        <v>-0.42083889052265161</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3135</v>
      </c>
      <c r="W504" s="405"/>
      <c r="X504" s="402"/>
      <c r="Y504" s="406" t="e">
        <f t="shared" si="74"/>
        <v>#DIV/0!</v>
      </c>
      <c r="Z504" s="399">
        <f>IFERROR(SUMIF($C:$C,$V504,F:F),0)</f>
        <v>0</v>
      </c>
      <c r="AA504" s="398"/>
      <c r="AB504" s="406"/>
      <c r="AC504" s="399"/>
      <c r="AD504" s="407"/>
      <c r="AE504" s="401">
        <f t="shared" si="80"/>
        <v>-378.40090909090901</v>
      </c>
      <c r="AF504" s="399">
        <f>IFERROR(SUMIF($C:$C,$V504,L:L),0)</f>
        <v>-20812.049999999996</v>
      </c>
      <c r="AG504" s="400" t="e">
        <f t="shared" si="77"/>
        <v>#DIV/0!</v>
      </c>
      <c r="AH504" s="401">
        <f t="shared" si="78"/>
        <v>-20812.049999999996</v>
      </c>
      <c r="AI504" s="402">
        <f t="shared" si="79"/>
        <v>0</v>
      </c>
      <c r="AJ504" s="407"/>
      <c r="AK504" s="401">
        <f t="shared" si="81"/>
        <v>0</v>
      </c>
      <c r="AL504" s="399">
        <f>SUMIFS(BV_Data_An_Prec!$AM:$AM,BV_Data_An_Prec!$AQ:$AQ,$V504)</f>
        <v>0</v>
      </c>
      <c r="AM504" s="403">
        <f t="shared" si="82"/>
        <v>-378.40090909090901</v>
      </c>
      <c r="AN504" s="401">
        <f t="shared" si="83"/>
        <v>-20812.049999999996</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-4.6288437970365824E-2</v>
      </c>
      <c r="AE506" s="419"/>
      <c r="AF506" s="416">
        <f>SUM(AF496:AF505)</f>
        <v>-31617.100000000042</v>
      </c>
      <c r="AG506" s="418"/>
      <c r="AH506" s="419">
        <f t="shared" ref="AH506:AH538" si="88">AF506-Z506</f>
        <v>-31617.100000000042</v>
      </c>
      <c r="AI506" s="415" t="e">
        <f>AH506/Z506</f>
        <v>#DIV/0!</v>
      </c>
      <c r="AJ506" s="417">
        <f>AL506/AL494</f>
        <v>-9.9245640193070805E-2</v>
      </c>
      <c r="AK506" s="419"/>
      <c r="AL506" s="416">
        <f>SUM(AL496:AL505)</f>
        <v>-79062.099999999904</v>
      </c>
      <c r="AM506" s="423"/>
      <c r="AN506" s="419">
        <f t="shared" si="86"/>
        <v>47444.999999999862</v>
      </c>
      <c r="AO506" s="396">
        <f t="shared" si="87"/>
        <v>-0.60009789772849342</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12000.009999999998</v>
      </c>
      <c r="AG507" s="400"/>
      <c r="AH507" s="401">
        <f t="shared" si="88"/>
        <v>12000.009999999998</v>
      </c>
      <c r="AI507" s="402">
        <f t="shared" ref="AI507:AI519" si="89">IF(Z507=0,0,AH507/Z507)</f>
        <v>0</v>
      </c>
      <c r="AJ507" s="407"/>
      <c r="AK507" s="406"/>
      <c r="AL507" s="399">
        <f>SUMIFS(BV_Data_An_Prec!$AM:$AM,BV_Data_An_Prec!$AQ:$AQ,$V507)</f>
        <v>208477.35</v>
      </c>
      <c r="AM507" s="403"/>
      <c r="AN507" s="401">
        <f t="shared" si="86"/>
        <v>-196477.34</v>
      </c>
      <c r="AO507" s="408">
        <f t="shared" si="87"/>
        <v>-0.94243974225497396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60032.63</v>
      </c>
      <c r="AG508" s="400"/>
      <c r="AH508" s="401">
        <f t="shared" si="88"/>
        <v>60032.63</v>
      </c>
      <c r="AI508" s="402">
        <f t="shared" si="89"/>
        <v>0</v>
      </c>
      <c r="AJ508" s="407"/>
      <c r="AK508" s="406"/>
      <c r="AL508" s="399">
        <f>SUMIFS(BV_Data_An_Prec!$AM:$AM,BV_Data_An_Prec!$AQ:$AQ,$V508)</f>
        <v>-15054.879999999994</v>
      </c>
      <c r="AM508" s="403"/>
      <c r="AN508" s="401">
        <f t="shared" si="86"/>
        <v>75087.509999999995</v>
      </c>
      <c r="AO508" s="408">
        <f t="shared" si="87"/>
        <v>-4.9875860850435227</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31004.94999999999</v>
      </c>
      <c r="AG509" s="384"/>
      <c r="AH509" s="385">
        <f t="shared" si="88"/>
        <v>31004.94999999999</v>
      </c>
      <c r="AI509" s="412">
        <f t="shared" si="89"/>
        <v>0</v>
      </c>
      <c r="AJ509" s="411"/>
      <c r="AK509" s="410"/>
      <c r="AL509" s="383">
        <f>SUMIFS(BV_Data_An_Prec!$AM:$AM,BV_Data_An_Prec!$AQ:$AQ,$V509)</f>
        <v>80200.86</v>
      </c>
      <c r="AM509" s="387"/>
      <c r="AN509" s="385">
        <f t="shared" si="86"/>
        <v>-49195.910000000011</v>
      </c>
      <c r="AO509" s="388">
        <f t="shared" si="87"/>
        <v>-0.61340875895844527</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32585.52</v>
      </c>
      <c r="AG510" s="400"/>
      <c r="AH510" s="401">
        <f t="shared" si="88"/>
        <v>32585.52</v>
      </c>
      <c r="AI510" s="402">
        <f t="shared" si="89"/>
        <v>0</v>
      </c>
      <c r="AJ510" s="407"/>
      <c r="AK510" s="406"/>
      <c r="AL510" s="399">
        <f>SUMIFS(BV_Data_An_Prec!$AM:$AM,BV_Data_An_Prec!$AQ:$AQ,$V510)</f>
        <v>87496.33</v>
      </c>
      <c r="AM510" s="403"/>
      <c r="AN510" s="401">
        <f t="shared" si="86"/>
        <v>-54910.81</v>
      </c>
      <c r="AO510" s="408">
        <f t="shared" si="87"/>
        <v>-0.6275784367184315</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15838.4</v>
      </c>
      <c r="AG511" s="400"/>
      <c r="AH511" s="401">
        <f t="shared" si="88"/>
        <v>15838.4</v>
      </c>
      <c r="AI511" s="402">
        <f t="shared" si="89"/>
        <v>0</v>
      </c>
      <c r="AJ511" s="407"/>
      <c r="AK511" s="406"/>
      <c r="AL511" s="399">
        <f>SUMIFS(BV_Data_An_Prec!$AM:$AM,BV_Data_An_Prec!$AQ:$AQ,$V511)</f>
        <v>0</v>
      </c>
      <c r="AM511" s="403"/>
      <c r="AN511" s="401">
        <f t="shared" si="86"/>
        <v>15838.4</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39858.820000000007</v>
      </c>
      <c r="AG515" s="384"/>
      <c r="AH515" s="385">
        <f t="shared" si="88"/>
        <v>39858.820000000007</v>
      </c>
      <c r="AI515" s="412">
        <f t="shared" si="89"/>
        <v>0</v>
      </c>
      <c r="AJ515" s="411"/>
      <c r="AK515" s="410"/>
      <c r="AL515" s="383">
        <f>SUMIFS(BV_Data_An_Prec!$AM:$AM,BV_Data_An_Prec!$AQ:$AQ,$V515)</f>
        <v>42112.86</v>
      </c>
      <c r="AM515" s="387"/>
      <c r="AN515" s="385">
        <f t="shared" si="86"/>
        <v>-2254.0399999999936</v>
      </c>
      <c r="AO515" s="388">
        <f t="shared" si="87"/>
        <v>-5.3523792969653296E-2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50033.9</v>
      </c>
      <c r="AG516" s="400"/>
      <c r="AH516" s="401">
        <f t="shared" si="88"/>
        <v>50033.9</v>
      </c>
      <c r="AI516" s="402">
        <f t="shared" si="89"/>
        <v>0</v>
      </c>
      <c r="AJ516" s="407"/>
      <c r="AK516" s="406"/>
      <c r="AL516" s="399">
        <f>SUMIFS(BV_Data_An_Prec!$AM:$AM,BV_Data_An_Prec!$AQ:$AQ,$V516)</f>
        <v>50892.539999999994</v>
      </c>
      <c r="AM516" s="403"/>
      <c r="AN516" s="401">
        <f t="shared" si="86"/>
        <v>-858.63999999999214</v>
      </c>
      <c r="AO516" s="408">
        <f t="shared" si="87"/>
        <v>-1.6871627943898893E-2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9835.4499999999989</v>
      </c>
      <c r="AG517" s="400"/>
      <c r="AH517" s="401">
        <f t="shared" si="88"/>
        <v>9835.4499999999989</v>
      </c>
      <c r="AI517" s="402">
        <f t="shared" si="89"/>
        <v>0</v>
      </c>
      <c r="AJ517" s="407"/>
      <c r="AK517" s="406"/>
      <c r="AL517" s="399">
        <f>SUMIFS(BV_Data_An_Prec!$AM:$AM,BV_Data_An_Prec!$AQ:$AQ,$V517)</f>
        <v>28531.739999999994</v>
      </c>
      <c r="AM517" s="403"/>
      <c r="AN517" s="401">
        <f t="shared" si="86"/>
        <v>-18696.289999999994</v>
      </c>
      <c r="AO517" s="408">
        <f t="shared" si="87"/>
        <v>-0.65528040000364496</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15074.720000000001</v>
      </c>
      <c r="AG518" s="400"/>
      <c r="AH518" s="401">
        <f t="shared" si="88"/>
        <v>15074.720000000001</v>
      </c>
      <c r="AI518" s="420">
        <f t="shared" si="89"/>
        <v>0</v>
      </c>
      <c r="AJ518" s="407"/>
      <c r="AK518" s="406"/>
      <c r="AL518" s="399">
        <f>SUMIFS(BV_Data_An_Prec!$AM:$AM,BV_Data_An_Prec!$AQ:$AQ,$V518)</f>
        <v>1208.7599999999993</v>
      </c>
      <c r="AM518" s="403"/>
      <c r="AN518" s="401">
        <f t="shared" si="86"/>
        <v>13865.960000000003</v>
      </c>
      <c r="AO518" s="408">
        <f t="shared" si="87"/>
        <v>11.471226711671473</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0.38981953319933388</v>
      </c>
      <c r="AE520" s="421"/>
      <c r="AF520" s="416">
        <f>SUM(AF507:AF519)</f>
        <v>266264.40000000002</v>
      </c>
      <c r="AG520" s="418"/>
      <c r="AH520" s="419">
        <f t="shared" si="88"/>
        <v>266264.40000000002</v>
      </c>
      <c r="AI520" s="415" t="e">
        <f>AH520/Z520</f>
        <v>#DIV/0!</v>
      </c>
      <c r="AJ520" s="417">
        <f>AL520/AL494</f>
        <v>0.60739023210335641</v>
      </c>
      <c r="AK520" s="421"/>
      <c r="AL520" s="416">
        <f>SUM(AL507:AL519)</f>
        <v>483865.56</v>
      </c>
      <c r="AM520" s="423"/>
      <c r="AN520" s="419">
        <f t="shared" si="86"/>
        <v>-217601.15999999997</v>
      </c>
      <c r="AO520" s="396">
        <f t="shared" si="87"/>
        <v>-0.44971409000466983</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6271.84</v>
      </c>
      <c r="AG521" s="427"/>
      <c r="AH521" s="429">
        <f t="shared" si="88"/>
        <v>6271.84</v>
      </c>
      <c r="AI521" s="430">
        <f t="shared" ref="AI521:AI538" si="92">IF(Z521=0,0,AH521/Z521)</f>
        <v>0</v>
      </c>
      <c r="AJ521" s="427"/>
      <c r="AK521" s="428"/>
      <c r="AL521" s="426">
        <f>SUMIFS(BV_Data_An_Prec!$AM:$AM,BV_Data_An_Prec!$AQ:$AQ,$V521)</f>
        <v>1287.2700000000007</v>
      </c>
      <c r="AM521" s="431"/>
      <c r="AN521" s="429">
        <f t="shared" si="86"/>
        <v>4984.57</v>
      </c>
      <c r="AO521" s="404">
        <f t="shared" si="87"/>
        <v>3.8722024128582171</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10852.849999999999</v>
      </c>
      <c r="AG522" s="400"/>
      <c r="AH522" s="401">
        <f t="shared" si="88"/>
        <v>10852.849999999999</v>
      </c>
      <c r="AI522" s="402">
        <f t="shared" si="92"/>
        <v>0</v>
      </c>
      <c r="AJ522" s="407"/>
      <c r="AK522" s="406"/>
      <c r="AL522" s="399">
        <f>SUMIFS(BV_Data_An_Prec!$AM:$AM,BV_Data_An_Prec!$AQ:$AQ,$V522)</f>
        <v>1525.3700000000001</v>
      </c>
      <c r="AM522" s="403"/>
      <c r="AN522" s="401">
        <f t="shared" si="86"/>
        <v>9327.4799999999977</v>
      </c>
      <c r="AO522" s="408">
        <f t="shared" si="87"/>
        <v>6.1148967135842431</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1054"/>
      <c r="V523" s="299" t="s">
        <v>127</v>
      </c>
      <c r="W523" s="409" t="s">
        <v>614</v>
      </c>
      <c r="X523" s="382"/>
      <c r="Y523" s="382"/>
      <c r="Z523" s="383">
        <f t="shared" si="91"/>
        <v>0</v>
      </c>
      <c r="AA523" s="382"/>
      <c r="AB523" s="382"/>
      <c r="AC523" s="383"/>
      <c r="AD523" s="411"/>
      <c r="AE523" s="410"/>
      <c r="AF523" s="383">
        <f>+SUMIF($C:$C,$V523,L:L)</f>
        <v>28002.070000000007</v>
      </c>
      <c r="AG523" s="384"/>
      <c r="AH523" s="385">
        <f t="shared" si="88"/>
        <v>28002.070000000007</v>
      </c>
      <c r="AI523" s="412">
        <f t="shared" si="92"/>
        <v>0</v>
      </c>
      <c r="AJ523" s="411"/>
      <c r="AK523" s="410"/>
      <c r="AL523" s="383">
        <f>SUMIFS(BV_Data_An_Prec!$AM:$AM,BV_Data_An_Prec!$AQ:$AQ,$V523)</f>
        <v>-3272.1299999999928</v>
      </c>
      <c r="AM523" s="387"/>
      <c r="AN523" s="385">
        <f t="shared" si="86"/>
        <v>31274.2</v>
      </c>
      <c r="AO523" s="388">
        <f t="shared" si="87"/>
        <v>-9.557749844902272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1054"/>
      <c r="V524" s="298" t="s">
        <v>128</v>
      </c>
      <c r="W524" s="405" t="s">
        <v>615</v>
      </c>
      <c r="X524" s="398"/>
      <c r="Y524" s="398"/>
      <c r="Z524" s="399">
        <f t="shared" si="91"/>
        <v>0</v>
      </c>
      <c r="AA524" s="398"/>
      <c r="AB524" s="398"/>
      <c r="AC524" s="399"/>
      <c r="AD524" s="407"/>
      <c r="AE524" s="406"/>
      <c r="AF524" s="399">
        <f>+SUMIF($C:$C,$V524,L:L)</f>
        <v>11490.779999999997</v>
      </c>
      <c r="AG524" s="400"/>
      <c r="AH524" s="401">
        <f t="shared" si="88"/>
        <v>11490.779999999997</v>
      </c>
      <c r="AI524" s="402">
        <f t="shared" si="92"/>
        <v>0</v>
      </c>
      <c r="AJ524" s="407"/>
      <c r="AK524" s="406"/>
      <c r="AL524" s="399">
        <f>SUMIFS(BV_Data_An_Prec!$AM:$AM,BV_Data_An_Prec!$AQ:$AQ,$V524)</f>
        <v>12884.160000000002</v>
      </c>
      <c r="AM524" s="403"/>
      <c r="AN524" s="401">
        <f t="shared" si="86"/>
        <v>-1393.3800000000047</v>
      </c>
      <c r="AO524" s="408">
        <f t="shared" si="87"/>
        <v>-0.10814674763430479</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1054"/>
      <c r="V525" s="298" t="s">
        <v>129</v>
      </c>
      <c r="W525" s="405" t="s">
        <v>616</v>
      </c>
      <c r="X525" s="398"/>
      <c r="Y525" s="398"/>
      <c r="Z525" s="399">
        <f t="shared" si="91"/>
        <v>0</v>
      </c>
      <c r="AA525" s="398"/>
      <c r="AB525" s="398"/>
      <c r="AC525" s="399"/>
      <c r="AD525" s="407"/>
      <c r="AE525" s="406"/>
      <c r="AF525" s="399">
        <f>+SUMIF($C:$C,$V525,L:L)</f>
        <v>2032.8400000000006</v>
      </c>
      <c r="AG525" s="400"/>
      <c r="AH525" s="401">
        <f t="shared" si="88"/>
        <v>2032.8400000000006</v>
      </c>
      <c r="AI525" s="402">
        <f t="shared" si="92"/>
        <v>0</v>
      </c>
      <c r="AJ525" s="407"/>
      <c r="AK525" s="406"/>
      <c r="AL525" s="399">
        <f>SUMIFS(BV_Data_An_Prec!$AM:$AM,BV_Data_An_Prec!$AQ:$AQ,$V525)</f>
        <v>2414.3200000000002</v>
      </c>
      <c r="AM525" s="403"/>
      <c r="AN525" s="401">
        <f t="shared" si="86"/>
        <v>-381.47999999999956</v>
      </c>
      <c r="AO525" s="408">
        <f t="shared" si="87"/>
        <v>-0.15800722356605568</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32596.999999999989</v>
      </c>
      <c r="AG526" s="400"/>
      <c r="AH526" s="401">
        <f t="shared" si="88"/>
        <v>32596.999999999989</v>
      </c>
      <c r="AI526" s="402">
        <f t="shared" si="92"/>
        <v>0</v>
      </c>
      <c r="AJ526" s="407"/>
      <c r="AK526" s="406"/>
      <c r="AL526" s="399">
        <f>SUMIFS(BV_Data_An_Prec!$AM:$AM,BV_Data_An_Prec!$AQ:$AQ,$V526)</f>
        <v>34144.749999999985</v>
      </c>
      <c r="AM526" s="403"/>
      <c r="AN526" s="401">
        <f t="shared" si="86"/>
        <v>-1547.7499999999964</v>
      </c>
      <c r="AO526" s="408">
        <f t="shared" si="87"/>
        <v>-4.5329076944478935E-2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22507.360000000001</v>
      </c>
      <c r="AG528" s="400"/>
      <c r="AH528" s="401">
        <f t="shared" si="88"/>
        <v>22507.360000000001</v>
      </c>
      <c r="AI528" s="402">
        <f t="shared" si="92"/>
        <v>0</v>
      </c>
      <c r="AJ528" s="407"/>
      <c r="AK528" s="406"/>
      <c r="AL528" s="399">
        <f>SUMIFS(BV_Data_An_Prec!$AM:$AM,BV_Data_An_Prec!$AQ:$AQ,$V528)</f>
        <v>7982.0999999999985</v>
      </c>
      <c r="AM528" s="403"/>
      <c r="AN528" s="401">
        <f t="shared" si="86"/>
        <v>14525.260000000002</v>
      </c>
      <c r="AO528" s="408">
        <f t="shared" si="87"/>
        <v>1.8197291439596102</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4714.5300000000016</v>
      </c>
      <c r="AG530" s="400"/>
      <c r="AH530" s="401">
        <f t="shared" si="88"/>
        <v>4714.5300000000016</v>
      </c>
      <c r="AI530" s="402">
        <f t="shared" si="92"/>
        <v>0</v>
      </c>
      <c r="AJ530" s="407"/>
      <c r="AK530" s="406"/>
      <c r="AL530" s="399">
        <f>SUMIFS(BV_Data_An_Prec!$AM:$AM,BV_Data_An_Prec!$AQ:$AQ,$V530)</f>
        <v>6508.1100000000006</v>
      </c>
      <c r="AM530" s="403"/>
      <c r="AN530" s="401">
        <f t="shared" si="86"/>
        <v>-1793.579999999999</v>
      </c>
      <c r="AO530" s="408">
        <f t="shared" si="87"/>
        <v>-0.27559153118186369</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1747.7600000000002</v>
      </c>
      <c r="AG531" s="400"/>
      <c r="AH531" s="401">
        <f t="shared" si="88"/>
        <v>1747.7600000000002</v>
      </c>
      <c r="AI531" s="420">
        <f t="shared" si="92"/>
        <v>0</v>
      </c>
      <c r="AJ531" s="407"/>
      <c r="AK531" s="406"/>
      <c r="AL531" s="399">
        <f>SUMIFS(BV_Data_An_Prec!$AM:$AM,BV_Data_An_Prec!$AQ:$AQ,$V531)</f>
        <v>3883.4999999999991</v>
      </c>
      <c r="AM531" s="403"/>
      <c r="AN531" s="401">
        <f t="shared" si="86"/>
        <v>-2135.7399999999989</v>
      </c>
      <c r="AO531" s="408">
        <f t="shared" si="87"/>
        <v>-0.5499523625595466</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6433.4199999999992</v>
      </c>
      <c r="AG532" s="400"/>
      <c r="AH532" s="401">
        <f t="shared" si="88"/>
        <v>6433.4199999999992</v>
      </c>
      <c r="AI532" s="402">
        <f t="shared" si="92"/>
        <v>0</v>
      </c>
      <c r="AJ532" s="407"/>
      <c r="AK532" s="406"/>
      <c r="AL532" s="399">
        <f>SUMIFS(BV_Data_An_Prec!$AM:$AM,BV_Data_An_Prec!$AQ:$AQ,$V532)</f>
        <v>3834.0100000000007</v>
      </c>
      <c r="AM532" s="403"/>
      <c r="AN532" s="401">
        <f t="shared" si="86"/>
        <v>2599.4099999999985</v>
      </c>
      <c r="AO532" s="408">
        <f t="shared" si="87"/>
        <v>0.67798727702848927</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9558.7600000000057</v>
      </c>
      <c r="AG533" s="400"/>
      <c r="AH533" s="401">
        <f t="shared" si="88"/>
        <v>9558.7600000000057</v>
      </c>
      <c r="AI533" s="420">
        <f t="shared" si="92"/>
        <v>0</v>
      </c>
      <c r="AJ533" s="407"/>
      <c r="AK533" s="406"/>
      <c r="AL533" s="399">
        <f>SUMIFS(BV_Data_An_Prec!$AM:$AM,BV_Data_An_Prec!$AQ:$AQ,$V533)</f>
        <v>36787.699999999997</v>
      </c>
      <c r="AM533" s="403"/>
      <c r="AN533" s="401">
        <f t="shared" si="86"/>
        <v>-27228.939999999991</v>
      </c>
      <c r="AO533" s="408">
        <f t="shared" si="87"/>
        <v>-0.74016423967793565</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1447.5299999999988</v>
      </c>
      <c r="AG534" s="400"/>
      <c r="AH534" s="401">
        <f t="shared" si="88"/>
        <v>1447.5299999999988</v>
      </c>
      <c r="AI534" s="402">
        <f t="shared" si="92"/>
        <v>0</v>
      </c>
      <c r="AJ534" s="407"/>
      <c r="AK534" s="406"/>
      <c r="AL534" s="399">
        <f>SUMIFS(BV_Data_An_Prec!$AM:$AM,BV_Data_An_Prec!$AQ:$AQ,$V534)</f>
        <v>5142.829999999999</v>
      </c>
      <c r="AM534" s="403"/>
      <c r="AN534" s="401">
        <f t="shared" si="86"/>
        <v>-3695.3</v>
      </c>
      <c r="AO534" s="408">
        <f t="shared" si="87"/>
        <v>-0.71853434782016923</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5378.2200000000012</v>
      </c>
      <c r="AG535" s="400"/>
      <c r="AH535" s="659">
        <f t="shared" si="88"/>
        <v>5378.2200000000012</v>
      </c>
      <c r="AI535" s="402">
        <f t="shared" si="92"/>
        <v>0</v>
      </c>
      <c r="AJ535" s="407"/>
      <c r="AK535" s="406"/>
      <c r="AL535" s="399">
        <f>SUMIFS(BV_Data_An_Prec!$AM:$AM,BV_Data_An_Prec!$AQ:$AQ,$V535)</f>
        <v>950.72000000000025</v>
      </c>
      <c r="AM535" s="403"/>
      <c r="AN535" s="401">
        <f t="shared" si="86"/>
        <v>4427.5000000000009</v>
      </c>
      <c r="AO535" s="408">
        <f t="shared" si="87"/>
        <v>4.6569968024234258</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3190</v>
      </c>
      <c r="W536" s="405"/>
      <c r="X536" s="398"/>
      <c r="Y536" s="406"/>
      <c r="Z536" s="399">
        <f>IFERROR(SUMIF($C:$C,$V536,F:F),0)</f>
        <v>0</v>
      </c>
      <c r="AA536" s="398"/>
      <c r="AB536" s="398"/>
      <c r="AC536" s="399"/>
      <c r="AD536" s="407"/>
      <c r="AE536" s="406"/>
      <c r="AF536" s="399">
        <f>IFERROR(SUMIF($C:$C,$V536,L:L),0)</f>
        <v>3923.52</v>
      </c>
      <c r="AG536" s="400"/>
      <c r="AH536" s="401">
        <f t="shared" si="88"/>
        <v>3923.52</v>
      </c>
      <c r="AI536" s="402">
        <f t="shared" si="92"/>
        <v>0</v>
      </c>
      <c r="AJ536" s="407"/>
      <c r="AK536" s="406"/>
      <c r="AL536" s="399">
        <f>IFERROR(SUMIF($C:$C,$V536,R:R),0)</f>
        <v>0</v>
      </c>
      <c r="AM536" s="403"/>
      <c r="AN536" s="401">
        <f t="shared" si="86"/>
        <v>3923.52</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0.21515187938486569</v>
      </c>
      <c r="AE539" s="414"/>
      <c r="AF539" s="416">
        <f>+SUM(AF521:AF538)</f>
        <v>146958.47999999998</v>
      </c>
      <c r="AG539" s="422"/>
      <c r="AH539" s="435">
        <f>+SUM(AH521:AH538)</f>
        <v>146958.47999999998</v>
      </c>
      <c r="AI539" s="415" t="e">
        <f>AH539/Z539</f>
        <v>#DIV/0!</v>
      </c>
      <c r="AJ539" s="417">
        <f>AL539/AL494</f>
        <v>0.14319400993027659</v>
      </c>
      <c r="AK539" s="414"/>
      <c r="AL539" s="416">
        <f>+SUM(AL521:AL538)</f>
        <v>114072.70999999998</v>
      </c>
      <c r="AM539" s="423"/>
      <c r="AN539" s="419">
        <f t="shared" si="86"/>
        <v>32885.770000000004</v>
      </c>
      <c r="AO539" s="436">
        <f t="shared" si="87"/>
        <v>0.28828779468814242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70848</v>
      </c>
      <c r="AG540" s="400"/>
      <c r="AH540" s="401">
        <f t="shared" ref="AH540:AH548" si="94">AF540-Z540</f>
        <v>70848</v>
      </c>
      <c r="AI540" s="402">
        <f t="shared" ref="AI540:AI548" si="95">IF(Z540=0,0,AH540/Z540)</f>
        <v>0</v>
      </c>
      <c r="AJ540" s="407"/>
      <c r="AK540" s="406"/>
      <c r="AL540" s="399">
        <f>SUMIFS(BV_Data_An_Prec!$AM:$AM,BV_Data_An_Prec!$AQ:$AQ,$V540)</f>
        <v>110200</v>
      </c>
      <c r="AM540" s="403"/>
      <c r="AN540" s="401">
        <f t="shared" si="86"/>
        <v>-39352</v>
      </c>
      <c r="AO540" s="408">
        <f t="shared" si="87"/>
        <v>-0.35709618874773141</v>
      </c>
      <c r="AP540" s="35"/>
      <c r="AQ540" s="1104">
        <v>70848</v>
      </c>
      <c r="AR540" s="35" t="s">
        <v>3363</v>
      </c>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7350</v>
      </c>
      <c r="AG541" s="400"/>
      <c r="AH541" s="401">
        <f t="shared" si="94"/>
        <v>7350</v>
      </c>
      <c r="AI541" s="402">
        <f t="shared" si="95"/>
        <v>0</v>
      </c>
      <c r="AJ541" s="407"/>
      <c r="AK541" s="406"/>
      <c r="AL541" s="399">
        <f>SUMIFS(BV_Data_An_Prec!$AM:$AM,BV_Data_An_Prec!$AQ:$AQ,$V541)</f>
        <v>4558</v>
      </c>
      <c r="AM541" s="403"/>
      <c r="AN541" s="401">
        <f t="shared" si="86"/>
        <v>2792</v>
      </c>
      <c r="AO541" s="408">
        <f t="shared" si="87"/>
        <v>0.6125493637560333</v>
      </c>
      <c r="AP541" s="35"/>
      <c r="AQ541" s="1104">
        <v>7350</v>
      </c>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14727.609999999997</v>
      </c>
      <c r="AG542" s="384"/>
      <c r="AH542" s="385">
        <f t="shared" si="94"/>
        <v>14727.609999999997</v>
      </c>
      <c r="AI542" s="412">
        <f t="shared" si="95"/>
        <v>0</v>
      </c>
      <c r="AJ542" s="411"/>
      <c r="AK542" s="410"/>
      <c r="AL542" s="383">
        <f>SUMIFS(BV_Data_An_Prec!$AM:$AM,BV_Data_An_Prec!$AQ:$AQ,$V542)</f>
        <v>10000</v>
      </c>
      <c r="AM542" s="387"/>
      <c r="AN542" s="385">
        <f t="shared" si="86"/>
        <v>4727.6099999999969</v>
      </c>
      <c r="AO542" s="388">
        <f t="shared" si="87"/>
        <v>0.47276099999999971</v>
      </c>
      <c r="AP542" s="35"/>
      <c r="AQ542" s="1104">
        <v>14728</v>
      </c>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1104"/>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6721.12</v>
      </c>
      <c r="AG544" s="384"/>
      <c r="AH544" s="385">
        <f t="shared" si="94"/>
        <v>6721.12</v>
      </c>
      <c r="AI544" s="412">
        <f t="shared" si="95"/>
        <v>0</v>
      </c>
      <c r="AJ544" s="411"/>
      <c r="AK544" s="410"/>
      <c r="AL544" s="383">
        <f>SUMIFS(BV_Data_An_Prec!$AM:$AM,BV_Data_An_Prec!$AQ:$AQ,$V544)</f>
        <v>13073.609999999993</v>
      </c>
      <c r="AM544" s="387"/>
      <c r="AN544" s="385">
        <f t="shared" si="86"/>
        <v>-6352.4899999999934</v>
      </c>
      <c r="AO544" s="388">
        <f t="shared" si="87"/>
        <v>-0.48590175169673844</v>
      </c>
      <c r="AP544" s="35"/>
      <c r="AQ544" s="1104">
        <v>6721</v>
      </c>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9304.0700000000033</v>
      </c>
      <c r="AM545" s="403"/>
      <c r="AN545" s="401">
        <f t="shared" si="86"/>
        <v>1795.9299999999967</v>
      </c>
      <c r="AO545" s="408">
        <f t="shared" si="87"/>
        <v>0.19302627774726502</v>
      </c>
      <c r="AP545" s="35"/>
      <c r="AQ545" s="1104">
        <v>11100</v>
      </c>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3530</v>
      </c>
      <c r="AG546" s="400"/>
      <c r="AH546" s="401">
        <f t="shared" si="94"/>
        <v>3530</v>
      </c>
      <c r="AI546" s="402">
        <f t="shared" si="95"/>
        <v>0</v>
      </c>
      <c r="AJ546" s="407"/>
      <c r="AK546" s="406"/>
      <c r="AL546" s="399">
        <f>SUMIFS(BV_Data_An_Prec!$AM:$AM,BV_Data_An_Prec!$AQ:$AQ,$V546)</f>
        <v>1599</v>
      </c>
      <c r="AM546" s="403"/>
      <c r="AN546" s="401">
        <f t="shared" si="86"/>
        <v>1931</v>
      </c>
      <c r="AO546" s="408">
        <f t="shared" si="87"/>
        <v>1.2076297686053783</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1797</v>
      </c>
      <c r="AG547" s="384"/>
      <c r="AH547" s="385">
        <f t="shared" si="94"/>
        <v>1797</v>
      </c>
      <c r="AI547" s="412">
        <f t="shared" si="95"/>
        <v>0</v>
      </c>
      <c r="AJ547" s="411"/>
      <c r="AK547" s="410"/>
      <c r="AL547" s="383">
        <f>SUMIFS(BV_Data_An_Prec!$AM:$AM,BV_Data_An_Prec!$AQ:$AQ,$V547)</f>
        <v>7701.4900000000016</v>
      </c>
      <c r="AM547" s="387"/>
      <c r="AN547" s="385">
        <f t="shared" si="86"/>
        <v>-5904.4900000000016</v>
      </c>
      <c r="AO547" s="388">
        <f t="shared" si="87"/>
        <v>-0.76666852777839101</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1048"/>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389.14999999999981</v>
      </c>
      <c r="AG548" s="400"/>
      <c r="AH548" s="401">
        <f t="shared" si="94"/>
        <v>389.14999999999981</v>
      </c>
      <c r="AI548" s="439">
        <f t="shared" si="95"/>
        <v>0</v>
      </c>
      <c r="AJ548" s="407"/>
      <c r="AK548" s="406"/>
      <c r="AL548" s="399">
        <f>SUMIFS(BV_Data_An_Prec!$AM:$AM,BV_Data_An_Prec!$AQ:$AQ,$V548)</f>
        <v>665.62000000000012</v>
      </c>
      <c r="AM548" s="403"/>
      <c r="AN548" s="401">
        <f t="shared" si="86"/>
        <v>-276.47000000000031</v>
      </c>
      <c r="AO548" s="408">
        <f t="shared" si="87"/>
        <v>-0.41535711066374248</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1048"/>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1048"/>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1048"/>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0.1705053530124569</v>
      </c>
      <c r="AE553" s="414"/>
      <c r="AF553" s="416">
        <f>SUM(AF540:AF552)</f>
        <v>116462.87999999999</v>
      </c>
      <c r="AG553" s="422"/>
      <c r="AH553" s="435">
        <f>SUM(AH540:AH552)</f>
        <v>116462.87999999999</v>
      </c>
      <c r="AI553" s="415">
        <f>IF(Z553=0,0,AH553/Z553)</f>
        <v>0</v>
      </c>
      <c r="AJ553" s="417">
        <f>AL553/AL494</f>
        <v>0.19720786222510389</v>
      </c>
      <c r="AK553" s="414"/>
      <c r="AL553" s="416">
        <f>SUM(AL540:AL552)</f>
        <v>157101.78999999998</v>
      </c>
      <c r="AM553" s="423"/>
      <c r="AN553" s="419">
        <f t="shared" si="86"/>
        <v>-40638.909999999989</v>
      </c>
      <c r="AO553" s="436">
        <f t="shared" si="87"/>
        <v>-0.25867884764393834</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0.7291883276262906</v>
      </c>
      <c r="AE555" s="414"/>
      <c r="AF555" s="416">
        <f>AF506+AF520+AF539+AF553</f>
        <v>498068.66</v>
      </c>
      <c r="AG555" s="422"/>
      <c r="AH555" s="435">
        <f t="shared" si="96"/>
        <v>498068.66</v>
      </c>
      <c r="AI555" s="415" t="e">
        <f>AH555/Z555</f>
        <v>#DIV/0!</v>
      </c>
      <c r="AJ555" s="417">
        <f>AL555/AL494</f>
        <v>0.84854646406566592</v>
      </c>
      <c r="AK555" s="414"/>
      <c r="AL555" s="416">
        <f>AL506+AL520+AL539+AL553</f>
        <v>675977.96</v>
      </c>
      <c r="AM555" s="423"/>
      <c r="AN555" s="419">
        <f t="shared" ref="AN555:AN568" si="97">AF555-AL555</f>
        <v>-177909.3</v>
      </c>
      <c r="AO555" s="396">
        <f t="shared" ref="AO555:AO568" si="98">IF(AL555=0,0,AN555/AL555)</f>
        <v>-0.26318801873362851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4532.59</v>
      </c>
      <c r="AG556" s="446"/>
      <c r="AH556" s="401">
        <f t="shared" si="96"/>
        <v>4532.59</v>
      </c>
      <c r="AI556" s="439" t="e">
        <f>IF(AH556=0,0,AH556/Z556)</f>
        <v>#DIV/0!</v>
      </c>
      <c r="AJ556" s="445"/>
      <c r="AK556" s="444"/>
      <c r="AL556" s="426">
        <f>-SUMIFS(BV_Data_An_Prec!$AM:$AM,BV_Data_An_Prec!$AQ:$AQ,$V556)</f>
        <v>96014.50999999998</v>
      </c>
      <c r="AM556" s="447"/>
      <c r="AN556" s="401">
        <f t="shared" si="97"/>
        <v>-91481.919999999984</v>
      </c>
      <c r="AO556" s="408">
        <f t="shared" si="98"/>
        <v>-0.95279265602667762</v>
      </c>
      <c r="AP556" s="35"/>
      <c r="AQ556" s="105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3141</v>
      </c>
      <c r="W558" s="398"/>
      <c r="X558" s="398"/>
      <c r="Y558" s="398"/>
      <c r="Z558" s="399">
        <f t="shared" si="99"/>
        <v>0</v>
      </c>
      <c r="AA558" s="437"/>
      <c r="AB558" s="438"/>
      <c r="AC558" s="399"/>
      <c r="AD558" s="451"/>
      <c r="AF558" s="399">
        <f t="shared" si="100"/>
        <v>24351.53</v>
      </c>
      <c r="AG558" s="450"/>
      <c r="AH558" s="401">
        <f t="shared" si="96"/>
        <v>24351.53</v>
      </c>
      <c r="AI558" s="420" t="e">
        <f t="shared" ref="AI558:AI567" si="101">IF(AH558=0,0,AH558/Z558)</f>
        <v>#DIV/0!</v>
      </c>
      <c r="AJ558" s="451"/>
      <c r="AL558" s="399">
        <f>-SUMIFS(BV_Data_An_Prec!$AM:$AM,BV_Data_An_Prec!$AQ:$AQ,$V558)</f>
        <v>10883.369999999995</v>
      </c>
      <c r="AM558" s="448"/>
      <c r="AN558" s="401">
        <f t="shared" si="97"/>
        <v>13468.160000000003</v>
      </c>
      <c r="AO558" s="408">
        <f t="shared" si="98"/>
        <v>1.2374990467107163</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63.056112224448896</v>
      </c>
      <c r="AE567" s="437">
        <f>(AF567/399)/(J13+J15+J97)</f>
        <v>1.4338118022328548</v>
      </c>
      <c r="AF567" s="399">
        <f>+SUMIF($C:$C,$V567,L:L)</f>
        <v>31465</v>
      </c>
      <c r="AG567" s="450"/>
      <c r="AH567" s="401">
        <f t="shared" si="96"/>
        <v>31465</v>
      </c>
      <c r="AI567" s="420" t="e">
        <f t="shared" si="101"/>
        <v>#DIV/0!</v>
      </c>
      <c r="AJ567" s="452">
        <f>AL567/499</f>
        <v>0</v>
      </c>
      <c r="AK567" s="437">
        <f>(AL567/399)/(P13+P15+P97)</f>
        <v>0</v>
      </c>
      <c r="AL567" s="399">
        <f>-SUMIFS(BV_Data_An_Prec!$AM:$AM,BV_Data_An_Prec!$AQ:$AQ,$V567)</f>
        <v>0</v>
      </c>
      <c r="AM567" s="448"/>
      <c r="AN567" s="401">
        <f t="shared" si="97"/>
        <v>31465</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8.8353027244312723E-2</v>
      </c>
      <c r="AE568" s="434"/>
      <c r="AF568" s="416">
        <f>SUM(AF556:AF567)</f>
        <v>60349.119999999995</v>
      </c>
      <c r="AG568" s="422"/>
      <c r="AH568" s="419">
        <f t="shared" si="96"/>
        <v>60349.119999999995</v>
      </c>
      <c r="AI568" s="415" t="e">
        <f>AH568/Z568</f>
        <v>#DIV/0!</v>
      </c>
      <c r="AJ568" s="415">
        <f>AL568/+AL494</f>
        <v>0.13418753784534018</v>
      </c>
      <c r="AK568" s="434"/>
      <c r="AL568" s="416">
        <f>SUM(AL556:AL567)</f>
        <v>106897.87999999998</v>
      </c>
      <c r="AM568" s="453"/>
      <c r="AN568" s="419">
        <f t="shared" si="97"/>
        <v>-46548.75999999998</v>
      </c>
      <c r="AO568" s="436">
        <f t="shared" si="98"/>
        <v>-0.4354507311089798</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1.2400442033332439E-2</v>
      </c>
      <c r="AF570" s="468">
        <f>AF494-AF555+AF568</f>
        <v>245325.76000000275</v>
      </c>
      <c r="AG570" s="470"/>
      <c r="AH570" s="470" t="e">
        <f>AF570-Z570</f>
        <v>#REF!</v>
      </c>
      <c r="AI570" s="471" t="e">
        <f>AH570/Z570</f>
        <v>#REF!</v>
      </c>
      <c r="AJ570" s="466" t="s">
        <v>215</v>
      </c>
      <c r="AK570" s="467">
        <f>AL570/AL493</f>
        <v>7.4831472914867816E-3</v>
      </c>
      <c r="AL570" s="468">
        <f>AL494-AL555+AL568</f>
        <v>227550.37999999415</v>
      </c>
      <c r="AM570" s="472"/>
      <c r="AN570" s="469">
        <f>AF570-AL570</f>
        <v>17775.38000000859</v>
      </c>
      <c r="AO570" s="473">
        <f>IF(AL570=0,0,AN570/AL570)</f>
        <v>7.8116239577402796E-2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Juin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1.5647508887125395E-2</v>
      </c>
      <c r="AF575" s="752">
        <f>AF576+AF502</f>
        <v>309564.53000000276</v>
      </c>
      <c r="AG575" s="470"/>
      <c r="AH575" s="470" t="e">
        <f t="shared" ref="AH575" si="102">AF575-Z575</f>
        <v>#REF!</v>
      </c>
      <c r="AI575" s="471" t="e">
        <f>AH575/Z575</f>
        <v>#REF!</v>
      </c>
      <c r="AJ575" s="750" t="s">
        <v>215</v>
      </c>
      <c r="AK575" s="751">
        <f>IF($AL$493=0,0,AL575/$AL$493)</f>
        <v>1.262911147719905E-2</v>
      </c>
      <c r="AL575" s="752">
        <f>AL576+AL502</f>
        <v>384030.80999999418</v>
      </c>
      <c r="AM575" s="472"/>
      <c r="AN575" s="752">
        <f t="shared" ref="AN575:AN585" si="103">AF575-AL575</f>
        <v>-74466.279999991413</v>
      </c>
      <c r="AO575" s="753">
        <f t="shared" ref="AO575:AO585" si="104">IF(AL575=0,0,AN575/AL575)</f>
        <v>-0.19390704615599083</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1.2400442033332439E-2</v>
      </c>
      <c r="AF576" s="468">
        <f>AF570</f>
        <v>245325.76000000275</v>
      </c>
      <c r="AG576" s="469"/>
      <c r="AH576" s="470" t="e">
        <f>AF576-Z576</f>
        <v>#REF!</v>
      </c>
      <c r="AI576" s="471" t="e">
        <f>AH576/Z576</f>
        <v>#REF!</v>
      </c>
      <c r="AJ576" s="466" t="s">
        <v>215</v>
      </c>
      <c r="AK576" s="467">
        <f>IF($AL$493=0,0,AL576/$AL$493)</f>
        <v>7.4831472914867816E-3</v>
      </c>
      <c r="AL576" s="468">
        <f>AL570</f>
        <v>227550.37999999415</v>
      </c>
      <c r="AM576" s="474"/>
      <c r="AN576" s="475">
        <f t="shared" si="103"/>
        <v>17775.38000000859</v>
      </c>
      <c r="AO576" s="476">
        <f t="shared" si="104"/>
        <v>7.8116239577402796E-2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1048"/>
      <c r="V577" s="477"/>
      <c r="W577" s="35"/>
      <c r="X577" s="35"/>
      <c r="Y577" s="35"/>
      <c r="Z577" s="478"/>
      <c r="AA577" s="35"/>
      <c r="AB577" s="35"/>
      <c r="AC577" s="1048"/>
      <c r="AD577" s="1056"/>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659"/>
      <c r="AD578" s="1057"/>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10786.23</v>
      </c>
      <c r="AM578" s="403"/>
      <c r="AN578" s="401">
        <f t="shared" si="103"/>
        <v>23.770000000000437</v>
      </c>
      <c r="AO578" s="408">
        <f t="shared" si="104"/>
        <v>2.2037356889293516E-3</v>
      </c>
      <c r="AP578" s="35"/>
      <c r="AQ578" s="35">
        <v>10810</v>
      </c>
      <c r="AR578" s="35" t="s">
        <v>3208</v>
      </c>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659"/>
      <c r="AD579" s="1058"/>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659"/>
      <c r="AD580" s="1058"/>
      <c r="AE580" s="38"/>
      <c r="AF580" s="399">
        <f>SUMIFS(BV_Data_An_Cour!$AM:$AM,BV_Data_An_Cour!$AQ:$AQ,$V580)</f>
        <v>8048.5499999999956</v>
      </c>
      <c r="AG580" s="35"/>
      <c r="AH580" s="401">
        <f t="shared" si="105"/>
        <v>8048.5499999999956</v>
      </c>
      <c r="AI580" s="420">
        <f t="shared" si="106"/>
        <v>0</v>
      </c>
      <c r="AJ580" s="35"/>
      <c r="AK580" s="38"/>
      <c r="AL580" s="399">
        <f>SUMIFS(BV_Data_An_Prec!$AM:$AM,BV_Data_An_Prec!$AQ:$AQ,$V580)</f>
        <v>0</v>
      </c>
      <c r="AM580" s="480"/>
      <c r="AN580" s="401">
        <f t="shared" si="103"/>
        <v>8048.5499999999956</v>
      </c>
      <c r="AO580" s="408">
        <f t="shared" si="104"/>
        <v>0</v>
      </c>
      <c r="AP580" s="35"/>
      <c r="AQ580" s="35">
        <v>8049</v>
      </c>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659"/>
      <c r="AD581" s="1058"/>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659"/>
      <c r="AD582" s="105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659"/>
      <c r="AD583" s="1057"/>
      <c r="AE583" s="406"/>
      <c r="AF583" s="399">
        <f>SUMIFS(BV_Data_An_Cour!$AM:$AM,BV_Data_An_Cour!$AQ:$AQ,$V583)</f>
        <v>-1976.7100000000005</v>
      </c>
      <c r="AG583" s="400"/>
      <c r="AH583" s="401">
        <f t="shared" si="105"/>
        <v>-1976.7100000000005</v>
      </c>
      <c r="AI583" s="402">
        <f t="shared" si="106"/>
        <v>0</v>
      </c>
      <c r="AJ583" s="407"/>
      <c r="AK583" s="406"/>
      <c r="AL583" s="399">
        <f>SUMIFS(BV_Data_An_Prec!$AM:$AM,BV_Data_An_Prec!$AQ:$AQ,$V583)</f>
        <v>0</v>
      </c>
      <c r="AM583" s="480"/>
      <c r="AN583" s="401">
        <f t="shared" si="103"/>
        <v>-1976.7100000000005</v>
      </c>
      <c r="AO583" s="408">
        <f t="shared" si="104"/>
        <v>0</v>
      </c>
      <c r="AP583" s="35"/>
      <c r="AQ583" s="35">
        <v>-1977</v>
      </c>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1.1547118361427822E-2</v>
      </c>
      <c r="AF585" s="468">
        <f>AF576-AF578-AF579-AF580-AF584-AF583</f>
        <v>228443.92000000275</v>
      </c>
      <c r="AG585" s="470"/>
      <c r="AH585" s="470" t="e">
        <f t="shared" si="105"/>
        <v>#REF!</v>
      </c>
      <c r="AI585" s="471" t="e">
        <f>AH585/Z585</f>
        <v>#REF!</v>
      </c>
      <c r="AJ585" s="466" t="s">
        <v>215</v>
      </c>
      <c r="AK585" s="467">
        <f>IF($AL$493=0,0,AL585/$AL$493)</f>
        <v>7.1284348633649051E-3</v>
      </c>
      <c r="AL585" s="468">
        <f>AL576-AL578-AL579-AL580-AL584-AL583</f>
        <v>216764.14999999414</v>
      </c>
      <c r="AM585" s="472"/>
      <c r="AN585" s="469">
        <f t="shared" si="103"/>
        <v>11679.770000008604</v>
      </c>
      <c r="AO585" s="482">
        <f t="shared" si="104"/>
        <v>5.388238783954321E-2</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3238</v>
      </c>
      <c r="W589" s="35"/>
      <c r="X589" s="35"/>
      <c r="Y589" s="35"/>
      <c r="Z589" s="91"/>
      <c r="AA589" s="35"/>
      <c r="AB589" s="35"/>
      <c r="AC589" s="91"/>
      <c r="AE589" s="484"/>
      <c r="AF589" s="484">
        <v>228443.92</v>
      </c>
      <c r="AG589" s="35"/>
      <c r="AH589" s="35"/>
      <c r="AI589" s="35"/>
      <c r="AJ589" s="483"/>
      <c r="AK589" s="700"/>
      <c r="AL589" s="657">
        <v>216763</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91"/>
      <c r="AA590" s="35"/>
      <c r="AB590" s="35"/>
      <c r="AC590" s="91"/>
      <c r="AD590" s="35"/>
      <c r="AE590" s="35"/>
      <c r="AF590" s="484"/>
      <c r="AG590" s="35"/>
      <c r="AH590" s="35"/>
      <c r="AI590" s="35"/>
      <c r="AJ590" s="35"/>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AE591" s="35"/>
      <c r="AF591" s="904">
        <f>AF589-AF585</f>
        <v>-2.7357600629329681E-9</v>
      </c>
      <c r="AL591" s="904">
        <f>AL589-AL585</f>
        <v>-1.1499999941443093</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f>69*2000</f>
        <v>138000</v>
      </c>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521" priority="187" stopIfTrue="1">
      <formula>"esterreur(reference)"</formula>
    </cfRule>
  </conditionalFormatting>
  <conditionalFormatting sqref="D246:D255">
    <cfRule type="expression" dxfId="520" priority="545" stopIfTrue="1">
      <formula>"esterreur(reference)"</formula>
    </cfRule>
  </conditionalFormatting>
  <conditionalFormatting sqref="D487">
    <cfRule type="expression" dxfId="519" priority="194" stopIfTrue="1">
      <formula>"esterreur(reference)"</formula>
    </cfRule>
  </conditionalFormatting>
  <conditionalFormatting sqref="D186:E192">
    <cfRule type="expression" dxfId="518" priority="146" stopIfTrue="1">
      <formula>"esterreur(reference)"</formula>
    </cfRule>
  </conditionalFormatting>
  <conditionalFormatting sqref="E260">
    <cfRule type="expression" dxfId="517" priority="546" stopIfTrue="1">
      <formula>"esterreur(reference)"</formula>
    </cfRule>
  </conditionalFormatting>
  <conditionalFormatting sqref="F5">
    <cfRule type="expression" dxfId="516" priority="543" stopIfTrue="1">
      <formula>"esterreur(reference)"</formula>
    </cfRule>
  </conditionalFormatting>
  <conditionalFormatting sqref="F84">
    <cfRule type="expression" dxfId="515" priority="542" stopIfTrue="1">
      <formula>"esterreur(reference)"</formula>
    </cfRule>
  </conditionalFormatting>
  <conditionalFormatting sqref="F102">
    <cfRule type="expression" dxfId="514" priority="547" stopIfTrue="1">
      <formula>"esterreur(reference)"</formula>
    </cfRule>
  </conditionalFormatting>
  <conditionalFormatting sqref="F258">
    <cfRule type="expression" dxfId="513" priority="344" stopIfTrue="1">
      <formula>"esterreur(reference)"</formula>
    </cfRule>
  </conditionalFormatting>
  <conditionalFormatting sqref="G31:G32">
    <cfRule type="expression" dxfId="512" priority="540" stopIfTrue="1">
      <formula>"esterreur(reference)"</formula>
    </cfRule>
  </conditionalFormatting>
  <conditionalFormatting sqref="G113:G114">
    <cfRule type="expression" dxfId="511" priority="523" stopIfTrue="1">
      <formula>"esterreur(reference)"</formula>
    </cfRule>
  </conditionalFormatting>
  <conditionalFormatting sqref="G186:G187">
    <cfRule type="expression" dxfId="510" priority="155" stopIfTrue="1">
      <formula>"esterreur(reference)"</formula>
    </cfRule>
  </conditionalFormatting>
  <conditionalFormatting sqref="G246:G255">
    <cfRule type="expression" dxfId="509" priority="544" stopIfTrue="1">
      <formula>"esterreur(reference)"</formula>
    </cfRule>
  </conditionalFormatting>
  <conditionalFormatting sqref="H25:H26 H28:H72">
    <cfRule type="expression" dxfId="508" priority="535" stopIfTrue="1">
      <formula>"esterreur(reference)"</formula>
    </cfRule>
  </conditionalFormatting>
  <conditionalFormatting sqref="H74">
    <cfRule type="expression" dxfId="507" priority="124" stopIfTrue="1">
      <formula>"esterreur(reference)"</formula>
    </cfRule>
  </conditionalFormatting>
  <conditionalFormatting sqref="H83">
    <cfRule type="expression" dxfId="506" priority="121" stopIfTrue="1">
      <formula>"esterreur(reference)"</formula>
    </cfRule>
  </conditionalFormatting>
  <conditionalFormatting sqref="H85">
    <cfRule type="expression" dxfId="505" priority="37" stopIfTrue="1">
      <formula>"esterreur(reference)"</formula>
    </cfRule>
  </conditionalFormatting>
  <conditionalFormatting sqref="H110:H154">
    <cfRule type="expression" dxfId="504" priority="30" stopIfTrue="1">
      <formula>"esterreur(reference)"</formula>
    </cfRule>
  </conditionalFormatting>
  <conditionalFormatting sqref="H156:H158">
    <cfRule type="expression" dxfId="503" priority="113" stopIfTrue="1">
      <formula>"esterreur(reference)"</formula>
    </cfRule>
  </conditionalFormatting>
  <conditionalFormatting sqref="H164">
    <cfRule type="expression" dxfId="502" priority="110" stopIfTrue="1">
      <formula>"esterreur(reference)"</formula>
    </cfRule>
  </conditionalFormatting>
  <conditionalFormatting sqref="H166">
    <cfRule type="expression" dxfId="501" priority="40" stopIfTrue="1">
      <formula>"esterreur(reference)"</formula>
    </cfRule>
  </conditionalFormatting>
  <conditionalFormatting sqref="H183:H227">
    <cfRule type="expression" dxfId="500" priority="20" stopIfTrue="1">
      <formula>"esterreur(reference)"</formula>
    </cfRule>
  </conditionalFormatting>
  <conditionalFormatting sqref="H229:H231">
    <cfRule type="expression" dxfId="499" priority="99" stopIfTrue="1">
      <formula>"esterreur(reference)"</formula>
    </cfRule>
  </conditionalFormatting>
  <conditionalFormatting sqref="H237">
    <cfRule type="expression" dxfId="498" priority="96" stopIfTrue="1">
      <formula>"esterreur(reference)"</formula>
    </cfRule>
  </conditionalFormatting>
  <conditionalFormatting sqref="H239">
    <cfRule type="expression" dxfId="497" priority="43" stopIfTrue="1">
      <formula>"esterreur(reference)"</formula>
    </cfRule>
  </conditionalFormatting>
  <conditionalFormatting sqref="H269">
    <cfRule type="expression" dxfId="496" priority="17" stopIfTrue="1">
      <formula>"esterreur(reference)"</formula>
    </cfRule>
  </conditionalFormatting>
  <conditionalFormatting sqref="H272:H303">
    <cfRule type="expression" dxfId="495" priority="89" stopIfTrue="1">
      <formula>"esterreur(reference)"</formula>
    </cfRule>
  </conditionalFormatting>
  <conditionalFormatting sqref="H305">
    <cfRule type="expression" dxfId="494" priority="87" stopIfTrue="1">
      <formula>"esterreur(reference)"</formula>
    </cfRule>
  </conditionalFormatting>
  <conditionalFormatting sqref="H307">
    <cfRule type="expression" dxfId="493" priority="46" stopIfTrue="1">
      <formula>"esterreur(reference)"</formula>
    </cfRule>
  </conditionalFormatting>
  <conditionalFormatting sqref="H327">
    <cfRule type="expression" dxfId="492" priority="10" stopIfTrue="1">
      <formula>"esterreur(reference)"</formula>
    </cfRule>
  </conditionalFormatting>
  <conditionalFormatting sqref="H330:H361">
    <cfRule type="expression" dxfId="491" priority="80" stopIfTrue="1">
      <formula>"esterreur(reference)"</formula>
    </cfRule>
  </conditionalFormatting>
  <conditionalFormatting sqref="H363">
    <cfRule type="expression" dxfId="490" priority="78" stopIfTrue="1">
      <formula>"esterreur(reference)"</formula>
    </cfRule>
  </conditionalFormatting>
  <conditionalFormatting sqref="H365">
    <cfRule type="expression" dxfId="489" priority="49" stopIfTrue="1">
      <formula>"esterreur(reference)"</formula>
    </cfRule>
  </conditionalFormatting>
  <conditionalFormatting sqref="H391">
    <cfRule type="expression" dxfId="488" priority="7" stopIfTrue="1">
      <formula>"esterreur(reference)"</formula>
    </cfRule>
  </conditionalFormatting>
  <conditionalFormatting sqref="H394:H425">
    <cfRule type="expression" dxfId="487" priority="71" stopIfTrue="1">
      <formula>"esterreur(reference)"</formula>
    </cfRule>
  </conditionalFormatting>
  <conditionalFormatting sqref="H427">
    <cfRule type="expression" dxfId="486" priority="69" stopIfTrue="1">
      <formula>"esterreur(reference)"</formula>
    </cfRule>
  </conditionalFormatting>
  <conditionalFormatting sqref="H429:H431">
    <cfRule type="expression" dxfId="485" priority="52" stopIfTrue="1">
      <formula>"esterreur(reference)"</formula>
    </cfRule>
  </conditionalFormatting>
  <conditionalFormatting sqref="H449">
    <cfRule type="expression" dxfId="484" priority="3" stopIfTrue="1">
      <formula>"esterreur(reference)"</formula>
    </cfRule>
  </conditionalFormatting>
  <conditionalFormatting sqref="H452:H482">
    <cfRule type="expression" dxfId="483" priority="61" stopIfTrue="1">
      <formula>"esterreur(reference)"</formula>
    </cfRule>
  </conditionalFormatting>
  <conditionalFormatting sqref="H484">
    <cfRule type="expression" dxfId="482" priority="58" stopIfTrue="1">
      <formula>"esterreur(reference)"</formula>
    </cfRule>
  </conditionalFormatting>
  <conditionalFormatting sqref="H486:H487">
    <cfRule type="expression" dxfId="481" priority="55" stopIfTrue="1">
      <formula>"esterreur(reference)"</formula>
    </cfRule>
  </conditionalFormatting>
  <conditionalFormatting sqref="H433:I433 K433:L433 J433:J434">
    <cfRule type="expression" dxfId="480" priority="210" stopIfTrue="1">
      <formula>"esterreur(reference)"</formula>
    </cfRule>
  </conditionalFormatting>
  <conditionalFormatting sqref="H317:J317">
    <cfRule type="expression" dxfId="479" priority="181" stopIfTrue="1">
      <formula>"esterreur(reference)"</formula>
    </cfRule>
  </conditionalFormatting>
  <conditionalFormatting sqref="H439:J439">
    <cfRule type="expression" dxfId="478" priority="140" stopIfTrue="1">
      <formula>"esterreur(reference)"</formula>
    </cfRule>
  </conditionalFormatting>
  <conditionalFormatting sqref="H435:L436">
    <cfRule type="expression" dxfId="477" priority="136" stopIfTrue="1">
      <formula>"esterreur(reference)"</formula>
    </cfRule>
  </conditionalFormatting>
  <conditionalFormatting sqref="H447:L447 H450:L451">
    <cfRule type="expression" dxfId="476" priority="135" stopIfTrue="1">
      <formula>"esterreur(reference)"</formula>
    </cfRule>
  </conditionalFormatting>
  <conditionalFormatting sqref="H483:L483 H485:L485">
    <cfRule type="expression" dxfId="475" priority="211" stopIfTrue="1">
      <formula>"esterreur(reference)"</formula>
    </cfRule>
  </conditionalFormatting>
  <conditionalFormatting sqref="I16:I18 I20 I24:I30">
    <cfRule type="expression" dxfId="474" priority="541" stopIfTrue="1">
      <formula>"esterreur(reference)"</formula>
    </cfRule>
  </conditionalFormatting>
  <conditionalFormatting sqref="I109:I110">
    <cfRule type="expression" dxfId="473" priority="31" stopIfTrue="1">
      <formula>"esterreur(reference)"</formula>
    </cfRule>
  </conditionalFormatting>
  <conditionalFormatting sqref="I182:I183">
    <cfRule type="expression" dxfId="472" priority="21" stopIfTrue="1">
      <formula>"esterreur(reference)"</formula>
    </cfRule>
  </conditionalFormatting>
  <conditionalFormatting sqref="I268:I269">
    <cfRule type="expression" dxfId="471" priority="18" stopIfTrue="1">
      <formula>"esterreur(reference)"</formula>
    </cfRule>
  </conditionalFormatting>
  <conditionalFormatting sqref="I326:I327">
    <cfRule type="expression" dxfId="470" priority="11" stopIfTrue="1">
      <formula>"esterreur(reference)"</formula>
    </cfRule>
  </conditionalFormatting>
  <conditionalFormatting sqref="I390:I391">
    <cfRule type="expression" dxfId="469" priority="8" stopIfTrue="1">
      <formula>"esterreur(reference)"</formula>
    </cfRule>
  </conditionalFormatting>
  <conditionalFormatting sqref="I448:I449">
    <cfRule type="expression" dxfId="46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467" priority="196" stopIfTrue="1">
      <formula>"esterreur(reference)"</formula>
    </cfRule>
  </conditionalFormatting>
  <conditionalFormatting sqref="J16 L16:L24">
    <cfRule type="expression" dxfId="466" priority="183" stopIfTrue="1">
      <formula>"esterreur(reference)"</formula>
    </cfRule>
  </conditionalFormatting>
  <conditionalFormatting sqref="J182 J183:L183">
    <cfRule type="expression" dxfId="465" priority="22" stopIfTrue="1">
      <formula>"esterreur(reference)"</formula>
    </cfRule>
  </conditionalFormatting>
  <conditionalFormatting sqref="J326 J327:K327">
    <cfRule type="expression" dxfId="464" priority="12" stopIfTrue="1">
      <formula>"esterreur(reference)"</formula>
    </cfRule>
  </conditionalFormatting>
  <conditionalFormatting sqref="J371:J390">
    <cfRule type="expression" dxfId="463" priority="1" stopIfTrue="1">
      <formula>"esterreur(reference)"</formula>
    </cfRule>
  </conditionalFormatting>
  <conditionalFormatting sqref="J448 J449:K449">
    <cfRule type="expression" dxfId="462" priority="5" stopIfTrue="1">
      <formula>"esterreur(reference)"</formula>
    </cfRule>
  </conditionalFormatting>
  <conditionalFormatting sqref="J54:K54">
    <cfRule type="expression" dxfId="461" priority="128" stopIfTrue="1">
      <formula>"esterreur(reference)"</formula>
    </cfRule>
  </conditionalFormatting>
  <conditionalFormatting sqref="J72:K72">
    <cfRule type="expression" dxfId="460" priority="126" stopIfTrue="1">
      <formula>"esterreur(reference)"</formula>
    </cfRule>
  </conditionalFormatting>
  <conditionalFormatting sqref="J74:K74">
    <cfRule type="expression" dxfId="459" priority="123" stopIfTrue="1">
      <formula>"esterreur(reference)"</formula>
    </cfRule>
  </conditionalFormatting>
  <conditionalFormatting sqref="J85:K85">
    <cfRule type="expression" dxfId="458" priority="36" stopIfTrue="1">
      <formula>"esterreur(reference)"</formula>
    </cfRule>
  </conditionalFormatting>
  <conditionalFormatting sqref="J156:K158">
    <cfRule type="expression" dxfId="457" priority="112" stopIfTrue="1">
      <formula>"esterreur(reference)"</formula>
    </cfRule>
  </conditionalFormatting>
  <conditionalFormatting sqref="J164:K164">
    <cfRule type="expression" dxfId="456" priority="109" stopIfTrue="1">
      <formula>"esterreur(reference)"</formula>
    </cfRule>
  </conditionalFormatting>
  <conditionalFormatting sqref="J166:K166">
    <cfRule type="expression" dxfId="455" priority="39" stopIfTrue="1">
      <formula>"esterreur(reference)"</formula>
    </cfRule>
  </conditionalFormatting>
  <conditionalFormatting sqref="J229:K231">
    <cfRule type="expression" dxfId="454" priority="98" stopIfTrue="1">
      <formula>"esterreur(reference)"</formula>
    </cfRule>
  </conditionalFormatting>
  <conditionalFormatting sqref="J237:K237">
    <cfRule type="expression" dxfId="453" priority="95" stopIfTrue="1">
      <formula>"esterreur(reference)"</formula>
    </cfRule>
  </conditionalFormatting>
  <conditionalFormatting sqref="J239:K239">
    <cfRule type="expression" dxfId="452" priority="42" stopIfTrue="1">
      <formula>"esterreur(reference)"</formula>
    </cfRule>
  </conditionalFormatting>
  <conditionalFormatting sqref="J305:K305">
    <cfRule type="expression" dxfId="451" priority="86" stopIfTrue="1">
      <formula>"esterreur(reference)"</formula>
    </cfRule>
  </conditionalFormatting>
  <conditionalFormatting sqref="J307:K307">
    <cfRule type="expression" dxfId="450" priority="45" stopIfTrue="1">
      <formula>"esterreur(reference)"</formula>
    </cfRule>
  </conditionalFormatting>
  <conditionalFormatting sqref="J363:K363">
    <cfRule type="expression" dxfId="449" priority="77" stopIfTrue="1">
      <formula>"esterreur(reference)"</formula>
    </cfRule>
  </conditionalFormatting>
  <conditionalFormatting sqref="J365:K365">
    <cfRule type="expression" dxfId="448" priority="48" stopIfTrue="1">
      <formula>"esterreur(reference)"</formula>
    </cfRule>
  </conditionalFormatting>
  <conditionalFormatting sqref="J427:K427">
    <cfRule type="expression" dxfId="447" priority="68" stopIfTrue="1">
      <formula>"esterreur(reference)"</formula>
    </cfRule>
  </conditionalFormatting>
  <conditionalFormatting sqref="J429:K431">
    <cfRule type="expression" dxfId="446" priority="51" stopIfTrue="1">
      <formula>"esterreur(reference)"</formula>
    </cfRule>
  </conditionalFormatting>
  <conditionalFormatting sqref="J464:K464">
    <cfRule type="expression" dxfId="445" priority="63" stopIfTrue="1">
      <formula>"esterreur(reference)"</formula>
    </cfRule>
  </conditionalFormatting>
  <conditionalFormatting sqref="J482:K482">
    <cfRule type="expression" dxfId="444" priority="60" stopIfTrue="1">
      <formula>"esterreur(reference)"</formula>
    </cfRule>
  </conditionalFormatting>
  <conditionalFormatting sqref="J484:K484">
    <cfRule type="expression" dxfId="443" priority="57" stopIfTrue="1">
      <formula>"esterreur(reference)"</formula>
    </cfRule>
  </conditionalFormatting>
  <conditionalFormatting sqref="J486:K487">
    <cfRule type="expression" dxfId="442" priority="54" stopIfTrue="1">
      <formula>"esterreur(reference)"</formula>
    </cfRule>
  </conditionalFormatting>
  <conditionalFormatting sqref="J53:L53 J55:L71">
    <cfRule type="expression" dxfId="441" priority="182" stopIfTrue="1">
      <formula>"esterreur(reference)"</formula>
    </cfRule>
  </conditionalFormatting>
  <conditionalFormatting sqref="J465:L481">
    <cfRule type="expression" dxfId="440" priority="212" stopIfTrue="1">
      <formula>"esterreur(reference)"</formula>
    </cfRule>
  </conditionalFormatting>
  <conditionalFormatting sqref="K5">
    <cfRule type="expression" dxfId="439" priority="323" stopIfTrue="1">
      <formula>"esterreur(reference)"</formula>
    </cfRule>
  </conditionalFormatting>
  <conditionalFormatting sqref="K321:L321">
    <cfRule type="expression" dxfId="438" priority="303" stopIfTrue="1">
      <formula>"esterreur(reference)"</formula>
    </cfRule>
  </conditionalFormatting>
  <conditionalFormatting sqref="K437:L437 K439:L440">
    <cfRule type="expression" dxfId="437" priority="141" stopIfTrue="1">
      <formula>"esterreur(reference)"</formula>
    </cfRule>
  </conditionalFormatting>
  <conditionalFormatting sqref="K443:L443">
    <cfRule type="expression" dxfId="436" priority="142" stopIfTrue="1">
      <formula>"esterreur(reference)"</formula>
    </cfRule>
  </conditionalFormatting>
  <conditionalFormatting sqref="L5:L14">
    <cfRule type="expression" dxfId="435" priority="34" stopIfTrue="1">
      <formula>"esterreur(reference)"</formula>
    </cfRule>
  </conditionalFormatting>
  <conditionalFormatting sqref="L75:L82">
    <cfRule type="expression" dxfId="434" priority="203" stopIfTrue="1">
      <formula>"esterreur(reference)"</formula>
    </cfRule>
  </conditionalFormatting>
  <conditionalFormatting sqref="L157:L163">
    <cfRule type="expression" dxfId="433" priority="281" stopIfTrue="1">
      <formula>"esterreur(reference)"</formula>
    </cfRule>
  </conditionalFormatting>
  <conditionalFormatting sqref="L230:L236">
    <cfRule type="expression" dxfId="432" priority="154" stopIfTrue="1">
      <formula>"esterreur(reference)"</formula>
    </cfRule>
  </conditionalFormatting>
  <conditionalFormatting sqref="L272:L283">
    <cfRule type="expression" dxfId="431" priority="258" stopIfTrue="1">
      <formula>"esterreur(reference)"</formula>
    </cfRule>
  </conditionalFormatting>
  <conditionalFormatting sqref="L285:L302">
    <cfRule type="expression" dxfId="430" priority="260" stopIfTrue="1">
      <formula>"esterreur(reference)"</formula>
    </cfRule>
  </conditionalFormatting>
  <conditionalFormatting sqref="L324">
    <cfRule type="expression" dxfId="429" priority="132" stopIfTrue="1">
      <formula>"esterreur(reference)"</formula>
    </cfRule>
  </conditionalFormatting>
  <conditionalFormatting sqref="L330:L341">
    <cfRule type="expression" dxfId="428" priority="304" stopIfTrue="1">
      <formula>"esterreur(reference)"</formula>
    </cfRule>
  </conditionalFormatting>
  <conditionalFormatting sqref="L422:L424">
    <cfRule type="expression" dxfId="427" priority="224" stopIfTrue="1">
      <formula>"esterreur(reference)"</formula>
    </cfRule>
  </conditionalFormatting>
  <conditionalFormatting sqref="M95:M97">
    <cfRule type="expression" dxfId="426" priority="197" stopIfTrue="1">
      <formula>"esterreur(reference)"</formula>
    </cfRule>
  </conditionalFormatting>
  <conditionalFormatting sqref="M177:M179">
    <cfRule type="expression" dxfId="425" priority="153" stopIfTrue="1">
      <formula>"esterreur(reference)"</formula>
    </cfRule>
  </conditionalFormatting>
  <conditionalFormatting sqref="N283">
    <cfRule type="expression" dxfId="424" priority="186" stopIfTrue="1">
      <formula>"esterreur(reference)"</formula>
    </cfRule>
  </conditionalFormatting>
  <conditionalFormatting sqref="N394:N404">
    <cfRule type="expression" dxfId="423" priority="191" stopIfTrue="1">
      <formula>"esterreur(reference)"</formula>
    </cfRule>
  </conditionalFormatting>
  <conditionalFormatting sqref="N271:Q271">
    <cfRule type="expression" dxfId="422" priority="171" stopIfTrue="1">
      <formula>"esterreur(reference)"</formula>
    </cfRule>
  </conditionalFormatting>
  <conditionalFormatting sqref="O16 Q16:Q24">
    <cfRule type="expression" dxfId="421" priority="176" stopIfTrue="1">
      <formula>"esterreur(reference)"</formula>
    </cfRule>
  </conditionalFormatting>
  <conditionalFormatting sqref="O109 O110:Q122">
    <cfRule type="expression" dxfId="420" priority="29" stopIfTrue="1">
      <formula>"esterreur(reference)"</formula>
    </cfRule>
  </conditionalFormatting>
  <conditionalFormatting sqref="O182 O183:Q195">
    <cfRule type="expression" dxfId="41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418" priority="170" stopIfTrue="1">
      <formula>"esterreur(reference)"</formula>
    </cfRule>
  </conditionalFormatting>
  <conditionalFormatting sqref="O266:O268 O269:P269">
    <cfRule type="expression" dxfId="417" priority="16" stopIfTrue="1">
      <formula>"esterreur(reference)"</formula>
    </cfRule>
  </conditionalFormatting>
  <conditionalFormatting sqref="O317">
    <cfRule type="expression" dxfId="416" priority="165" stopIfTrue="1">
      <formula>"esterreur(reference)"</formula>
    </cfRule>
  </conditionalFormatting>
  <conditionalFormatting sqref="O326 O327:P327">
    <cfRule type="expression" dxfId="415" priority="9" stopIfTrue="1">
      <formula>"esterreur(reference)"</formula>
    </cfRule>
  </conditionalFormatting>
  <conditionalFormatting sqref="O390 O391:P391">
    <cfRule type="expression" dxfId="414" priority="6" stopIfTrue="1">
      <formula>"esterreur(reference)"</formula>
    </cfRule>
  </conditionalFormatting>
  <conditionalFormatting sqref="O439">
    <cfRule type="expression" dxfId="413" priority="137" stopIfTrue="1">
      <formula>"esterreur(reference)"</formula>
    </cfRule>
  </conditionalFormatting>
  <conditionalFormatting sqref="O448 O449:P449">
    <cfRule type="expression" dxfId="412" priority="2" stopIfTrue="1">
      <formula>"esterreur(reference)"</formula>
    </cfRule>
  </conditionalFormatting>
  <conditionalFormatting sqref="O54:P54">
    <cfRule type="expression" dxfId="411" priority="127" stopIfTrue="1">
      <formula>"esterreur(reference)"</formula>
    </cfRule>
  </conditionalFormatting>
  <conditionalFormatting sqref="O72:P72">
    <cfRule type="expression" dxfId="410" priority="125" stopIfTrue="1">
      <formula>"esterreur(reference)"</formula>
    </cfRule>
  </conditionalFormatting>
  <conditionalFormatting sqref="O74:P74">
    <cfRule type="expression" dxfId="409" priority="122" stopIfTrue="1">
      <formula>"esterreur(reference)"</formula>
    </cfRule>
  </conditionalFormatting>
  <conditionalFormatting sqref="O85:P85">
    <cfRule type="expression" dxfId="408" priority="35" stopIfTrue="1">
      <formula>"esterreur(reference)"</formula>
    </cfRule>
  </conditionalFormatting>
  <conditionalFormatting sqref="O123:P133">
    <cfRule type="expression" dxfId="407" priority="118" stopIfTrue="1">
      <formula>"esterreur(reference)"</formula>
    </cfRule>
  </conditionalFormatting>
  <conditionalFormatting sqref="O136:P136">
    <cfRule type="expression" dxfId="406" priority="116" stopIfTrue="1">
      <formula>"esterreur(reference)"</formula>
    </cfRule>
  </conditionalFormatting>
  <conditionalFormatting sqref="O154:P154">
    <cfRule type="expression" dxfId="405" priority="114" stopIfTrue="1">
      <formula>"esterreur(reference)"</formula>
    </cfRule>
  </conditionalFormatting>
  <conditionalFormatting sqref="O156:P158">
    <cfRule type="expression" dxfId="404" priority="111" stopIfTrue="1">
      <formula>"esterreur(reference)"</formula>
    </cfRule>
  </conditionalFormatting>
  <conditionalFormatting sqref="O164:P164">
    <cfRule type="expression" dxfId="403" priority="108" stopIfTrue="1">
      <formula>"esterreur(reference)"</formula>
    </cfRule>
  </conditionalFormatting>
  <conditionalFormatting sqref="O166:P166">
    <cfRule type="expression" dxfId="402" priority="38" stopIfTrue="1">
      <formula>"esterreur(reference)"</formula>
    </cfRule>
  </conditionalFormatting>
  <conditionalFormatting sqref="O196:P206">
    <cfRule type="expression" dxfId="401" priority="104" stopIfTrue="1">
      <formula>"esterreur(reference)"</formula>
    </cfRule>
  </conditionalFormatting>
  <conditionalFormatting sqref="O209:P209">
    <cfRule type="expression" dxfId="400" priority="102" stopIfTrue="1">
      <formula>"esterreur(reference)"</formula>
    </cfRule>
  </conditionalFormatting>
  <conditionalFormatting sqref="O227:P227">
    <cfRule type="expression" dxfId="399" priority="100" stopIfTrue="1">
      <formula>"esterreur(reference)"</formula>
    </cfRule>
  </conditionalFormatting>
  <conditionalFormatting sqref="O229:P231">
    <cfRule type="expression" dxfId="398" priority="97" stopIfTrue="1">
      <formula>"esterreur(reference)"</formula>
    </cfRule>
  </conditionalFormatting>
  <conditionalFormatting sqref="O237:P237">
    <cfRule type="expression" dxfId="397" priority="94" stopIfTrue="1">
      <formula>"esterreur(reference)"</formula>
    </cfRule>
  </conditionalFormatting>
  <conditionalFormatting sqref="O239:P239">
    <cfRule type="expression" dxfId="396" priority="41" stopIfTrue="1">
      <formula>"esterreur(reference)"</formula>
    </cfRule>
  </conditionalFormatting>
  <conditionalFormatting sqref="O276:P303">
    <cfRule type="expression" dxfId="395" priority="88" stopIfTrue="1">
      <formula>"esterreur(reference)"</formula>
    </cfRule>
  </conditionalFormatting>
  <conditionalFormatting sqref="O305:P305">
    <cfRule type="expression" dxfId="394" priority="85" stopIfTrue="1">
      <formula>"esterreur(reference)"</formula>
    </cfRule>
  </conditionalFormatting>
  <conditionalFormatting sqref="O307:P307">
    <cfRule type="expression" dxfId="393" priority="44" stopIfTrue="1">
      <formula>"esterreur(reference)"</formula>
    </cfRule>
  </conditionalFormatting>
  <conditionalFormatting sqref="O330:P342">
    <cfRule type="expression" dxfId="392" priority="81" stopIfTrue="1">
      <formula>"esterreur(reference)"</formula>
    </cfRule>
  </conditionalFormatting>
  <conditionalFormatting sqref="O361:P361">
    <cfRule type="expression" dxfId="391" priority="79" stopIfTrue="1">
      <formula>"esterreur(reference)"</formula>
    </cfRule>
  </conditionalFormatting>
  <conditionalFormatting sqref="O363:P363">
    <cfRule type="expression" dxfId="390" priority="76" stopIfTrue="1">
      <formula>"esterreur(reference)"</formula>
    </cfRule>
  </conditionalFormatting>
  <conditionalFormatting sqref="O365:P365">
    <cfRule type="expression" dxfId="389" priority="47" stopIfTrue="1">
      <formula>"esterreur(reference)"</formula>
    </cfRule>
  </conditionalFormatting>
  <conditionalFormatting sqref="O371:P379 O380:Q382 O383:P384 O385:Q389 O392:Q405 O428:Q428">
    <cfRule type="expression" dxfId="388" priority="163" stopIfTrue="1">
      <formula>"esterreur(reference)"</formula>
    </cfRule>
  </conditionalFormatting>
  <conditionalFormatting sqref="O406:P425">
    <cfRule type="expression" dxfId="387" priority="70" stopIfTrue="1">
      <formula>"esterreur(reference)"</formula>
    </cfRule>
  </conditionalFormatting>
  <conditionalFormatting sqref="O427:P427">
    <cfRule type="expression" dxfId="386" priority="67" stopIfTrue="1">
      <formula>"esterreur(reference)"</formula>
    </cfRule>
  </conditionalFormatting>
  <conditionalFormatting sqref="O429:P429">
    <cfRule type="expression" dxfId="385" priority="50" stopIfTrue="1">
      <formula>"esterreur(reference)"</formula>
    </cfRule>
  </conditionalFormatting>
  <conditionalFormatting sqref="O464:P464">
    <cfRule type="expression" dxfId="384" priority="62" stopIfTrue="1">
      <formula>"esterreur(reference)"</formula>
    </cfRule>
  </conditionalFormatting>
  <conditionalFormatting sqref="O482:P482">
    <cfRule type="expression" dxfId="383" priority="59" stopIfTrue="1">
      <formula>"esterreur(reference)"</formula>
    </cfRule>
  </conditionalFormatting>
  <conditionalFormatting sqref="O484:P484">
    <cfRule type="expression" dxfId="382" priority="56" stopIfTrue="1">
      <formula>"esterreur(reference)"</formula>
    </cfRule>
  </conditionalFormatting>
  <conditionalFormatting sqref="O486:P486">
    <cfRule type="expression" dxfId="381" priority="53" stopIfTrue="1">
      <formula>"esterreur(reference)"</formula>
    </cfRule>
  </conditionalFormatting>
  <conditionalFormatting sqref="O53:Q53 O55:Q71">
    <cfRule type="expression" dxfId="380" priority="175" stopIfTrue="1">
      <formula>"esterreur(reference)"</formula>
    </cfRule>
  </conditionalFormatting>
  <conditionalFormatting sqref="O180:Q181">
    <cfRule type="expression" dxfId="379" priority="147" stopIfTrue="1">
      <formula>"esterreur(reference)"</formula>
    </cfRule>
  </conditionalFormatting>
  <conditionalFormatting sqref="O436:Q436">
    <cfRule type="expression" dxfId="378" priority="158" stopIfTrue="1">
      <formula>"esterreur(reference)"</formula>
    </cfRule>
  </conditionalFormatting>
  <conditionalFormatting sqref="O447:Q447 O450:Q463 O465:Q481">
    <cfRule type="expression" dxfId="377" priority="134" stopIfTrue="1">
      <formula>"esterreur(reference)"</formula>
    </cfRule>
  </conditionalFormatting>
  <conditionalFormatting sqref="O483:Q483 O485:Q485">
    <cfRule type="expression" dxfId="376" priority="133" stopIfTrue="1">
      <formula>"esterreur(reference)"</formula>
    </cfRule>
  </conditionalFormatting>
  <conditionalFormatting sqref="P5:Q5">
    <cfRule type="expression" dxfId="375" priority="180" stopIfTrue="1">
      <formula>"esterreur(reference)"</formula>
    </cfRule>
  </conditionalFormatting>
  <conditionalFormatting sqref="P315:Q315 P317:Q318 O328:Q329 O343:Q360 O364:Q364">
    <cfRule type="expression" dxfId="374" priority="166" stopIfTrue="1">
      <formula>"esterreur(reference)"</formula>
    </cfRule>
  </conditionalFormatting>
  <conditionalFormatting sqref="P321:Q321">
    <cfRule type="expression" dxfId="373" priority="168" stopIfTrue="1">
      <formula>"esterreur(reference)"</formula>
    </cfRule>
  </conditionalFormatting>
  <conditionalFormatting sqref="P437:Q437 P439:Q440">
    <cfRule type="expression" dxfId="372" priority="138" stopIfTrue="1">
      <formula>"esterreur(reference)"</formula>
    </cfRule>
  </conditionalFormatting>
  <conditionalFormatting sqref="P443:Q443">
    <cfRule type="expression" dxfId="371" priority="139" stopIfTrue="1">
      <formula>"esterreur(reference)"</formula>
    </cfRule>
  </conditionalFormatting>
  <conditionalFormatting sqref="Q6:Q14 O13:O14 O18:O24 O25:Q26 O27 O28:Q30 O31:P36 O37 O38:P52 O83:P83 O84:Q84">
    <cfRule type="expression" dxfId="370" priority="178" stopIfTrue="1">
      <formula>"esterreur(reference)"</formula>
    </cfRule>
  </conditionalFormatting>
  <conditionalFormatting sqref="Q75:Q82">
    <cfRule type="expression" dxfId="369" priority="179" stopIfTrue="1">
      <formula>"esterreur(reference)"</formula>
    </cfRule>
  </conditionalFormatting>
  <conditionalFormatting sqref="Q157:Q163">
    <cfRule type="expression" dxfId="368" priority="174" stopIfTrue="1">
      <formula>"esterreur(reference)"</formula>
    </cfRule>
  </conditionalFormatting>
  <conditionalFormatting sqref="Q230:Q236">
    <cfRule type="expression" dxfId="367" priority="151" stopIfTrue="1">
      <formula>"esterreur(reference)"</formula>
    </cfRule>
  </conditionalFormatting>
  <conditionalFormatting sqref="Q259">
    <cfRule type="expression" dxfId="366" priority="129" stopIfTrue="1">
      <formula>"esterreur(reference)"</formula>
    </cfRule>
  </conditionalFormatting>
  <conditionalFormatting sqref="Q272:Q283">
    <cfRule type="expression" dxfId="365" priority="172" stopIfTrue="1">
      <formula>"esterreur(reference)"</formula>
    </cfRule>
  </conditionalFormatting>
  <conditionalFormatting sqref="Q285:Q302">
    <cfRule type="expression" dxfId="364" priority="173" stopIfTrue="1">
      <formula>"esterreur(reference)"</formula>
    </cfRule>
  </conditionalFormatting>
  <conditionalFormatting sqref="Q324">
    <cfRule type="expression" dxfId="363" priority="131" stopIfTrue="1">
      <formula>"esterreur(reference)"</formula>
    </cfRule>
  </conditionalFormatting>
  <conditionalFormatting sqref="Q330:Q341">
    <cfRule type="expression" dxfId="362" priority="169" stopIfTrue="1">
      <formula>"esterreur(reference)"</formula>
    </cfRule>
  </conditionalFormatting>
  <conditionalFormatting sqref="Q422:Q424">
    <cfRule type="expression" dxfId="361" priority="164" stopIfTrue="1">
      <formula>"esterreur(reference)"</formula>
    </cfRule>
  </conditionalFormatting>
  <conditionalFormatting sqref="R388">
    <cfRule type="expression" dxfId="360" priority="205" stopIfTrue="1">
      <formula>"esterreur(reference)"</formula>
    </cfRule>
  </conditionalFormatting>
  <conditionalFormatting sqref="S260">
    <cfRule type="expression" dxfId="359" priority="347" stopIfTrue="1">
      <formula>"esterreur(reference)"</formula>
    </cfRule>
  </conditionalFormatting>
  <conditionalFormatting sqref="AG496:AI505 AH507:AI519 AH521:AI538 AH540:AI547 AH548:AH549 AH550:AI552 AH554:AI554 AH578:AI584">
    <cfRule type="cellIs" dxfId="358" priority="206" operator="greaterThan">
      <formula>0</formula>
    </cfRule>
  </conditionalFormatting>
  <conditionalFormatting sqref="AH556:AI563 AH567:AI567">
    <cfRule type="cellIs" dxfId="357" priority="207" operator="lessThan">
      <formula>0</formula>
    </cfRule>
  </conditionalFormatting>
  <conditionalFormatting sqref="AH564:AI566">
    <cfRule type="cellIs" dxfId="356" priority="531" operator="greaterThan">
      <formula>0</formula>
    </cfRule>
  </conditionalFormatting>
  <conditionalFormatting sqref="AO496:AO505">
    <cfRule type="cellIs" dxfId="355" priority="348" operator="greaterThan">
      <formula>0</formula>
    </cfRule>
  </conditionalFormatting>
  <printOptions horizontalCentered="1"/>
  <pageMargins left="0.25" right="0.25" top="0.75" bottom="0.75" header="0.3" footer="0.3"/>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abSelected="1" topLeftCell="B142" zoomScale="80" zoomScaleNormal="80" workbookViewId="0">
      <selection activeCell="V182" sqref="V182"/>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1" max="21" width="12.59765625" bestFit="1"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Juin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244" t="s">
        <v>339</v>
      </c>
      <c r="E3" s="1245"/>
      <c r="F3" s="1246"/>
      <c r="G3" s="1249"/>
      <c r="H3" s="1245"/>
      <c r="I3" s="1246"/>
      <c r="J3" s="1249" t="s">
        <v>340</v>
      </c>
      <c r="K3" s="1245"/>
      <c r="L3" s="1246"/>
      <c r="M3" s="1249" t="s">
        <v>668</v>
      </c>
      <c r="N3" s="1246"/>
      <c r="O3" s="1244" t="s">
        <v>341</v>
      </c>
      <c r="P3" s="1245"/>
      <c r="Q3" s="1246"/>
      <c r="R3" s="1247" t="s">
        <v>670</v>
      </c>
      <c r="S3" s="124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49"/>
      <c r="L5" s="286">
        <f>-SUMIFS(BV_Data_An_Cour!$AN:$AN,BV_Data_An_Cour!$AS:$AS,"Oui",BV_Data_An_Cour!$AP:$AP,$B5)</f>
        <v>72757497.250000015</v>
      </c>
      <c r="M5" s="242"/>
      <c r="N5" s="950"/>
      <c r="O5" s="238"/>
      <c r="P5" s="949"/>
      <c r="Q5" s="286">
        <f>-SUMIFS(BV_Data_An_Prec!$AN:$AN,BV_Data_An_Prec!$AS:$AS,"Oui",BV_Data_An_Prec!$AP:$AP,$B5)</f>
        <v>84683821.710000008</v>
      </c>
      <c r="R5" s="242"/>
      <c r="S5" s="962"/>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3</v>
      </c>
      <c r="K6" s="281">
        <f t="shared" ref="K6:K12" si="3">IF(J6=0,0,L6/J6)</f>
        <v>3529.1700000000033</v>
      </c>
      <c r="L6" s="266">
        <f>-SUMIFS(BV_Data_An_Cour!$AN:$AN,BV_Data_An_Cour!$AP:$AP,$B6,BV_Data_An_Cour!$AQ:$AQ,$C6,BV_Data_An_Cour!$AR:$AR,L$2)</f>
        <v>10587.510000000009</v>
      </c>
      <c r="M6" s="245">
        <f t="shared" ref="M6:M12" si="4">J6-D6</f>
        <v>3</v>
      </c>
      <c r="N6" s="246">
        <f t="shared" ref="N6:N12" si="5">L6-F6</f>
        <v>10587.510000000009</v>
      </c>
      <c r="O6" s="245">
        <f>SUMIFS(BV_Data_An_Prec!$AX:$AX,BV_Data_An_Prec!$AP:$AP,$B6,BV_Data_An_Prec!$AQ:$AQ,$C6,BV_Data_An_Prec!$AY:$AY,O$2)</f>
        <v>5</v>
      </c>
      <c r="P6" s="281">
        <f t="shared" ref="P6:P12" si="6">IF(O6=0,0,Q6/O6)</f>
        <v>4862.1300000000047</v>
      </c>
      <c r="Q6" s="266">
        <f>-SUMIFS(BV_Data_An_Prec!$AN:$AN,BV_Data_An_Prec!$AP:$AP,$B6,BV_Data_An_Prec!$AQ:$AQ,$C6,BV_Data_An_Prec!$AR:$AR,Q$2)</f>
        <v>24310.650000000023</v>
      </c>
      <c r="R6" s="245">
        <f t="shared" ref="R6:R12" si="7">J6-O6</f>
        <v>-2</v>
      </c>
      <c r="S6" s="266">
        <f t="shared" ref="S6:S12" si="8">L6-Q6</f>
        <v>-13723.140000000014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182</v>
      </c>
      <c r="K7" s="281">
        <f t="shared" si="3"/>
        <v>2564.8375274725104</v>
      </c>
      <c r="L7" s="266">
        <f>-SUMIFS(BV_Data_An_Cour!$AN:$AN,BV_Data_An_Cour!$AP:$AP,$B7,BV_Data_An_Cour!$AQ:$AQ,$C7,BV_Data_An_Cour!$AR:$AR,L$2)</f>
        <v>466800.42999999691</v>
      </c>
      <c r="M7" s="245">
        <f t="shared" si="4"/>
        <v>182</v>
      </c>
      <c r="N7" s="246">
        <f t="shared" si="5"/>
        <v>466800.42999999691</v>
      </c>
      <c r="O7" s="245">
        <f>SUMIFS(BV_Data_An_Prec!$AX:$AX,BV_Data_An_Prec!$AP:$AP,$B7,BV_Data_An_Prec!$AQ:$AQ,$C7,BV_Data_An_Prec!$AY:$AY,O$2)</f>
        <v>263</v>
      </c>
      <c r="P7" s="281">
        <f t="shared" si="6"/>
        <v>3174.5612167300419</v>
      </c>
      <c r="Q7" s="266">
        <f>-SUMIFS(BV_Data_An_Prec!$AN:$AN,BV_Data_An_Prec!$AP:$AP,$B7,BV_Data_An_Prec!$AQ:$AQ,$C7,BV_Data_An_Prec!$AR:$AR,Q$2)</f>
        <v>834909.60000000102</v>
      </c>
      <c r="R7" s="245">
        <f t="shared" si="7"/>
        <v>-81</v>
      </c>
      <c r="S7" s="266">
        <f t="shared" si="8"/>
        <v>-368109.17000000412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3133</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64</v>
      </c>
      <c r="K9" s="281">
        <f t="shared" si="3"/>
        <v>1304.1039062499949</v>
      </c>
      <c r="L9" s="266">
        <f>-SUMIFS(BV_Data_An_Cour!$AN:$AN,BV_Data_An_Cour!$AP:$AP,$B9,BV_Data_An_Cour!$AQ:$AQ,$C9,BV_Data_An_Cour!$AR:$AR,L$2)</f>
        <v>83462.649999999674</v>
      </c>
      <c r="M9" s="245">
        <f t="shared" si="4"/>
        <v>64</v>
      </c>
      <c r="N9" s="246">
        <f t="shared" si="5"/>
        <v>83462.649999999674</v>
      </c>
      <c r="O9" s="245">
        <f>SUMIFS(BV_Data_An_Prec!$AX:$AX,BV_Data_An_Prec!$AP:$AP,$B9,BV_Data_An_Prec!$AQ:$AQ,$C9,BV_Data_An_Prec!$AY:$AY,O$2)</f>
        <v>102</v>
      </c>
      <c r="P9" s="281">
        <f t="shared" si="6"/>
        <v>1260.4129411764752</v>
      </c>
      <c r="Q9" s="266">
        <f>-SUMIFS(BV_Data_An_Prec!$AN:$AN,BV_Data_An_Prec!$AP:$AP,$B9,BV_Data_An_Prec!$AQ:$AQ,$C9,BV_Data_An_Prec!$AR:$AR,Q$2)</f>
        <v>128562.12000000046</v>
      </c>
      <c r="R9" s="245">
        <f t="shared" si="7"/>
        <v>-38</v>
      </c>
      <c r="S9" s="266">
        <f t="shared" si="8"/>
        <v>-45099.470000000787</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249</v>
      </c>
      <c r="K13" s="355">
        <f>IF(J13&lt;=0,0,L13/J13)</f>
        <v>2252.412008032115</v>
      </c>
      <c r="L13" s="356">
        <f>+SUM(L6:L12)</f>
        <v>560850.58999999659</v>
      </c>
      <c r="M13" s="252">
        <f>+SUM(M6:M12)</f>
        <v>249</v>
      </c>
      <c r="N13" s="251">
        <f t="shared" ref="N13" si="10">+SUM(N6:N12)</f>
        <v>560850.58999999659</v>
      </c>
      <c r="O13" s="252">
        <f>+SUM(O6:O12)</f>
        <v>370</v>
      </c>
      <c r="P13" s="355">
        <f>IF(O13&lt;=0,0,Q13/O13)</f>
        <v>2669.682081081085</v>
      </c>
      <c r="Q13" s="356">
        <f>+SUM(Q6:Q12)</f>
        <v>987782.37000000151</v>
      </c>
      <c r="R13" s="252">
        <f t="shared" ref="R13" si="11">+SUM(R6:R12)</f>
        <v>-121</v>
      </c>
      <c r="S13" s="356">
        <f>+SUM(S6:S12)</f>
        <v>-426931.78000000492</v>
      </c>
      <c r="T13" s="38"/>
      <c r="U13" s="338">
        <f>1-(J13/O13)</f>
        <v>0.32702702702702702</v>
      </c>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1">
        <f>IF(F13=0,0,N13/F13)</f>
        <v>0</v>
      </c>
      <c r="O14" s="260"/>
      <c r="P14" s="305"/>
      <c r="Q14" s="343"/>
      <c r="R14" s="676">
        <f>R13/O13</f>
        <v>-0.32702702702702702</v>
      </c>
      <c r="S14" s="255">
        <f>IF(Q13=0,0,(S13/Q13))</f>
        <v>-0.43221239107558101</v>
      </c>
      <c r="T14" s="38"/>
      <c r="U14" s="338">
        <v>0.13469999999999999</v>
      </c>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846</v>
      </c>
      <c r="K17" s="281">
        <f>IF(J17=0,0,L17/J17)</f>
        <v>545.24464539006954</v>
      </c>
      <c r="L17" s="266">
        <f>-SUMIFS(BV_Data_An_Cour!$AN:$AN,BV_Data_An_Cour!$AP:$AP,$B17,BV_Data_An_Cour!$AQ:$AQ,$C17,BV_Data_An_Cour!$AR:$AR,L$2)</f>
        <v>461276.96999999881</v>
      </c>
      <c r="M17" s="257">
        <f>J17-D17</f>
        <v>846</v>
      </c>
      <c r="N17" s="246">
        <f>L17-F17</f>
        <v>461276.96999999881</v>
      </c>
      <c r="O17" s="257">
        <f>SUMIFS(BV_Data_An_Prec!$AX:$AX,BV_Data_An_Prec!$AP:$AP,$B17,BV_Data_An_Prec!$AQ:$AQ,$C17,BV_Data_An_Prec!$AY:$AY,O$2)</f>
        <v>1023</v>
      </c>
      <c r="P17" s="281">
        <f>IF(O17=0,0,Q17/O17)</f>
        <v>618.9428739002883</v>
      </c>
      <c r="Q17" s="266">
        <f>-SUMIFS(BV_Data_An_Prec!$AN:$AN,BV_Data_An_Prec!$AP:$AP,$B17,BV_Data_An_Prec!$AQ:$AQ,$C17,BV_Data_An_Prec!$AR:$AR,Q$2)</f>
        <v>633178.55999999493</v>
      </c>
      <c r="R17" s="245">
        <f>J17-O17</f>
        <v>-177</v>
      </c>
      <c r="S17" s="266">
        <f>L17-Q17</f>
        <v>-171901.58999999613</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44.675863453815268</v>
      </c>
      <c r="L21" s="266">
        <f>-SUMIFS(BV_Data_An_Cour!$AN:$AN,BV_Data_An_Cour!$AP:$AP,$B21,BV_Data_An_Cour!$AQ:$AQ,$C21,BV_Data_An_Cour!$AR:$AR,L$2)</f>
        <v>11124.29</v>
      </c>
      <c r="M21" s="245"/>
      <c r="N21" s="246">
        <f>L21-F21</f>
        <v>11124.29</v>
      </c>
      <c r="O21" s="245"/>
      <c r="P21" s="281">
        <f>IF(O13=0,0,Q21/(O13+O15))</f>
        <v>9.6680270270270281</v>
      </c>
      <c r="Q21" s="266">
        <f>-SUMIFS(BV_Data_An_Prec!$AN:$AN,BV_Data_An_Prec!$AP:$AP,$B21,BV_Data_An_Prec!$AQ:$AQ,$C21,BV_Data_An_Prec!$AR:$AR,Q$2)</f>
        <v>3577.17</v>
      </c>
      <c r="R21" s="267">
        <f>P21-K21</f>
        <v>-35.007836426788238</v>
      </c>
      <c r="S21" s="266">
        <f t="shared" ref="S21:S23" si="12">L21-Q21</f>
        <v>7547.1200000000008</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886.69297188755024</v>
      </c>
      <c r="L22" s="266">
        <f>-SUMIFS(BV_Data_An_Cour!$AN:$AN,BV_Data_An_Cour!$AP:$AP,$B22,BV_Data_An_Cour!$AQ:$AQ,$C22,BV_Data_An_Cour!$AR:$AR,L$2)</f>
        <v>220786.55000000002</v>
      </c>
      <c r="M22" s="245"/>
      <c r="N22" s="246">
        <f>L22-F22</f>
        <v>220786.55000000002</v>
      </c>
      <c r="O22" s="245"/>
      <c r="P22" s="281">
        <f>IF(O13=0,0,Q22/(O13+O15))</f>
        <v>682.86521621621625</v>
      </c>
      <c r="Q22" s="266">
        <f>-SUMIFS(BV_Data_An_Prec!$AN:$AN,BV_Data_An_Prec!$AP:$AP,$B22,BV_Data_An_Prec!$AQ:$AQ,$C22,BV_Data_An_Prec!$AR:$AR,Q$2)</f>
        <v>252660.13</v>
      </c>
      <c r="R22" s="267">
        <f t="shared" ref="R22:R23" si="13">P22-K22</f>
        <v>-203.82775567133399</v>
      </c>
      <c r="S22" s="266">
        <f t="shared" si="12"/>
        <v>-31873.579999999987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115.40819277108433</v>
      </c>
      <c r="L23" s="266">
        <f>-SUMIFS(BV_Data_An_Cour!$AN:$AN,BV_Data_An_Cour!$AP:$AP,$B23,BV_Data_An_Cour!$AQ:$AQ,$C23,BV_Data_An_Cour!$AR:$AR,L$2)</f>
        <v>28736.639999999999</v>
      </c>
      <c r="M23" s="257"/>
      <c r="N23" s="246">
        <f>L23-F23</f>
        <v>28736.639999999999</v>
      </c>
      <c r="O23" s="245"/>
      <c r="P23" s="281">
        <f>IF(O13=0,0,Q23/(O13+O15))</f>
        <v>36.661351351351342</v>
      </c>
      <c r="Q23" s="266">
        <f>-SUMIFS(BV_Data_An_Prec!$AN:$AN,BV_Data_An_Prec!$AP:$AP,$B23,BV_Data_An_Prec!$AQ:$AQ,$C23,BV_Data_An_Prec!$AR:$AR,Q$2)</f>
        <v>13564.699999999997</v>
      </c>
      <c r="R23" s="267">
        <f t="shared" si="13"/>
        <v>-78.746841419732988</v>
      </c>
      <c r="S23" s="266">
        <f t="shared" si="12"/>
        <v>15171.940000000002</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249</v>
      </c>
      <c r="K24" s="355">
        <f>IF(J24&lt;=0,0,L24/J24)</f>
        <v>1046.7770281124499</v>
      </c>
      <c r="L24" s="356">
        <f>L21+L22+L23</f>
        <v>260647.48000000004</v>
      </c>
      <c r="M24" s="265">
        <f>J24-D24</f>
        <v>249</v>
      </c>
      <c r="N24" s="251">
        <f>L24-F24</f>
        <v>260647.48000000004</v>
      </c>
      <c r="O24" s="252">
        <f>+O15+O13</f>
        <v>370</v>
      </c>
      <c r="P24" s="355">
        <f>IF(O24&lt;=0,0,Q24/O24)</f>
        <v>729.19459459459461</v>
      </c>
      <c r="Q24" s="356">
        <f>Q21+Q22+Q23</f>
        <v>269802</v>
      </c>
      <c r="R24" s="337">
        <f>P24-K24</f>
        <v>-317.58243351785529</v>
      </c>
      <c r="S24" s="356">
        <f>L24-Q24</f>
        <v>-9154.5199999999604</v>
      </c>
      <c r="T24" s="38"/>
      <c r="U24" s="1051">
        <f>L24-L32</f>
        <v>176963.32000000004</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-3.3930512005099889E-2</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1095</v>
      </c>
      <c r="K27" s="269">
        <f>IF(J27&lt;=0,0,L27/J27)</f>
        <v>1171.4840547945164</v>
      </c>
      <c r="L27" s="271">
        <f>L13+L17+L24+L19+L15</f>
        <v>1282775.0399999954</v>
      </c>
      <c r="M27" s="272">
        <f>J27-D27</f>
        <v>1095</v>
      </c>
      <c r="N27" s="271">
        <f>L27-F27</f>
        <v>1282775.0399999954</v>
      </c>
      <c r="O27" s="272">
        <f>+O13+O15+O17</f>
        <v>1393</v>
      </c>
      <c r="P27" s="269">
        <f>IF(O27&lt;=0,0,Q27/O27)</f>
        <v>1357.3316080401985</v>
      </c>
      <c r="Q27" s="271">
        <f>Q13+Q17+Q24+Q19+Q15</f>
        <v>1890762.9299999964</v>
      </c>
      <c r="R27" s="272">
        <f>J27-O27</f>
        <v>-298</v>
      </c>
      <c r="S27" s="271">
        <f>L27-Q27</f>
        <v>-607987.89000000106</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5"/>
      <c r="L28" s="960"/>
      <c r="M28" s="276"/>
      <c r="N28" s="277"/>
      <c r="O28" s="273"/>
      <c r="P28" s="945"/>
      <c r="Q28" s="960">
        <f>+Q27/K27</f>
        <v>1613.9894711000952</v>
      </c>
      <c r="R28" s="276">
        <f>R27/O27</f>
        <v>-0.21392677674084709</v>
      </c>
      <c r="S28" s="326">
        <f>IF(Q27=0,0,S27/Q27)</f>
        <v>-0.32155691247871154</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0.22513755523821413</v>
      </c>
      <c r="K31" s="281">
        <f>IF(L31=0,0,L31/J$24)</f>
        <v>924.17389558232924</v>
      </c>
      <c r="L31" s="266">
        <f>SUMIFS(BV_Data_An_Cour!$AN:$AN,BV_Data_An_Cour!$AP:$AP,$B31,BV_Data_An_Cour!$AQ:$AQ,$C31,BV_Data_An_Cour!$AR:$AR,L$2)</f>
        <v>230119.3</v>
      </c>
      <c r="M31" s="243"/>
      <c r="N31" s="266">
        <f t="shared" ref="N31:N53" si="15">L31-F31</f>
        <v>230119.3</v>
      </c>
      <c r="O31" s="282">
        <f>Q31/(Q15+Q13+Q17)</f>
        <v>0.20746799245802966</v>
      </c>
      <c r="P31" s="281">
        <f t="shared" ref="P31:P40" si="16">IF(Q31=0,0,Q31/O$24)</f>
        <v>908.91218918918923</v>
      </c>
      <c r="Q31" s="266">
        <f>SUMIFS(BV_Data_An_Prec!$AN:$AN,BV_Data_An_Prec!$AP:$AP,$B31,BV_Data_An_Prec!$AQ:$AQ,$C31,BV_Data_An_Prec!$AR:$AR,Q$2)</f>
        <v>336297.51</v>
      </c>
      <c r="R31" s="243"/>
      <c r="S31" s="266">
        <f>L31-Q31</f>
        <v>-106178.21000000002</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0.32106260916084817</v>
      </c>
      <c r="K32" s="284">
        <f t="shared" ref="K32:K39" si="17">IF(L32=0,0,L32/J$24)</f>
        <v>336.08096385542171</v>
      </c>
      <c r="L32" s="266">
        <f>SUMIFS(BV_Data_An_Cour!$AN:$AN,BV_Data_An_Cour!$AP:$AP,$B32,BV_Data_An_Cour!$AQ:$AQ,$C32,BV_Data_An_Cour!$AR:$AR,L$2)</f>
        <v>83684.160000000003</v>
      </c>
      <c r="M32" s="238"/>
      <c r="N32" s="286">
        <f t="shared" si="15"/>
        <v>83684.160000000003</v>
      </c>
      <c r="O32" s="285">
        <f>Q32/Q24</f>
        <v>0.2802765731907102</v>
      </c>
      <c r="P32" s="284">
        <f t="shared" si="16"/>
        <v>204.37616216216213</v>
      </c>
      <c r="Q32" s="286">
        <f>SUMIFS(BV_Data_An_Prec!$AN:$AN,BV_Data_An_Prec!$AP:$AP,$B32,BV_Data_An_Prec!$AQ:$AQ,$C32,BV_Data_An_Prec!$AR:$AR,Q$2)</f>
        <v>75619.179999999993</v>
      </c>
      <c r="R32" s="238"/>
      <c r="S32" s="286">
        <f t="shared" ref="S32:S39" si="18">L32-Q32</f>
        <v>8064.9800000000105</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759.27983935742964</v>
      </c>
      <c r="L33" s="952">
        <f>SUMIFS(BV_Data_An_Cour!$AN:$AN,BV_Data_An_Cour!$AP:$AP,$B33,BV_Data_An_Cour!$AQ:$AQ,$C33,BV_Data_An_Cour!$AR:$AR,L$2)</f>
        <v>189060.68</v>
      </c>
      <c r="M33" s="243"/>
      <c r="N33" s="266">
        <f t="shared" si="15"/>
        <v>189060.68</v>
      </c>
      <c r="O33" s="243"/>
      <c r="P33" s="281">
        <f t="shared" si="16"/>
        <v>-21.94245945945946</v>
      </c>
      <c r="Q33" s="266">
        <f>SUMIFS(BV_Data_An_Prec!$AN:$AN,BV_Data_An_Prec!$AP:$AP,$B33,BV_Data_An_Prec!$AQ:$AQ,$C33,BV_Data_An_Prec!$AR:$AR,Q$2)</f>
        <v>-8118.71</v>
      </c>
      <c r="R33" s="243"/>
      <c r="S33" s="266">
        <f t="shared" si="18"/>
        <v>197179.38999999998</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31.347630522088355</v>
      </c>
      <c r="L34" s="266">
        <f>SUMIFS(BV_Data_An_Cour!$AN:$AN,BV_Data_An_Cour!$AP:$AP,$B34,BV_Data_An_Cour!$AQ:$AQ,$C34,BV_Data_An_Cour!$AR:$AR,L$2)</f>
        <v>7805.56</v>
      </c>
      <c r="M34" s="243"/>
      <c r="N34" s="266">
        <f t="shared" si="15"/>
        <v>7805.56</v>
      </c>
      <c r="O34" s="243"/>
      <c r="P34" s="281">
        <f t="shared" si="16"/>
        <v>5.5548108108108112</v>
      </c>
      <c r="Q34" s="266">
        <f>SUMIFS(BV_Data_An_Prec!$AN:$AN,BV_Data_An_Prec!$AP:$AP,$B34,BV_Data_An_Prec!$AQ:$AQ,$C34,BV_Data_An_Prec!$AR:$AR,Q$2)</f>
        <v>2055.2800000000002</v>
      </c>
      <c r="R34" s="243"/>
      <c r="S34" s="266">
        <f t="shared" si="18"/>
        <v>5750.2800000000007</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9.2555020080321277</v>
      </c>
      <c r="L35" s="266">
        <f>SUMIFS(BV_Data_An_Cour!$AN:$AN,BV_Data_An_Cour!$AP:$AP,$B35,BV_Data_An_Cour!$AQ:$AQ,$C35,BV_Data_An_Cour!$AR:$AR,L$2)</f>
        <v>2304.62</v>
      </c>
      <c r="M35" s="238"/>
      <c r="N35" s="286">
        <f t="shared" si="15"/>
        <v>2304.62</v>
      </c>
      <c r="O35" s="238"/>
      <c r="P35" s="284">
        <f t="shared" si="16"/>
        <v>0</v>
      </c>
      <c r="Q35" s="286">
        <f>SUMIFS(BV_Data_An_Prec!$AN:$AN,BV_Data_An_Prec!$AP:$AP,$B35,BV_Data_An_Prec!$AQ:$AQ,$C35,BV_Data_An_Prec!$AR:$AR,Q$2)</f>
        <v>0</v>
      </c>
      <c r="R35" s="238"/>
      <c r="S35" s="286">
        <f t="shared" si="18"/>
        <v>2304.62</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-403.60867469879526</v>
      </c>
      <c r="L36" s="952">
        <f>SUMIFS(BV_Data_An_Cour!$AN:$AN,BV_Data_An_Cour!$AP:$AP,$B36,BV_Data_An_Cour!$AQ:$AQ,$C36,BV_Data_An_Cour!$AR:$AR,L$2)</f>
        <v>-100498.56000000001</v>
      </c>
      <c r="M36" s="243"/>
      <c r="N36" s="266">
        <f t="shared" si="15"/>
        <v>-100498.56000000001</v>
      </c>
      <c r="O36" s="243"/>
      <c r="P36" s="281">
        <f t="shared" si="16"/>
        <v>-490.69151351351354</v>
      </c>
      <c r="Q36" s="266">
        <f>SUMIFS(BV_Data_An_Prec!$AN:$AN,BV_Data_An_Prec!$AP:$AP,$B36,BV_Data_An_Prec!$AQ:$AQ,$C36,BV_Data_An_Prec!$AR:$AR,Q$2)</f>
        <v>-181555.86000000002</v>
      </c>
      <c r="R36" s="243"/>
      <c r="S36" s="266">
        <f t="shared" si="18"/>
        <v>81057.3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1471.5843775100402</v>
      </c>
      <c r="L37" s="266">
        <f>SUMIFS(BV_Data_An_Cour!$AN:$AN,BV_Data_An_Cour!$AP:$AP,$B37,BV_Data_An_Cour!$AQ:$AQ,$C37,BV_Data_An_Cour!$AR:$AR,L$2)</f>
        <v>366424.51</v>
      </c>
      <c r="M37" s="243"/>
      <c r="N37" s="658">
        <f t="shared" si="15"/>
        <v>366424.51</v>
      </c>
      <c r="O37" s="243"/>
      <c r="P37" s="281">
        <f t="shared" si="16"/>
        <v>1692.9017297297298</v>
      </c>
      <c r="Q37" s="266">
        <f>SUMIFS(BV_Data_An_Prec!$AN:$AN,BV_Data_An_Prec!$AP:$AP,$B37,BV_Data_An_Prec!$AQ:$AQ,$C37,BV_Data_An_Prec!$AR:$AR,Q$2)</f>
        <v>626373.64</v>
      </c>
      <c r="R37" s="243"/>
      <c r="S37" s="266">
        <f t="shared" si="18"/>
        <v>-259949.13</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3134</v>
      </c>
      <c r="D38" s="287"/>
      <c r="E38" s="281" t="e">
        <f t="shared" si="14"/>
        <v>#DIV/0!</v>
      </c>
      <c r="F38" s="244" cm="1">
        <f t="array" ref="F38">+SUMPRODUCT(('Budget original'!$A$8:$A$501=$A38)*('Budget original'!$C$3:$AO$3=F$2),'Budget original'!$C$8:$AO$501)</f>
        <v>0</v>
      </c>
      <c r="G38" s="288"/>
      <c r="H38" s="281"/>
      <c r="I38" s="244"/>
      <c r="J38" s="243"/>
      <c r="K38" s="281">
        <f t="shared" si="17"/>
        <v>-5148.8698795180726</v>
      </c>
      <c r="L38" s="266">
        <f>SUMIFS(BV_Data_An_Cour!$AN:$AN,BV_Data_An_Cour!$AP:$AP,$B38,BV_Data_An_Cour!$AQ:$AQ,$C38,BV_Data_An_Cour!$AR:$AR,L$2)</f>
        <v>-1282068.6000000001</v>
      </c>
      <c r="M38" s="38"/>
      <c r="N38" s="266">
        <f t="shared" si="15"/>
        <v>-1282068.6000000001</v>
      </c>
      <c r="O38" s="243"/>
      <c r="P38" s="281">
        <f t="shared" si="16"/>
        <v>-4844.4369459459458</v>
      </c>
      <c r="Q38" s="266">
        <f>SUMIFS(BV_Data_An_Prec!$AN:$AN,BV_Data_An_Prec!$AP:$AP,$B38,BV_Data_An_Prec!$AQ:$AQ,$C38,BV_Data_An_Prec!$AR:$AR,Q$2)</f>
        <v>-1792441.67</v>
      </c>
      <c r="R38" s="243"/>
      <c r="S38" s="266">
        <f t="shared" si="18"/>
        <v>510373.06999999983</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3135</v>
      </c>
      <c r="D39" s="287"/>
      <c r="E39" s="281" t="e">
        <f t="shared" si="14"/>
        <v>#DIV/0!</v>
      </c>
      <c r="F39" s="244" cm="1">
        <f t="array" ref="F39">+SUMPRODUCT(('Budget original'!$A$8:$A$501=$A39)*('Budget original'!$C$3:$AO$3=F$2),'Budget original'!$C$8:$AO$501)</f>
        <v>0</v>
      </c>
      <c r="G39" s="288"/>
      <c r="H39" s="281"/>
      <c r="I39" s="244"/>
      <c r="J39" s="243"/>
      <c r="K39" s="281">
        <f t="shared" si="17"/>
        <v>-221.80176706827308</v>
      </c>
      <c r="L39" s="266">
        <f>SUMIFS(BV_Data_An_Cour!$AN:$AN,BV_Data_An_Cour!$AP:$AP,$B39,BV_Data_An_Cour!$AQ:$AQ,$C39,BV_Data_An_Cour!$AR:$AR,L$2)</f>
        <v>-55228.639999999999</v>
      </c>
      <c r="M39" s="38"/>
      <c r="N39" s="266">
        <f t="shared" si="15"/>
        <v>-55228.639999999999</v>
      </c>
      <c r="O39" s="243"/>
      <c r="P39" s="281">
        <f t="shared" si="16"/>
        <v>0</v>
      </c>
      <c r="Q39" s="266">
        <f>SUMIFS(BV_Data_An_Prec!$AN:$AN,BV_Data_An_Prec!$AP:$AP,$B39,BV_Data_An_Prec!$AQ:$AQ,$C39,BV_Data_An_Prec!$AR:$AR,Q$2)</f>
        <v>0</v>
      </c>
      <c r="R39" s="243"/>
      <c r="S39" s="266">
        <f t="shared" si="18"/>
        <v>-55228.639999999999</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1">
        <f>SUMIFS(BV_Data_An_Cour!$AN:$AN,BV_Data_An_Cour!$AP:$AP,$B40,BV_Data_An_Cour!$AQ:$AQ,$C40,BV_Data_An_Cour!$AR:$AR,L$2)</f>
        <v>0</v>
      </c>
      <c r="M40" s="38"/>
      <c r="N40" s="266">
        <f t="shared" si="15"/>
        <v>0</v>
      </c>
      <c r="O40" s="243"/>
      <c r="P40" s="281">
        <f t="shared" si="16"/>
        <v>0</v>
      </c>
      <c r="Q40" s="961">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-0.43530389397037389</v>
      </c>
      <c r="L41" s="294">
        <f>SUM(L31:L40)</f>
        <v>-558396.97000000009</v>
      </c>
      <c r="M41" s="296"/>
      <c r="N41" s="294">
        <f t="shared" si="15"/>
        <v>-558396.97000000009</v>
      </c>
      <c r="O41" s="295" t="s">
        <v>115</v>
      </c>
      <c r="P41" s="293">
        <f>Q41/Q$27</f>
        <v>-0.49809027618285368</v>
      </c>
      <c r="Q41" s="294">
        <f>SUM(Q31:Q40)</f>
        <v>-941770.62999999989</v>
      </c>
      <c r="R41" s="297"/>
      <c r="S41" s="294">
        <f t="shared" si="20"/>
        <v>383373.6599999998</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59476.06</v>
      </c>
      <c r="M42" s="243"/>
      <c r="N42" s="266">
        <f t="shared" si="15"/>
        <v>59476.06</v>
      </c>
      <c r="O42" s="243"/>
      <c r="P42" s="38"/>
      <c r="Q42" s="281">
        <f>SUMIFS(BV_Data_An_Prec!$AN:$AN,BV_Data_An_Prec!$AP:$AP,$B42,BV_Data_An_Prec!$AQ:$AQ,$C42,BV_Data_An_Prec!$AR:$AR,Q$2)</f>
        <v>100449.03</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137663.75</v>
      </c>
      <c r="M43" s="243"/>
      <c r="N43" s="266">
        <f t="shared" si="15"/>
        <v>137663.75</v>
      </c>
      <c r="O43" s="243"/>
      <c r="P43" s="38"/>
      <c r="Q43" s="286">
        <f>SUMIFS(BV_Data_An_Prec!$AN:$AN,BV_Data_An_Prec!$AP:$AP,$B43,BV_Data_An_Prec!$AQ:$AQ,$C43,BV_Data_An_Prec!$AR:$AR,Q$2)</f>
        <v>144230.13</v>
      </c>
      <c r="R43" s="243"/>
      <c r="S43" s="266">
        <f t="shared" ref="S43:S53" si="21">L43-Q43</f>
        <v>-6566.3800000000047</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28730.63</v>
      </c>
      <c r="M44" s="233"/>
      <c r="N44" s="303">
        <f t="shared" si="15"/>
        <v>28730.63</v>
      </c>
      <c r="O44" s="233"/>
      <c r="P44" s="301"/>
      <c r="Q44" s="281">
        <f>SUMIFS(BV_Data_An_Prec!$AN:$AN,BV_Data_An_Prec!$AP:$AP,$B44,BV_Data_An_Prec!$AQ:$AQ,$C44,BV_Data_An_Prec!$AR:$AR,Q$2)</f>
        <v>17277.099999999999</v>
      </c>
      <c r="R44" s="233"/>
      <c r="S44" s="303">
        <f t="shared" si="21"/>
        <v>11453.530000000002</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47903.29</v>
      </c>
      <c r="M49" s="243"/>
      <c r="N49" s="266">
        <f t="shared" si="15"/>
        <v>47903.29</v>
      </c>
      <c r="O49" s="243"/>
      <c r="P49" s="38"/>
      <c r="Q49" s="286">
        <f>SUMIFS(BV_Data_An_Prec!$AN:$AN,BV_Data_An_Prec!$AP:$AP,$B49,BV_Data_An_Prec!$AQ:$AQ,$C49,BV_Data_An_Prec!$AR:$AR,Q$2)</f>
        <v>72489.7</v>
      </c>
      <c r="R49" s="243"/>
      <c r="S49" s="266">
        <f t="shared" si="21"/>
        <v>-24586.409999999996</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97711.17</v>
      </c>
      <c r="M50" s="233"/>
      <c r="N50" s="303">
        <f t="shared" si="15"/>
        <v>97711.17</v>
      </c>
      <c r="O50" s="233"/>
      <c r="P50" s="301"/>
      <c r="Q50" s="281">
        <f>SUMIFS(BV_Data_An_Prec!$AN:$AN,BV_Data_An_Prec!$AP:$AP,$B50,BV_Data_An_Prec!$AQ:$AQ,$C50,BV_Data_An_Prec!$AR:$AR,Q$2)</f>
        <v>117988.72</v>
      </c>
      <c r="R50" s="233"/>
      <c r="S50" s="303">
        <f t="shared" si="21"/>
        <v>-20277.550000000003</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25343.91</v>
      </c>
      <c r="M51" s="243"/>
      <c r="N51" s="266">
        <f t="shared" si="15"/>
        <v>25343.91</v>
      </c>
      <c r="O51" s="243"/>
      <c r="P51" s="38"/>
      <c r="Q51" s="281">
        <f>SUMIFS(BV_Data_An_Prec!$AN:$AN,BV_Data_An_Prec!$AP:$AP,$B51,BV_Data_An_Prec!$AQ:$AQ,$C51,BV_Data_An_Prec!$AR:$AR,Q$2)</f>
        <v>33032.29</v>
      </c>
      <c r="R51" s="243"/>
      <c r="S51" s="266">
        <f t="shared" si="21"/>
        <v>-7688.380000000001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14626.95</v>
      </c>
      <c r="M52" s="243"/>
      <c r="N52" s="266">
        <f t="shared" si="15"/>
        <v>14626.95</v>
      </c>
      <c r="O52" s="243"/>
      <c r="P52" s="38"/>
      <c r="Q52" s="281">
        <f>SUMIFS(BV_Data_An_Prec!$AN:$AN,BV_Data_An_Prec!$AP:$AP,$B52,BV_Data_An_Prec!$AQ:$AQ,$C52,BV_Data_An_Prec!$AR:$AR,Q$2)</f>
        <v>751.73</v>
      </c>
      <c r="R52" s="243"/>
      <c r="S52" s="266">
        <f t="shared" si="21"/>
        <v>13875.220000000001</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0.32075441692410966</v>
      </c>
      <c r="L54" s="294">
        <f>+SUM(L42:L53)</f>
        <v>411455.75999999995</v>
      </c>
      <c r="M54" s="296"/>
      <c r="N54" s="294">
        <f>+SUM(N42:N53)</f>
        <v>411455.75999999995</v>
      </c>
      <c r="O54" s="295" t="s">
        <v>115</v>
      </c>
      <c r="P54" s="293">
        <f>Q54/Q$27</f>
        <v>0.25715476662111253</v>
      </c>
      <c r="Q54" s="294">
        <f>+SUM(Q42:Q53)</f>
        <v>486218.7</v>
      </c>
      <c r="R54" s="297"/>
      <c r="S54" s="294">
        <f>+SUM(S42:S53)</f>
        <v>-33789.97</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72841.990000000005</v>
      </c>
      <c r="M57" s="238"/>
      <c r="N57" s="286">
        <f t="shared" si="22"/>
        <v>72841.990000000005</v>
      </c>
      <c r="O57" s="238"/>
      <c r="P57" s="304"/>
      <c r="Q57" s="286">
        <f>SUMIFS(BV_Data_An_Prec!$AN:$AN,BV_Data_An_Prec!$AP:$AP,$B57,BV_Data_An_Prec!$AQ:$AQ,$C57,BV_Data_An_Prec!$AR:$AR,Q$2)</f>
        <v>74292.91</v>
      </c>
      <c r="R57" s="238"/>
      <c r="S57" s="286">
        <f t="shared" si="23"/>
        <v>-1450.9199999999983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18177.32</v>
      </c>
      <c r="M58" s="243"/>
      <c r="N58" s="266">
        <f t="shared" si="22"/>
        <v>18177.32</v>
      </c>
      <c r="O58" s="243"/>
      <c r="P58" s="38"/>
      <c r="Q58" s="266">
        <f>SUMIFS(BV_Data_An_Prec!$AN:$AN,BV_Data_An_Prec!$AP:$AP,$B58,BV_Data_An_Prec!$AQ:$AQ,$C58,BV_Data_An_Prec!$AR:$AR,Q$2)</f>
        <v>24964.65</v>
      </c>
      <c r="R58" s="243"/>
      <c r="S58" s="266">
        <f t="shared" si="23"/>
        <v>-6787.3300000000017</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21934.16</v>
      </c>
      <c r="M59" s="243"/>
      <c r="N59" s="266">
        <f t="shared" si="22"/>
        <v>21934.16</v>
      </c>
      <c r="O59" s="243"/>
      <c r="P59" s="38"/>
      <c r="Q59" s="266">
        <f>SUMIFS(BV_Data_An_Prec!$AN:$AN,BV_Data_An_Prec!$AP:$AP,$B59,BV_Data_An_Prec!$AQ:$AQ,$C59,BV_Data_An_Prec!$AR:$AR,Q$2)</f>
        <v>26341.58</v>
      </c>
      <c r="R59" s="243"/>
      <c r="S59" s="266">
        <f t="shared" si="23"/>
        <v>-4407.4200000000019</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44931.06</v>
      </c>
      <c r="M60" s="238"/>
      <c r="N60" s="286">
        <f t="shared" si="22"/>
        <v>44931.06</v>
      </c>
      <c r="O60" s="238"/>
      <c r="P60" s="304"/>
      <c r="Q60" s="286">
        <f>SUMIFS(BV_Data_An_Prec!$AN:$AN,BV_Data_An_Prec!$AP:$AP,$B60,BV_Data_An_Prec!$AQ:$AQ,$C60,BV_Data_An_Prec!$AR:$AR,Q$2)</f>
        <v>40743.65</v>
      </c>
      <c r="R60" s="238"/>
      <c r="S60" s="286">
        <f t="shared" si="23"/>
        <v>4187.4099999999962</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3190.95</v>
      </c>
      <c r="M61" s="243"/>
      <c r="N61" s="266">
        <f t="shared" si="22"/>
        <v>3190.95</v>
      </c>
      <c r="O61" s="243"/>
      <c r="P61" s="38"/>
      <c r="Q61" s="266">
        <f>SUMIFS(BV_Data_An_Prec!$AN:$AN,BV_Data_An_Prec!$AP:$AP,$B61,BV_Data_An_Prec!$AQ:$AQ,$C61,BV_Data_An_Prec!$AR:$AR,Q$2)</f>
        <v>4016.64</v>
      </c>
      <c r="R61" s="243"/>
      <c r="S61" s="266">
        <f t="shared" si="23"/>
        <v>-825.69</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13255.92</v>
      </c>
      <c r="M63" s="243"/>
      <c r="N63" s="266">
        <f t="shared" si="22"/>
        <v>13255.92</v>
      </c>
      <c r="O63" s="243"/>
      <c r="P63" s="38"/>
      <c r="Q63" s="266">
        <f>SUMIFS(BV_Data_An_Prec!$AN:$AN,BV_Data_An_Prec!$AP:$AP,$B63,BV_Data_An_Prec!$AQ:$AQ,$C63,BV_Data_An_Prec!$AR:$AR,Q$2)</f>
        <v>14100.19</v>
      </c>
      <c r="R63" s="243"/>
      <c r="S63" s="266">
        <f t="shared" si="23"/>
        <v>-844.27000000000044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3487.02</v>
      </c>
      <c r="M64" s="243"/>
      <c r="N64" s="266">
        <f t="shared" si="22"/>
        <v>3487.02</v>
      </c>
      <c r="O64" s="243"/>
      <c r="P64" s="38"/>
      <c r="Q64" s="266">
        <f>SUMIFS(BV_Data_An_Prec!$AN:$AN,BV_Data_An_Prec!$AP:$AP,$B64,BV_Data_An_Prec!$AQ:$AQ,$C64,BV_Data_An_Prec!$AR:$AR,Q$2)</f>
        <v>6584.61</v>
      </c>
      <c r="R64" s="243"/>
      <c r="S64" s="266">
        <f t="shared" si="23"/>
        <v>-3097.5899999999997</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11849.48</v>
      </c>
      <c r="M65" s="243"/>
      <c r="N65" s="266">
        <f t="shared" si="22"/>
        <v>11849.48</v>
      </c>
      <c r="O65" s="243"/>
      <c r="P65" s="38"/>
      <c r="Q65" s="266">
        <f>SUMIFS(BV_Data_An_Prec!$AN:$AN,BV_Data_An_Prec!$AP:$AP,$B65,BV_Data_An_Prec!$AQ:$AQ,$C65,BV_Data_An_Prec!$AR:$AR,Q$2)</f>
        <v>4943.67</v>
      </c>
      <c r="R65" s="243"/>
      <c r="S65" s="266">
        <f t="shared" si="23"/>
        <v>6905.8099999999995</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19329.060000000001</v>
      </c>
      <c r="M66" s="243"/>
      <c r="N66" s="266">
        <f t="shared" si="22"/>
        <v>19329.060000000001</v>
      </c>
      <c r="O66" s="243"/>
      <c r="P66" s="38"/>
      <c r="Q66" s="266">
        <f>SUMIFS(BV_Data_An_Prec!$AN:$AN,BV_Data_An_Prec!$AP:$AP,$B66,BV_Data_An_Prec!$AQ:$AQ,$C66,BV_Data_An_Prec!$AR:$AR,Q$2)</f>
        <v>16401.97</v>
      </c>
      <c r="R66" s="243"/>
      <c r="S66" s="266">
        <f t="shared" si="23"/>
        <v>2927.09</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11699.21</v>
      </c>
      <c r="M67" s="243"/>
      <c r="N67" s="266">
        <f t="shared" si="22"/>
        <v>11699.21</v>
      </c>
      <c r="O67" s="243"/>
      <c r="P67" s="38"/>
      <c r="Q67" s="266">
        <f>SUMIFS(BV_Data_An_Prec!$AN:$AN,BV_Data_An_Prec!$AP:$AP,$B67,BV_Data_An_Prec!$AQ:$AQ,$C67,BV_Data_An_Prec!$AR:$AR,Q$2)</f>
        <v>4416.03</v>
      </c>
      <c r="R67" s="243"/>
      <c r="S67" s="266">
        <f t="shared" si="23"/>
        <v>7283.1799999999994</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8530.2800000000007</v>
      </c>
      <c r="M68" s="243"/>
      <c r="N68" s="658">
        <f t="shared" si="22"/>
        <v>8530.2800000000007</v>
      </c>
      <c r="O68" s="243"/>
      <c r="P68" s="38"/>
      <c r="Q68" s="266">
        <f>SUMIFS(BV_Data_An_Prec!$AN:$AN,BV_Data_An_Prec!$AP:$AP,$B68,BV_Data_An_Prec!$AQ:$AQ,$C68,BV_Data_An_Prec!$AR:$AR,Q$2)</f>
        <v>2201.13</v>
      </c>
      <c r="R68" s="243"/>
      <c r="S68" s="266">
        <f t="shared" si="23"/>
        <v>6329.1500000000005</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0.17869575167287385</v>
      </c>
      <c r="L72" s="294">
        <f>+SUM(L55:L71)</f>
        <v>229226.45</v>
      </c>
      <c r="M72" s="296"/>
      <c r="N72" s="294">
        <f>+SUM(N55:N71)</f>
        <v>229226.45</v>
      </c>
      <c r="O72" s="295" t="s">
        <v>115</v>
      </c>
      <c r="P72" s="293">
        <f>Q72/Q$27</f>
        <v>0.11582997874831429</v>
      </c>
      <c r="Q72" s="294">
        <f>+SUM(Q55:Q71)</f>
        <v>219007.03000000003</v>
      </c>
      <c r="R72" s="297"/>
      <c r="S72" s="294">
        <f>+SUM(S55:S71)</f>
        <v>10219.419999999993</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6.4146274626609642E-2</v>
      </c>
      <c r="L74" s="294">
        <f>L41+L54+L72</f>
        <v>82285.239999999874</v>
      </c>
      <c r="M74" s="296"/>
      <c r="N74" s="294">
        <f t="shared" ref="N74:N82" si="24">L74-F74</f>
        <v>82285.239999999874</v>
      </c>
      <c r="O74" s="295" t="s">
        <v>115</v>
      </c>
      <c r="P74" s="293">
        <f>Q74/Q$27</f>
        <v>-0.12510553081342687</v>
      </c>
      <c r="Q74" s="294">
        <f>Q41+Q54+Q72</f>
        <v>-236544.89999999985</v>
      </c>
      <c r="R74" s="297"/>
      <c r="S74" s="294">
        <f>L74-Q74</f>
        <v>318830.13999999972</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3141</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93472.23</v>
      </c>
      <c r="M75" s="243"/>
      <c r="N75" s="266">
        <f t="shared" si="24"/>
        <v>93472.23</v>
      </c>
      <c r="O75" s="243"/>
      <c r="P75" s="38"/>
      <c r="Q75" s="266">
        <f>-SUMIFS(BV_Data_An_Prec!$AN:$AN,BV_Data_An_Prec!$AP:$AP,$B75,BV_Data_An_Prec!$AQ:$AQ,$C75,BV_Data_An_Prec!$AR:$AR,Q$2)</f>
        <v>153188.49</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0"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0"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0"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0"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0"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0"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4"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0.95983935742971882</v>
      </c>
      <c r="K82" s="307">
        <f>+L82/J24</f>
        <v>670.92771084337346</v>
      </c>
      <c r="L82" s="266">
        <f>-SUMIFS(BV_Data_An_Cour!$AN:$AN,BV_Data_An_Cour!$AP:$AP,$B82,BV_Data_An_Cour!$AQ:$AQ,$C82,BV_Data_An_Cour!$AR:$AR,L$2)</f>
        <v>167061</v>
      </c>
      <c r="M82" s="243"/>
      <c r="N82" s="266">
        <f t="shared" si="24"/>
        <v>167061</v>
      </c>
      <c r="O82" s="744"/>
      <c r="P82" s="307"/>
      <c r="Q82" s="266">
        <f>-SUMIFS(BV_Data_An_Prec!$AN:$AN,BV_Data_An_Prec!$AP:$AP,$B82,BV_Data_An_Prec!$AQ:$AQ,$C82,BV_Data_An_Prec!$AR:$AR,Q$2)</f>
        <v>0</v>
      </c>
      <c r="R82" s="243"/>
      <c r="S82" s="266">
        <f t="shared" si="25"/>
        <v>167061</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260533.22999999998</v>
      </c>
      <c r="M83" s="296"/>
      <c r="N83" s="294">
        <f>+SUM(N75:N82)</f>
        <v>260533.22999999998</v>
      </c>
      <c r="O83" s="295"/>
      <c r="P83" s="293"/>
      <c r="Q83" s="294">
        <f>+SUM(Q75:Q82)</f>
        <v>153188.49</v>
      </c>
      <c r="R83" s="297"/>
      <c r="S83" s="294">
        <f>+SUM(S75:S82)</f>
        <v>167061</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3" t="s">
        <v>147</v>
      </c>
      <c r="D85" s="954"/>
      <c r="E85" s="955"/>
      <c r="F85" s="956">
        <f>F27-F74+F83</f>
        <v>0</v>
      </c>
      <c r="G85" s="957"/>
      <c r="H85" s="955"/>
      <c r="I85" s="956"/>
      <c r="J85" s="957"/>
      <c r="K85" s="955"/>
      <c r="L85" s="956">
        <f>L27-L74+L83</f>
        <v>1461023.0299999956</v>
      </c>
      <c r="M85" s="958"/>
      <c r="N85" s="956">
        <f>N27-N41-N54-N72+N83</f>
        <v>1461023.0299999956</v>
      </c>
      <c r="O85" s="957"/>
      <c r="P85" s="955"/>
      <c r="Q85" s="956">
        <f>Q27-Q74+Q83</f>
        <v>2280496.3199999966</v>
      </c>
      <c r="R85" s="959"/>
      <c r="S85" s="956">
        <f>L85-Q85</f>
        <v>-819473.29000000097</v>
      </c>
      <c r="T85" s="38"/>
      <c r="U85" s="38" t="e">
        <f>L85/V30</f>
        <v>#DIV/0!</v>
      </c>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Juin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44" t="s">
        <v>339</v>
      </c>
      <c r="E91" s="1245"/>
      <c r="F91" s="1246"/>
      <c r="G91" s="1249"/>
      <c r="H91" s="1245"/>
      <c r="I91" s="1246"/>
      <c r="J91" s="1249" t="s">
        <v>340</v>
      </c>
      <c r="K91" s="1245"/>
      <c r="L91" s="1246"/>
      <c r="M91" s="1249" t="s">
        <v>668</v>
      </c>
      <c r="N91" s="1246"/>
      <c r="O91" s="1244" t="s">
        <v>341</v>
      </c>
      <c r="P91" s="1245"/>
      <c r="Q91" s="1246"/>
      <c r="R91" s="1247" t="s">
        <v>670</v>
      </c>
      <c r="S91" s="124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49"/>
      <c r="E93" s="949"/>
      <c r="F93" s="240" cm="1">
        <f t="array" ref="F93">+SUMPRODUCT(('Budget original'!$A$8:$A$501=$A93)*('Budget original'!$C$3:$AO$3=F$2),'Budget original'!$C$8:$AO$501)</f>
        <v>0</v>
      </c>
      <c r="G93" s="257"/>
      <c r="H93" s="949"/>
      <c r="I93" s="240"/>
      <c r="J93" s="238"/>
      <c r="K93" s="284"/>
      <c r="L93" s="286">
        <f>-SUMIFS(BV_Data_An_Cour!$AN:$AN,BV_Data_An_Cour!$AS:$AS,"Oui",BV_Data_An_Cour!$AP:$AP,$B93)</f>
        <v>10324804.880000001</v>
      </c>
      <c r="M93" s="320"/>
      <c r="N93" s="321"/>
      <c r="O93" s="238"/>
      <c r="P93" s="284"/>
      <c r="Q93" s="286">
        <f>-SUMIFS(BV_Data_An_Prec!$AN:$AN,BV_Data_An_Prec!$AS:$AS,"Oui",BV_Data_An_Prec!$AP:$AP,$B93)</f>
        <v>14358457.67</v>
      </c>
      <c r="R93" s="963"/>
      <c r="S93" s="96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4">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124</v>
      </c>
      <c r="K95" s="281">
        <f t="shared" si="28"/>
        <v>1478.3357258064582</v>
      </c>
      <c r="L95" s="266">
        <f>-SUMIFS(BV_Data_An_Cour!$AN:$AN,BV_Data_An_Cour!$AP:$AP,$B95,BV_Data_An_Cour!$AQ:$AQ,$C95,BV_Data_An_Cour!$AR:$AR,$L2)</f>
        <v>183313.63000000082</v>
      </c>
      <c r="M95" s="245">
        <f>J95-D95</f>
        <v>124</v>
      </c>
      <c r="N95" s="246">
        <f>L95-F95</f>
        <v>183313.63000000082</v>
      </c>
      <c r="O95" s="245">
        <f>SUMIFS(BV_Data_An_Prec!$AX:$AX,BV_Data_An_Prec!$AP:$AP,$B95,BV_Data_An_Prec!$AQ:$AQ,$C95,BV_Data_An_Prec!$AY:$AY,O$2)</f>
        <v>41</v>
      </c>
      <c r="P95" s="281">
        <f t="shared" si="29"/>
        <v>-372.56853658536721</v>
      </c>
      <c r="Q95" s="266">
        <f>-SUMIFS(BV_Data_An_Prec!$AN:$AN,BV_Data_An_Prec!$AP:$AP,$B95,BV_Data_An_Prec!$AQ:$AQ,$C95,BV_Data_An_Prec!$AR:$AR,$L2)</f>
        <v>-15275.310000000056</v>
      </c>
      <c r="R95" s="245">
        <f>J95-O95</f>
        <v>83</v>
      </c>
      <c r="S95" s="266">
        <f t="shared" si="31"/>
        <v>198588.94000000088</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5">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6">
        <f t="shared" ref="K96" si="32">IF(J96=0,0,L96/J96)</f>
        <v>0</v>
      </c>
      <c r="L96" s="658">
        <f>-SUMIFS(BV_Data_An_Cour!$AN:$AN,BV_Data_An_Cour!$AP:$AP,$B96,BV_Data_An_Cour!$AQ:$AQ,$C96,BV_Data_An_Cour!$AR:$AR,$L2)</f>
        <v>0</v>
      </c>
      <c r="M96" s="736">
        <f>J96-D96</f>
        <v>0</v>
      </c>
      <c r="N96" s="967">
        <f>L96-F96</f>
        <v>0</v>
      </c>
      <c r="O96" s="245">
        <f>SUMIFS(BV_Data_An_Prec!$AX:$AX,BV_Data_An_Prec!$AP:$AP,$B96,BV_Data_An_Prec!$AQ:$AQ,$C96,BV_Data_An_Prec!$AY:$AY,O$2)</f>
        <v>0</v>
      </c>
      <c r="P96" s="966">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124</v>
      </c>
      <c r="K97" s="305">
        <f>IF(J97&lt;=0,0,L97/J97)</f>
        <v>1478.3357258064582</v>
      </c>
      <c r="L97" s="356">
        <f>+L94+L95+L96</f>
        <v>183313.63000000082</v>
      </c>
      <c r="M97" s="252">
        <f>J97-D97</f>
        <v>124</v>
      </c>
      <c r="N97" s="251">
        <f>L97-F97</f>
        <v>183313.63000000082</v>
      </c>
      <c r="O97" s="250">
        <f>+O94+O95+O96</f>
        <v>41</v>
      </c>
      <c r="P97" s="305">
        <f>IF(O97&lt;=0,0,Q97/O97)</f>
        <v>-372.56853658536721</v>
      </c>
      <c r="Q97" s="356">
        <f>+Q94+Q95+Q96</f>
        <v>-15275.310000000056</v>
      </c>
      <c r="R97" s="252">
        <f>R94+R95</f>
        <v>83</v>
      </c>
      <c r="S97" s="356">
        <f>S94+S95</f>
        <v>198588.94000000088</v>
      </c>
      <c r="T97" s="38"/>
      <c r="U97" s="338">
        <f>-(1-(J97/O97))</f>
        <v>2.024390243902439</v>
      </c>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68"/>
      <c r="N98" s="969"/>
      <c r="O98" s="260"/>
      <c r="P98" s="305"/>
      <c r="Q98" s="343"/>
      <c r="R98" s="676">
        <f>R97/O97</f>
        <v>2.024390243902439</v>
      </c>
      <c r="S98" s="255">
        <f>IF(Q97=0,0,(S97/Q97))</f>
        <v>-13.000648759337791</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0"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c r="K99" s="281">
        <f t="shared" ref="K99:K101" si="34">IF(J99=0,0,L99/J99)</f>
        <v>0</v>
      </c>
      <c r="L99" s="266">
        <f>-SUMIFS(BV_Data_An_Cour!$AN:$AN,BV_Data_An_Cour!$AP:$AP,$B99,BV_Data_An_Cour!$AQ:$AQ,$C99,BV_Data_An_Cour!$AR:$AR,$L2)</f>
        <v>0</v>
      </c>
      <c r="M99" s="245">
        <f>J99-D99</f>
        <v>0</v>
      </c>
      <c r="N99" s="246">
        <f>L99-F99</f>
        <v>0</v>
      </c>
      <c r="O99" s="245"/>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173</v>
      </c>
      <c r="K101" s="281">
        <f t="shared" si="34"/>
        <v>606.93479768786517</v>
      </c>
      <c r="L101" s="266">
        <f>-SUMIFS(BV_Data_An_Cour!$AN:$AN,BV_Data_An_Cour!$AP:$AP,$B101,BV_Data_An_Cour!$AQ:$AQ,$C101,BV_Data_An_Cour!$AR:$AR,L$2)</f>
        <v>104999.72000000067</v>
      </c>
      <c r="M101" s="245">
        <f>J101-D101</f>
        <v>173</v>
      </c>
      <c r="N101" s="246">
        <f>L101-F101</f>
        <v>104999.72000000067</v>
      </c>
      <c r="O101" s="245">
        <f>SUMIFS(BV_Data_An_Prec!$AX:$AX,BV_Data_An_Prec!$AP:$AP,$B101,BV_Data_An_Prec!$AQ:$AQ,$C101,BV_Data_An_Prec!$AY:$AY,O$2)</f>
        <v>350</v>
      </c>
      <c r="P101" s="281">
        <f t="shared" ref="P101" si="38">IF(O101=0,0,Q101/O101)</f>
        <v>950.03382857142287</v>
      </c>
      <c r="Q101" s="266">
        <f>-SUMIFS(BV_Data_An_Prec!$AN:$AN,BV_Data_An_Prec!$AP:$AP,$B101,BV_Data_An_Prec!$AQ:$AQ,$C101,BV_Data_An_Prec!$AR:$AR,Q$2)</f>
        <v>332511.83999999799</v>
      </c>
      <c r="R101" s="245">
        <f>J101-O101</f>
        <v>-177</v>
      </c>
      <c r="S101" s="266">
        <f t="shared" ref="S101" si="39">L101-Q101</f>
        <v>-227512.11999999732</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49"/>
      <c r="E102" s="949"/>
      <c r="F102" s="240"/>
      <c r="G102" s="257"/>
      <c r="H102" s="949"/>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366.61685483870968</v>
      </c>
      <c r="L103" s="266">
        <f>-SUMIFS(BV_Data_An_Cour!$AN:$AN,BV_Data_An_Cour!$AP:$AP,$B103,BV_Data_An_Cour!$AQ:$AQ,$C103,BV_Data_An_Cour!$AR:$AR,$L2)</f>
        <v>45460.49</v>
      </c>
      <c r="M103" s="245"/>
      <c r="N103" s="246">
        <f>L103-F103</f>
        <v>45460.49</v>
      </c>
      <c r="O103" s="245"/>
      <c r="P103" s="281">
        <f>IF(O97=0,0,Q103/O97)</f>
        <v>280.50902439024389</v>
      </c>
      <c r="Q103" s="266">
        <f>-SUMIFS(BV_Data_An_Prec!$AN:$AN,BV_Data_An_Prec!$AP:$AP,$B103,BV_Data_An_Prec!$AQ:$AQ,$C103,BV_Data_An_Prec!$AR:$AR,$L2)</f>
        <v>11500.87</v>
      </c>
      <c r="R103" s="267">
        <f>P103-K103</f>
        <v>-86.107830448465791</v>
      </c>
      <c r="S103" s="266">
        <f t="shared" ref="S103:S105" si="41">L103-Q103</f>
        <v>33959.619999999995</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572.18282258064528</v>
      </c>
      <c r="L104" s="266">
        <f>-SUMIFS(BV_Data_An_Cour!$AN:$AN,BV_Data_An_Cour!$AP:$AP,$B104,BV_Data_An_Cour!$AQ:$AQ,$C104,BV_Data_An_Cour!$AR:$AR,$L2)</f>
        <v>70950.670000000013</v>
      </c>
      <c r="M104" s="245"/>
      <c r="N104" s="246">
        <f>L104-F104</f>
        <v>70950.670000000013</v>
      </c>
      <c r="O104" s="245"/>
      <c r="P104" s="281">
        <f>IF(O97=0,0,Q104/O97)</f>
        <v>985.34414634146322</v>
      </c>
      <c r="Q104" s="266">
        <f>-SUMIFS(BV_Data_An_Prec!$AN:$AN,BV_Data_An_Prec!$AP:$AP,$B104,BV_Data_An_Prec!$AQ:$AQ,$C104,BV_Data_An_Prec!$AR:$AR,$L2)</f>
        <v>40399.109999999993</v>
      </c>
      <c r="R104" s="267">
        <f t="shared" ref="R104:R106" si="42">P104-K104</f>
        <v>413.16132376081794</v>
      </c>
      <c r="S104" s="266">
        <f t="shared" si="41"/>
        <v>30551.560000000019</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49">
        <f t="shared" si="40"/>
        <v>0</v>
      </c>
      <c r="F105" s="246" cm="1">
        <f t="array" ref="F105">+SUMPRODUCT(('Budget original'!$A$8:$A$501=$A105)*('Budget original'!$C$3:$AO$3=F$2),'Budget original'!$C$8:$AO$501)</f>
        <v>0</v>
      </c>
      <c r="G105" s="245"/>
      <c r="H105" s="949"/>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124</v>
      </c>
      <c r="K106" s="355">
        <f>IF(J106&lt;=0,0,L106/J106)</f>
        <v>938.79967741935491</v>
      </c>
      <c r="L106" s="356">
        <f>L103+L104+L105</f>
        <v>116411.16</v>
      </c>
      <c r="M106" s="265">
        <f>J106-D106</f>
        <v>124</v>
      </c>
      <c r="N106" s="251">
        <f>L106-F106</f>
        <v>116411.16</v>
      </c>
      <c r="O106" s="252">
        <f>O97</f>
        <v>41</v>
      </c>
      <c r="P106" s="355">
        <f>IF(O106&lt;=0,0,Q106/O106)</f>
        <v>1265.8531707317072</v>
      </c>
      <c r="Q106" s="356">
        <f>Q103+Q104+Q105</f>
        <v>51899.979999999996</v>
      </c>
      <c r="R106" s="357">
        <f t="shared" si="42"/>
        <v>327.05349331235232</v>
      </c>
      <c r="S106" s="356">
        <f>L106-Q106</f>
        <v>64511.180000000008</v>
      </c>
      <c r="T106" s="38"/>
      <c r="U106" s="1051">
        <f>L106-L114</f>
        <v>84488.5</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1.2429904597265744</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297</v>
      </c>
      <c r="K109" s="269">
        <f>IF(J109&lt;=0,0,L109/J109)</f>
        <v>1362.7087878787929</v>
      </c>
      <c r="L109" s="271">
        <f>L97+L106+L101+L99</f>
        <v>404724.51000000152</v>
      </c>
      <c r="M109" s="272">
        <f>J109-D109</f>
        <v>297</v>
      </c>
      <c r="N109" s="271">
        <f>N97+N106+N101+N99</f>
        <v>404724.51000000152</v>
      </c>
      <c r="O109" s="272">
        <f>O97+O101</f>
        <v>391</v>
      </c>
      <c r="P109" s="269">
        <f>IF(O109&lt;=0,0,Q109/O109)</f>
        <v>944.08314578004581</v>
      </c>
      <c r="Q109" s="271">
        <f>Q97+Q106+Q101+Q99</f>
        <v>369136.50999999791</v>
      </c>
      <c r="R109" s="272">
        <f>J109-O109</f>
        <v>-94</v>
      </c>
      <c r="S109" s="271">
        <f>S97+S106+S101+S99</f>
        <v>35588.000000003551</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5"/>
      <c r="L110" s="960"/>
      <c r="M110" s="276"/>
      <c r="N110" s="277"/>
      <c r="O110" s="273"/>
      <c r="P110" s="945"/>
      <c r="Q110" s="960"/>
      <c r="R110" s="276">
        <f>O109/R109</f>
        <v>-4.1595744680851068</v>
      </c>
      <c r="S110" s="326">
        <f>IF(Q109=0,0,(S109/Q109))</f>
        <v>9.6408778421846572E-2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0.40771741850292131</v>
      </c>
      <c r="K113" s="281">
        <f>IF($J$97=0,0,L113/(J$94+J$95+J96))</f>
        <v>602.74322580645162</v>
      </c>
      <c r="L113" s="266">
        <f>SUMIFS(BV_Data_An_Cour!$AN:$AN,BV_Data_An_Cour!$AP:$AP,$B113,BV_Data_An_Cour!$AQ:$AQ,$C113,BV_Data_An_Cour!$AR:$AR,$L$2)</f>
        <v>74740.160000000003</v>
      </c>
      <c r="M113" s="243"/>
      <c r="N113" s="266">
        <f t="shared" ref="N113:N154" si="44">L113-F113</f>
        <v>74740.160000000003</v>
      </c>
      <c r="O113" s="282">
        <f>Q113/Q97</f>
        <v>-1.5592514980055994</v>
      </c>
      <c r="P113" s="281">
        <f>IF($J$97=0,0,Q113/(O$94+O$95+O96))</f>
        <v>580.92804878048776</v>
      </c>
      <c r="Q113" s="266">
        <f>SUMIFS(BV_Data_An_Prec!$AN:$AN,BV_Data_An_Prec!$AP:$AP,$B113,BV_Data_An_Prec!$AQ:$AQ,$C113,BV_Data_An_Prec!$AR:$AR,$L$2)</f>
        <v>23818.05</v>
      </c>
      <c r="R113" s="243"/>
      <c r="S113" s="266">
        <f>L113-Q113</f>
        <v>50922.11</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0.27422336483890375</v>
      </c>
      <c r="K114" s="284">
        <f>IF($J$97=0,0,L114/(J$94+J$95+J96))</f>
        <v>257.4408064516129</v>
      </c>
      <c r="L114" s="266">
        <f>SUMIFS(BV_Data_An_Cour!$AN:$AN,BV_Data_An_Cour!$AP:$AP,$B114,BV_Data_An_Cour!$AQ:$AQ,$C114,BV_Data_An_Cour!$AR:$AR,$L$2)</f>
        <v>31922.66</v>
      </c>
      <c r="M114" s="238"/>
      <c r="N114" s="286">
        <f t="shared" si="44"/>
        <v>31922.66</v>
      </c>
      <c r="O114" s="285">
        <f>Q114/(Q106)</f>
        <v>0.24257755012622359</v>
      </c>
      <c r="P114" s="284">
        <f>IF($J$97=0,0,Q114/(O$94+O$95+O96))</f>
        <v>307.06756097560975</v>
      </c>
      <c r="Q114" s="266">
        <f>SUMIFS(BV_Data_An_Prec!$AN:$AN,BV_Data_An_Prec!$AP:$AP,$B114,BV_Data_An_Prec!$AQ:$AQ,$C114,BV_Data_An_Prec!$AR:$AR,$L$2)</f>
        <v>12589.77</v>
      </c>
      <c r="R114" s="238"/>
      <c r="S114" s="286">
        <f t="shared" ref="S114:S166" si="45">L114-Q114</f>
        <v>19332.89</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-91.350483870967736</v>
      </c>
      <c r="L115" s="303">
        <f>SUMIFS(BV_Data_An_Cour!$AN:$AN,BV_Data_An_Cour!$AP:$AP,$B115,BV_Data_An_Cour!$AQ:$AQ,$C115,BV_Data_An_Cour!$AR:$AR,$L$2)</f>
        <v>-11327.46</v>
      </c>
      <c r="M115" s="243"/>
      <c r="N115" s="266">
        <f t="shared" si="44"/>
        <v>-11327.46</v>
      </c>
      <c r="O115" s="243"/>
      <c r="P115" s="281">
        <f>IF($J$97=0,0,Q115/(O$94+O$95+O96))</f>
        <v>127.51195121951218</v>
      </c>
      <c r="Q115" s="303">
        <f>SUMIFS(BV_Data_An_Prec!$AN:$AN,BV_Data_An_Prec!$AP:$AP,$B115,BV_Data_An_Prec!$AQ:$AQ,$C115,BV_Data_An_Prec!$AR:$AR,$L$2)</f>
        <v>5227.99</v>
      </c>
      <c r="R115" s="243"/>
      <c r="S115" s="266">
        <f t="shared" si="45"/>
        <v>-16555.449999999997</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85.020967741935493</v>
      </c>
      <c r="L116" s="266">
        <f>SUMIFS(BV_Data_An_Cour!$AN:$AN,BV_Data_An_Cour!$AP:$AP,$B116,BV_Data_An_Cour!$AQ:$AQ,$C116,BV_Data_An_Cour!$AR:$AR,$L$2)</f>
        <v>10542.6</v>
      </c>
      <c r="M116" s="243"/>
      <c r="N116" s="266">
        <f t="shared" si="44"/>
        <v>10542.6</v>
      </c>
      <c r="O116" s="243"/>
      <c r="P116" s="281">
        <f>IF($J$97=0,0,Q116/(O$94+O$95+O96))</f>
        <v>12.941951219512195</v>
      </c>
      <c r="Q116" s="266">
        <f>SUMIFS(BV_Data_An_Prec!$AN:$AN,BV_Data_An_Prec!$AP:$AP,$B116,BV_Data_An_Prec!$AQ:$AQ,$C116,BV_Data_An_Prec!$AR:$AR,$L$2)</f>
        <v>530.62</v>
      </c>
      <c r="R116" s="243"/>
      <c r="S116" s="266">
        <f t="shared" si="45"/>
        <v>10011.98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f>IF($J$97=0,0,Q117/(O$94+O$95+O96))</f>
        <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431.2901612903226</v>
      </c>
      <c r="L118" s="266">
        <f>SUMIFS(BV_Data_An_Cour!$AN:$AN,BV_Data_An_Cour!$AP:$AP,$B118,BV_Data_An_Cour!$AQ:$AQ,$C118,BV_Data_An_Cour!$AR:$AR,$L$2)</f>
        <v>53479.98</v>
      </c>
      <c r="M118" s="243"/>
      <c r="N118" s="266">
        <f t="shared" si="44"/>
        <v>53479.98</v>
      </c>
      <c r="O118" s="243"/>
      <c r="P118" s="281">
        <f>IF($J$97=0,0,Q118/(O$94+O$95+O96))</f>
        <v>572.47829268292685</v>
      </c>
      <c r="Q118" s="266">
        <f>SUMIFS(BV_Data_An_Prec!$AN:$AN,BV_Data_An_Prec!$AP:$AP,$B118,BV_Data_An_Prec!$AQ:$AQ,$C118,BV_Data_An_Prec!$AR:$AR,$L$2)</f>
        <v>23471.61</v>
      </c>
      <c r="R118" s="243"/>
      <c r="S118" s="266">
        <f t="shared" si="45"/>
        <v>30008.370000000003</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1671.5632258064516</v>
      </c>
      <c r="L119" s="658">
        <f>SUMIFS(BV_Data_An_Cour!$AN:$AN,BV_Data_An_Cour!$AP:$AP,$B119,BV_Data_An_Cour!$AQ:$AQ,$C119,BV_Data_An_Cour!$AR:$AR,$L$2)</f>
        <v>207273.84</v>
      </c>
      <c r="M119" s="243"/>
      <c r="N119" s="658">
        <f t="shared" si="44"/>
        <v>207273.84</v>
      </c>
      <c r="O119" s="243"/>
      <c r="P119" s="281">
        <f>IF($J$97=0,0,Q119/(O$94+O$95+O96))</f>
        <v>3526.5651219512197</v>
      </c>
      <c r="Q119" s="658">
        <f>SUMIFS(BV_Data_An_Prec!$AN:$AN,BV_Data_An_Prec!$AP:$AP,$B119,BV_Data_An_Prec!$AQ:$AQ,$C119,BV_Data_An_Prec!$AR:$AR,$L$2)</f>
        <v>144589.17000000001</v>
      </c>
      <c r="R119" s="243"/>
      <c r="S119" s="266">
        <f t="shared" si="45"/>
        <v>62684.669999999984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3134</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3135</v>
      </c>
      <c r="D121" s="287"/>
      <c r="E121" s="281" t="e">
        <f t="shared" si="43"/>
        <v>#DIV/0!</v>
      </c>
      <c r="F121" s="244" cm="1">
        <f t="array" ref="F121">+SUMPRODUCT(('Budget original'!$A$8:$A$501=$A121)*('Budget original'!$C$3:$AO$3=F$2),'Budget original'!$C$8:$AO$501)</f>
        <v>0</v>
      </c>
      <c r="G121" s="288"/>
      <c r="H121" s="281"/>
      <c r="I121" s="244"/>
      <c r="J121" s="243"/>
      <c r="K121" s="281">
        <f t="shared" si="46"/>
        <v>-278.27935483870965</v>
      </c>
      <c r="L121" s="266">
        <f>SUMIFS(BV_Data_An_Cour!$AN:$AN,BV_Data_An_Cour!$AP:$AP,$B121,BV_Data_An_Cour!$AQ:$AQ,$C121,BV_Data_An_Cour!$AR:$AR,$L$2)</f>
        <v>-34506.639999999999</v>
      </c>
      <c r="M121" s="243"/>
      <c r="N121" s="266">
        <f t="shared" si="44"/>
        <v>-34506.639999999999</v>
      </c>
      <c r="O121" s="243"/>
      <c r="P121" s="281">
        <f t="shared" si="47"/>
        <v>0</v>
      </c>
      <c r="Q121" s="266">
        <f>SUMIFS(BV_Data_An_Prec!$AN:$AN,BV_Data_An_Prec!$AP:$AP,$B121,BV_Data_An_Prec!$AQ:$AQ,$C121,BV_Data_An_Prec!$AR:$AR,$L$2)</f>
        <v>0</v>
      </c>
      <c r="R121" s="243"/>
      <c r="S121" s="266">
        <f t="shared" si="45"/>
        <v>-34506.639999999999</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0.82062027822332473</v>
      </c>
      <c r="L123" s="294">
        <f>SUM(L113:L122)</f>
        <v>332125.14</v>
      </c>
      <c r="M123" s="296"/>
      <c r="N123" s="294">
        <f t="shared" si="44"/>
        <v>332125.14</v>
      </c>
      <c r="O123" s="295" t="s">
        <v>115</v>
      </c>
      <c r="P123" s="293">
        <f>Q123/Q$109</f>
        <v>0.56951074820532166</v>
      </c>
      <c r="Q123" s="294">
        <f>SUM(Q113:Q122)</f>
        <v>210227.21000000002</v>
      </c>
      <c r="R123" s="297"/>
      <c r="S123" s="294">
        <f t="shared" si="45"/>
        <v>121897.93</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53269.34</v>
      </c>
      <c r="M124" s="243"/>
      <c r="N124" s="266">
        <f t="shared" si="44"/>
        <v>53269.34</v>
      </c>
      <c r="O124" s="243"/>
      <c r="P124" s="38"/>
      <c r="Q124" s="266">
        <f>SUMIFS(BV_Data_An_Prec!$AN:$AN,BV_Data_An_Prec!$AP:$AP,$B124,BV_Data_An_Prec!$AQ:$AQ,$C124,BV_Data_An_Prec!$AR:$AR,$L$2)</f>
        <v>66467.289999999994</v>
      </c>
      <c r="R124" s="243"/>
      <c r="S124" s="266">
        <f t="shared" si="45"/>
        <v>-13197.949999999997</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24159.34</v>
      </c>
      <c r="M125" s="243"/>
      <c r="N125" s="266">
        <f t="shared" si="44"/>
        <v>24159.34</v>
      </c>
      <c r="O125" s="243"/>
      <c r="P125" s="38"/>
      <c r="Q125" s="266">
        <f>SUMIFS(BV_Data_An_Prec!$AN:$AN,BV_Data_An_Prec!$AP:$AP,$B125,BV_Data_An_Prec!$AQ:$AQ,$C125,BV_Data_An_Prec!$AR:$AR,$L$2)</f>
        <v>27394.28</v>
      </c>
      <c r="R125" s="243"/>
      <c r="S125" s="266">
        <f t="shared" si="45"/>
        <v>-3234.9399999999987</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8954.85</v>
      </c>
      <c r="M126" s="233"/>
      <c r="N126" s="303">
        <f t="shared" si="44"/>
        <v>8954.85</v>
      </c>
      <c r="O126" s="233"/>
      <c r="P126" s="301"/>
      <c r="Q126" s="303">
        <f>SUMIFS(BV_Data_An_Prec!$AN:$AN,BV_Data_An_Prec!$AP:$AP,$B126,BV_Data_An_Prec!$AQ:$AQ,$C126,BV_Data_An_Prec!$AR:$AR,$L$2)</f>
        <v>13065.1</v>
      </c>
      <c r="R126" s="233"/>
      <c r="S126" s="303">
        <f t="shared" si="45"/>
        <v>-4110.25</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17652.78</v>
      </c>
      <c r="M131" s="243"/>
      <c r="N131" s="266">
        <f t="shared" si="44"/>
        <v>17652.78</v>
      </c>
      <c r="O131" s="243"/>
      <c r="P131" s="38"/>
      <c r="Q131" s="266">
        <f>SUMIFS(BV_Data_An_Prec!$AN:$AN,BV_Data_An_Prec!$AP:$AP,$B131,BV_Data_An_Prec!$AQ:$AQ,$C131,BV_Data_An_Prec!$AR:$AR,$L$2)</f>
        <v>6723.83</v>
      </c>
      <c r="R131" s="243"/>
      <c r="S131" s="266">
        <f t="shared" si="45"/>
        <v>10928.949999999999</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19625.43</v>
      </c>
      <c r="M132" s="233"/>
      <c r="N132" s="303">
        <f t="shared" si="44"/>
        <v>19625.43</v>
      </c>
      <c r="O132" s="233"/>
      <c r="P132" s="301"/>
      <c r="Q132" s="303">
        <f>SUMIFS(BV_Data_An_Prec!$AN:$AN,BV_Data_An_Prec!$AP:$AP,$B132,BV_Data_An_Prec!$AQ:$AQ,$C132,BV_Data_An_Prec!$AR:$AR,$L$2)</f>
        <v>13342.01</v>
      </c>
      <c r="R132" s="233"/>
      <c r="S132" s="303">
        <f t="shared" si="45"/>
        <v>6283.42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16751.66</v>
      </c>
      <c r="M133" s="243"/>
      <c r="N133" s="266">
        <f t="shared" si="44"/>
        <v>16751.66</v>
      </c>
      <c r="O133" s="243"/>
      <c r="P133" s="38"/>
      <c r="Q133" s="266">
        <f>SUMIFS(BV_Data_An_Prec!$AN:$AN,BV_Data_An_Prec!$AP:$AP,$B133,BV_Data_An_Prec!$AQ:$AQ,$C133,BV_Data_An_Prec!$AR:$AR,$L$2)</f>
        <v>15305.24</v>
      </c>
      <c r="R133" s="243"/>
      <c r="S133" s="266">
        <f t="shared" si="45"/>
        <v>1446.42</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8784.33</v>
      </c>
      <c r="M134" s="243"/>
      <c r="N134" s="266">
        <f t="shared" si="44"/>
        <v>8784.33</v>
      </c>
      <c r="O134" s="243"/>
      <c r="P134" s="38"/>
      <c r="Q134" s="266">
        <f>SUMIFS(BV_Data_An_Prec!$AN:$AN,BV_Data_An_Prec!$AP:$AP,$B134,BV_Data_An_Prec!$AQ:$AQ,$C134,BV_Data_An_Prec!$AR:$AR,$L$2)</f>
        <v>151.63</v>
      </c>
      <c r="R134" s="243"/>
      <c r="S134" s="266">
        <f t="shared" si="45"/>
        <v>8632.7000000000007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0.3686402140557275</v>
      </c>
      <c r="L136" s="294">
        <f>SUM(L124:L135)</f>
        <v>149197.72999999998</v>
      </c>
      <c r="M136" s="296"/>
      <c r="N136" s="294">
        <f t="shared" si="44"/>
        <v>149197.72999999998</v>
      </c>
      <c r="O136" s="295" t="s">
        <v>115</v>
      </c>
      <c r="P136" s="293">
        <f>Q136/Q$109</f>
        <v>0.38589891853287772</v>
      </c>
      <c r="Q136" s="294">
        <f>SUM(Q124:Q135)</f>
        <v>142449.38</v>
      </c>
      <c r="R136" s="297"/>
      <c r="S136" s="294">
        <f t="shared" si="45"/>
        <v>6748.3499999999767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29507.18</v>
      </c>
      <c r="M139" s="238"/>
      <c r="N139" s="286">
        <f t="shared" si="44"/>
        <v>29507.18</v>
      </c>
      <c r="O139" s="238"/>
      <c r="P139" s="304"/>
      <c r="Q139" s="286">
        <f>SUMIFS(BV_Data_An_Prec!$AN:$AN,BV_Data_An_Prec!$AP:$AP,$B139,BV_Data_An_Prec!$AQ:$AQ,$C139,BV_Data_An_Prec!$AR:$AR,$L$2)</f>
        <v>11311.73</v>
      </c>
      <c r="R139" s="238"/>
      <c r="S139" s="286">
        <f t="shared" si="45"/>
        <v>18195.45</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8077.16</v>
      </c>
      <c r="M140" s="243"/>
      <c r="N140" s="266">
        <f t="shared" si="44"/>
        <v>8077.16</v>
      </c>
      <c r="O140" s="243"/>
      <c r="P140" s="38"/>
      <c r="Q140" s="266">
        <f>SUMIFS(BV_Data_An_Prec!$AN:$AN,BV_Data_An_Prec!$AP:$AP,$B140,BV_Data_An_Prec!$AQ:$AQ,$C140,BV_Data_An_Prec!$AR:$AR,$L$2)</f>
        <v>11071.22</v>
      </c>
      <c r="R140" s="243"/>
      <c r="S140" s="266">
        <f t="shared" si="45"/>
        <v>-2994.0599999999995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12696.43</v>
      </c>
      <c r="M141" s="243"/>
      <c r="N141" s="266">
        <f t="shared" si="44"/>
        <v>12696.43</v>
      </c>
      <c r="O141" s="243"/>
      <c r="P141" s="38"/>
      <c r="Q141" s="266">
        <f>SUMIFS(BV_Data_An_Prec!$AN:$AN,BV_Data_An_Prec!$AP:$AP,$B141,BV_Data_An_Prec!$AQ:$AQ,$C141,BV_Data_An_Prec!$AR:$AR,$L$2)</f>
        <v>13557.269999999999</v>
      </c>
      <c r="R141" s="243"/>
      <c r="S141" s="266">
        <f t="shared" si="45"/>
        <v>-860.83999999999833</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25979.82</v>
      </c>
      <c r="M142" s="238"/>
      <c r="N142" s="286">
        <f t="shared" si="44"/>
        <v>25979.82</v>
      </c>
      <c r="O142" s="238"/>
      <c r="P142" s="304"/>
      <c r="Q142" s="286">
        <f>SUMIFS(BV_Data_An_Prec!$AN:$AN,BV_Data_An_Prec!$AP:$AP,$B142,BV_Data_An_Prec!$AQ:$AQ,$C142,BV_Data_An_Prec!$AR:$AR,$L$2)</f>
        <v>22716.199999999997</v>
      </c>
      <c r="R142" s="238"/>
      <c r="S142" s="286">
        <f t="shared" si="45"/>
        <v>3263.6200000000026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962.95</v>
      </c>
      <c r="M143" s="243"/>
      <c r="N143" s="266">
        <f t="shared" si="44"/>
        <v>962.95</v>
      </c>
      <c r="O143" s="243"/>
      <c r="P143" s="38"/>
      <c r="Q143" s="266">
        <f>SUMIFS(BV_Data_An_Prec!$AN:$AN,BV_Data_An_Prec!$AP:$AP,$B143,BV_Data_An_Prec!$AQ:$AQ,$C143,BV_Data_An_Prec!$AR:$AR,$L$2)</f>
        <v>842.06</v>
      </c>
      <c r="R143" s="243"/>
      <c r="S143" s="266">
        <f t="shared" si="45"/>
        <v>120.8900000000001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4876.28</v>
      </c>
      <c r="M145" s="243"/>
      <c r="N145" s="266">
        <f t="shared" si="44"/>
        <v>4876.28</v>
      </c>
      <c r="O145" s="243"/>
      <c r="P145" s="38"/>
      <c r="Q145" s="266">
        <f>SUMIFS(BV_Data_An_Prec!$AN:$AN,BV_Data_An_Prec!$AP:$AP,$B145,BV_Data_An_Prec!$AQ:$AQ,$C145,BV_Data_An_Prec!$AR:$AR,$L$2)</f>
        <v>4498.0600000000004</v>
      </c>
      <c r="R145" s="243"/>
      <c r="S145" s="266">
        <f t="shared" si="45"/>
        <v>378.21999999999935</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1902.33</v>
      </c>
      <c r="M146" s="243"/>
      <c r="N146" s="266">
        <f t="shared" si="44"/>
        <v>1902.33</v>
      </c>
      <c r="O146" s="243"/>
      <c r="P146" s="38"/>
      <c r="Q146" s="266">
        <f>SUMIFS(BV_Data_An_Prec!$AN:$AN,BV_Data_An_Prec!$AP:$AP,$B146,BV_Data_An_Prec!$AQ:$AQ,$C146,BV_Data_An_Prec!$AR:$AR,$L$2)</f>
        <v>4118.08</v>
      </c>
      <c r="R146" s="243"/>
      <c r="S146" s="266">
        <f t="shared" si="45"/>
        <v>-2215.75</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7734.65</v>
      </c>
      <c r="M147" s="243"/>
      <c r="N147" s="266">
        <f t="shared" si="44"/>
        <v>7734.65</v>
      </c>
      <c r="O147" s="243"/>
      <c r="P147" s="38"/>
      <c r="Q147" s="266">
        <f>SUMIFS(BV_Data_An_Prec!$AN:$AN,BV_Data_An_Prec!$AP:$AP,$B147,BV_Data_An_Prec!$AQ:$AQ,$C147,BV_Data_An_Prec!$AR:$AR,$L$2)</f>
        <v>5615.85</v>
      </c>
      <c r="R147" s="243"/>
      <c r="S147" s="266">
        <f t="shared" si="45"/>
        <v>2118.7999999999993</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15103.150000000001</v>
      </c>
      <c r="M148" s="243"/>
      <c r="N148" s="266">
        <f t="shared" si="44"/>
        <v>15103.150000000001</v>
      </c>
      <c r="O148" s="243"/>
      <c r="P148" s="38"/>
      <c r="Q148" s="266">
        <f>SUMIFS(BV_Data_An_Prec!$AN:$AN,BV_Data_An_Prec!$AP:$AP,$B148,BV_Data_An_Prec!$AQ:$AQ,$C148,BV_Data_An_Prec!$AR:$AR,$L$2)</f>
        <v>17923.5</v>
      </c>
      <c r="R148" s="243"/>
      <c r="S148" s="266">
        <f t="shared" si="45"/>
        <v>-2820.3499999999985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2210.69</v>
      </c>
      <c r="M149" s="243"/>
      <c r="N149" s="266">
        <f t="shared" si="44"/>
        <v>2210.69</v>
      </c>
      <c r="O149" s="243"/>
      <c r="P149" s="38"/>
      <c r="Q149" s="266">
        <f>SUMIFS(BV_Data_An_Prec!$AN:$AN,BV_Data_An_Prec!$AP:$AP,$B149,BV_Data_An_Prec!$AQ:$AQ,$C149,BV_Data_An_Prec!$AR:$AR,$L$2)</f>
        <v>464</v>
      </c>
      <c r="R149" s="243"/>
      <c r="S149" s="266">
        <f t="shared" si="45"/>
        <v>1746.69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5871.16</v>
      </c>
      <c r="M150" s="243"/>
      <c r="N150" s="658">
        <f t="shared" si="44"/>
        <v>5871.16</v>
      </c>
      <c r="O150" s="243"/>
      <c r="P150" s="38"/>
      <c r="Q150" s="658">
        <f>SUMIFS(BV_Data_An_Prec!$AN:$AN,BV_Data_An_Prec!$AP:$AP,$B150,BV_Data_An_Prec!$AQ:$AQ,$C150,BV_Data_An_Prec!$AR:$AR,Q$2)</f>
        <v>1463.1</v>
      </c>
      <c r="R150" s="243"/>
      <c r="S150" s="266">
        <f t="shared" si="45"/>
        <v>4408.0599999999995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0.28395068042703803</v>
      </c>
      <c r="L154" s="294">
        <f>+SUM(L137:L153)</f>
        <v>114921.79999999999</v>
      </c>
      <c r="M154" s="296"/>
      <c r="N154" s="294">
        <f t="shared" si="44"/>
        <v>114921.79999999999</v>
      </c>
      <c r="O154" s="295" t="s">
        <v>115</v>
      </c>
      <c r="P154" s="293">
        <f>Q154/Q$109</f>
        <v>0.25351344953659699</v>
      </c>
      <c r="Q154" s="294">
        <f>+SUM(Q137:Q153)</f>
        <v>93581.069999999992</v>
      </c>
      <c r="R154" s="297"/>
      <c r="S154" s="294">
        <f t="shared" si="45"/>
        <v>21340.729999999996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1.4732111727060901</v>
      </c>
      <c r="L156" s="294">
        <f>L123+L136+L154</f>
        <v>596244.66999999993</v>
      </c>
      <c r="M156" s="296"/>
      <c r="N156" s="294">
        <f t="shared" ref="N156:N163" si="48">L156-F156</f>
        <v>596244.66999999993</v>
      </c>
      <c r="O156" s="295" t="s">
        <v>115</v>
      </c>
      <c r="P156" s="293">
        <f>Q156/Q$109</f>
        <v>1.2089231162747964</v>
      </c>
      <c r="Q156" s="294">
        <f>Q123+Q136+Q154</f>
        <v>446257.66000000003</v>
      </c>
      <c r="R156" s="297"/>
      <c r="S156" s="294">
        <f t="shared" si="45"/>
        <v>149987.00999999989</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0"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0"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0"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1"/>
      <c r="E160" s="307"/>
      <c r="F160" s="244" cm="1">
        <f t="array" ref="F160">+SUMPRODUCT(('Budget original'!$A$8:$A$501=$A160)*('Budget original'!$C$3:$AO$3=F$2),'Budget original'!$C$8:$AO$501)</f>
        <v>0</v>
      </c>
      <c r="G160" s="288"/>
      <c r="H160" s="38"/>
      <c r="I160" s="244"/>
      <c r="J160" s="744">
        <f>K160/500</f>
        <v>0.72580645161290314</v>
      </c>
      <c r="K160" s="307">
        <f>L160/J97</f>
        <v>362.90322580645159</v>
      </c>
      <c r="L160" s="266">
        <f>-SUMIFS(BV_Data_An_Cour!$AN:$AN,BV_Data_An_Cour!$AP:$AP,$B160,BV_Data_An_Cour!$AQ:$AQ,$C160,BV_Data_An_Cour!$AR:$AR,L$2)</f>
        <v>45000</v>
      </c>
      <c r="M160" s="243"/>
      <c r="N160" s="266">
        <f t="shared" si="48"/>
        <v>45000</v>
      </c>
      <c r="O160" s="744"/>
      <c r="P160" s="307"/>
      <c r="Q160" s="266">
        <f>-SUMIFS(BV_Data_An_Prec!$AN:$AN,BV_Data_An_Prec!$AP:$AP,$B160,BV_Data_An_Prec!$AQ:$AQ,$C160,BV_Data_An_Prec!$AR:$AR,Q$2)</f>
        <v>0</v>
      </c>
      <c r="R160" s="243"/>
      <c r="S160" s="266">
        <f t="shared" si="45"/>
        <v>45000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45000</v>
      </c>
      <c r="M164" s="296"/>
      <c r="N164" s="294">
        <f>SUM(N157:N160)</f>
        <v>45000</v>
      </c>
      <c r="O164" s="295"/>
      <c r="P164" s="293"/>
      <c r="Q164" s="294">
        <f>+SUM(Q157:Q163)</f>
        <v>0</v>
      </c>
      <c r="R164" s="297"/>
      <c r="S164" s="294">
        <f t="shared" si="45"/>
        <v>45000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f>F109-F156+F164</f>
        <v>0</v>
      </c>
      <c r="G166" s="957"/>
      <c r="H166" s="955"/>
      <c r="I166" s="956"/>
      <c r="J166" s="957"/>
      <c r="K166" s="955"/>
      <c r="L166" s="956">
        <f>L109-L156+L164</f>
        <v>-146520.1599999984</v>
      </c>
      <c r="M166" s="958"/>
      <c r="N166" s="956">
        <f>L166-F166</f>
        <v>-146520.1599999984</v>
      </c>
      <c r="O166" s="957"/>
      <c r="P166" s="955"/>
      <c r="Q166" s="956">
        <f>Q109-Q156+Q164</f>
        <v>-77121.150000002119</v>
      </c>
      <c r="R166" s="959"/>
      <c r="S166" s="956">
        <f t="shared" si="45"/>
        <v>-69399.009999996284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Juin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44" t="s">
        <v>339</v>
      </c>
      <c r="E171" s="1244"/>
      <c r="F171" s="1250"/>
      <c r="G171" s="1247"/>
      <c r="H171" s="1244"/>
      <c r="I171" s="1250"/>
      <c r="J171" s="1247" t="s">
        <v>340</v>
      </c>
      <c r="K171" s="1244"/>
      <c r="L171" s="1250"/>
      <c r="M171" s="1247" t="s">
        <v>668</v>
      </c>
      <c r="N171" s="1250"/>
      <c r="O171" s="1247" t="s">
        <v>341</v>
      </c>
      <c r="P171" s="1244"/>
      <c r="Q171" s="1250"/>
      <c r="R171" s="1247" t="s">
        <v>670</v>
      </c>
      <c r="S171" s="125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49"/>
      <c r="E173" s="949"/>
      <c r="F173" s="240" cm="1">
        <f t="array" ref="F173">+SUMPRODUCT(('Budget original'!$A$8:$A$501=$A173)*('Budget original'!$C$3:$AO$3=F$2),'Budget original'!$C$8:$AO$501)</f>
        <v>0</v>
      </c>
      <c r="G173" s="257"/>
      <c r="H173" s="949"/>
      <c r="I173" s="240"/>
      <c r="J173" s="238"/>
      <c r="K173" s="284"/>
      <c r="L173" s="286">
        <f>-SUMIFS(BV_Data_An_Cour!$AN:$AN,BV_Data_An_Cour!$AS:$AS,"Oui",BV_Data_An_Cour!$AP:$AP,$B173)</f>
        <v>48916355.839999996</v>
      </c>
      <c r="M173" s="320"/>
      <c r="N173" s="321"/>
      <c r="O173" s="238"/>
      <c r="P173" s="284"/>
      <c r="Q173" s="286">
        <f>-SUMIFS(BV_Data_An_Prec!$AN:$AN,BV_Data_An_Prec!$AS:$AS,"Oui",BV_Data_An_Prec!$AP:$AP,$B173)</f>
        <v>36025666.609999999</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396</v>
      </c>
      <c r="K175" s="281">
        <f t="shared" ref="K175:K179" si="51">IF(J175=0,0,L175/J175)</f>
        <v>1136.1780050505008</v>
      </c>
      <c r="L175" s="266">
        <f>-SUMIFS(BV_Data_An_Cour!$AN:$AN,BV_Data_An_Cour!$AP:$AP,$B175,BV_Data_An_Cour!$AQ:$AQ,$C175,BV_Data_An_Cour!$AR:$AR,$L2)</f>
        <v>449926.48999999836</v>
      </c>
      <c r="M175" s="245">
        <f>J175-D175</f>
        <v>396</v>
      </c>
      <c r="N175" s="246">
        <f>L175-F175</f>
        <v>449926.48999999836</v>
      </c>
      <c r="O175" s="245">
        <f>SUMIFS(BV_Data_An_Prec!$AX:$AX,BV_Data_An_Prec!$AP:$AP,$B175,BV_Data_An_Prec!$AQ:$AQ,$C175,BV_Data_An_Prec!$AY:$AY,O$2)</f>
        <v>404</v>
      </c>
      <c r="P175" s="281">
        <f t="shared" ref="P175:P179" si="52">IF(O175=0,0,Q175/O175)</f>
        <v>1676.9762623762381</v>
      </c>
      <c r="Q175" s="266">
        <f>-SUMIFS(BV_Data_An_Prec!$AN:$AN,BV_Data_An_Prec!$AP:$AP,$B175,BV_Data_An_Prec!$AQ:$AQ,$C175,BV_Data_An_Prec!$AR:$AR,$L2)</f>
        <v>677498.41000000015</v>
      </c>
      <c r="R175" s="245">
        <f t="shared" ref="R175:R177" si="53">J175-O175</f>
        <v>-8</v>
      </c>
      <c r="S175" s="266">
        <f t="shared" ref="S175:S179" si="54">L175-Q175</f>
        <v>-227571.92000000179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-1.9801980198019802E-2</v>
      </c>
      <c r="S176" s="986">
        <f>IF(Q175=0,0,(S175/Q175))</f>
        <v>-0.33590030122727776</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4">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262</v>
      </c>
      <c r="K177" s="281">
        <f t="shared" si="51"/>
        <v>1107.3179007633589</v>
      </c>
      <c r="L177" s="266">
        <f>-SUMIFS(BV_Data_An_Cour!$AN:$AN,BV_Data_An_Cour!$AP:$AP,$B177,BV_Data_An_Cour!$AQ:$AQ,$C177,BV_Data_An_Cour!$AR:$AR,$L2)</f>
        <v>290117.29000000004</v>
      </c>
      <c r="M177" s="245">
        <f>J177-D177</f>
        <v>262</v>
      </c>
      <c r="N177" s="246">
        <f>L177-F177</f>
        <v>290117.29000000004</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262</v>
      </c>
      <c r="S177" s="266">
        <f t="shared" si="54"/>
        <v>290117.29000000004</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4">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182</v>
      </c>
      <c r="K179" s="281">
        <f t="shared" si="51"/>
        <v>2321.1630219780318</v>
      </c>
      <c r="L179" s="266">
        <f>-SUMIFS(BV_Data_An_Cour!$AN:$AN,BV_Data_An_Cour!$AP:$AP,$B179,BV_Data_An_Cour!$AQ:$AQ,$C179,BV_Data_An_Cour!$AR:$AR,$L2)</f>
        <v>422451.67000000179</v>
      </c>
      <c r="M179" s="245">
        <f>J179-D179</f>
        <v>182</v>
      </c>
      <c r="N179" s="246">
        <f>L179-F179</f>
        <v>422451.67000000179</v>
      </c>
      <c r="O179" s="245">
        <f>SUMIFS(BV_Data_An_Prec!$AX:$AX,BV_Data_An_Prec!$AP:$AP,$B179,BV_Data_An_Prec!$AQ:$AQ,$C179,BV_Data_An_Prec!$AY:$AY,O$2)</f>
        <v>122</v>
      </c>
      <c r="P179" s="281">
        <f t="shared" si="52"/>
        <v>2668.9289344262302</v>
      </c>
      <c r="Q179" s="266">
        <f>-SUMIFS(BV_Data_An_Prec!$AN:$AN,BV_Data_An_Prec!$AP:$AP,$B179,BV_Data_An_Prec!$AQ:$AQ,$C179,BV_Data_An_Prec!$AR:$AR,$L2)</f>
        <v>325609.33000000007</v>
      </c>
      <c r="R179" s="245">
        <f>J179-O179</f>
        <v>60</v>
      </c>
      <c r="S179" s="266">
        <f t="shared" si="54"/>
        <v>96842.340000001714</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88">
        <f>R179/O179</f>
        <v>0.49180327868852458</v>
      </c>
      <c r="S180" s="332">
        <f>IF(Q179=0,0,(S179/Q179))</f>
        <v>0.29741881167840517</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3144</v>
      </c>
      <c r="D182" s="269">
        <f>D175+D177+D179</f>
        <v>0</v>
      </c>
      <c r="E182" s="270">
        <f>IF(D182&lt;=0,0,F182/D182)</f>
        <v>0</v>
      </c>
      <c r="F182" s="271" t="e">
        <f>#REF!+#REF!+#REF!</f>
        <v>#REF!</v>
      </c>
      <c r="G182" s="272"/>
      <c r="H182" s="270"/>
      <c r="I182" s="271"/>
      <c r="J182" s="272">
        <f>J175+J177+J179</f>
        <v>840</v>
      </c>
      <c r="K182" s="269">
        <f>IF(J182&lt;=0,0,L182/J182)</f>
        <v>1383.9231547619049</v>
      </c>
      <c r="L182" s="271">
        <f>L175+L179+L177</f>
        <v>1162495.4500000002</v>
      </c>
      <c r="M182" s="272">
        <f>J182-D182</f>
        <v>840</v>
      </c>
      <c r="N182" s="271" t="e">
        <f>#REF!+#REF!+#REF!+#REF!</f>
        <v>#REF!</v>
      </c>
      <c r="O182" s="272">
        <f>O175+O177+O179</f>
        <v>526</v>
      </c>
      <c r="P182" s="269">
        <f>IF(O182&lt;=0,0,Q182/O182)</f>
        <v>1907.0489353612172</v>
      </c>
      <c r="Q182" s="271">
        <f>Q175+Q179+Q177</f>
        <v>1003107.7400000002</v>
      </c>
      <c r="R182" s="272">
        <f>J182-O182</f>
        <v>314</v>
      </c>
      <c r="S182" s="271">
        <f>S175+S179+S177</f>
        <v>159387.70999999996</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5"/>
      <c r="L183" s="960"/>
      <c r="M183" s="276"/>
      <c r="N183" s="277"/>
      <c r="O183" s="273"/>
      <c r="P183" s="945"/>
      <c r="Q183" s="960"/>
      <c r="R183" s="276">
        <f>O182/R182</f>
        <v>1.6751592356687899</v>
      </c>
      <c r="S183" s="326">
        <f>IF(Q182=0,0,(S182/Q182))</f>
        <v>0.15889390904311029</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0.17670623140933581</v>
      </c>
      <c r="K186" s="281">
        <f>IF($J$97=0,0,L186/(J$94+J$95+J182))</f>
        <v>213.09148340248962</v>
      </c>
      <c r="L186" s="266">
        <f>SUMIFS(BV_Data_An_Cour!$AN:$AN,BV_Data_An_Cour!$AP:$AP,$B186,BV_Data_An_Cour!$AQ:$AQ,$C186,BV_Data_An_Cour!$AR:$AR,$L$2)</f>
        <v>205420.19</v>
      </c>
      <c r="M186" s="243"/>
      <c r="N186" s="266">
        <f t="shared" ref="N186:N227" si="56">L186-F186</f>
        <v>205420.19</v>
      </c>
      <c r="O186" s="282">
        <f>Q186/Q182</f>
        <v>0</v>
      </c>
      <c r="P186" s="281">
        <f>IF($J$97=0,0,Q186/(O$94+O$95+O182))</f>
        <v>0</v>
      </c>
      <c r="Q186" s="266">
        <f>SUMIFS(BV_Data_An_Prec!$AN:$AN,BV_Data_An_Prec!$AP:$AP,$B186,BV_Data_An_Prec!$AQ:$AQ,$C186,BV_Data_An_Prec!$AR:$AR,$L$2)</f>
        <v>0</v>
      </c>
      <c r="R186" s="243"/>
      <c r="S186" s="266">
        <f t="shared" ref="S186:S196" si="57">L186-Q186</f>
        <v>205420.19</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10.263215767634854</v>
      </c>
      <c r="L188" s="303">
        <f>SUMIFS(BV_Data_An_Cour!$AN:$AN,BV_Data_An_Cour!$AP:$AP,$B188,BV_Data_An_Cour!$AQ:$AQ,$C188,BV_Data_An_Cour!$AR:$AR,$L$2)</f>
        <v>9893.74</v>
      </c>
      <c r="M188" s="243"/>
      <c r="N188" s="266">
        <f t="shared" si="56"/>
        <v>9893.74</v>
      </c>
      <c r="O188" s="243"/>
      <c r="P188" s="281">
        <f>IF($J$97=0,0,Q188/(O$94+O$95+O182))</f>
        <v>56.279894179894178</v>
      </c>
      <c r="Q188" s="303">
        <f>SUMIFS(BV_Data_An_Prec!$AN:$AN,BV_Data_An_Prec!$AP:$AP,$B188,BV_Data_An_Prec!$AQ:$AQ,$C188,BV_Data_An_Prec!$AR:$AR,$L$2)</f>
        <v>31910.7</v>
      </c>
      <c r="R188" s="243"/>
      <c r="S188" s="266">
        <f t="shared" si="57"/>
        <v>-22016.959999999999</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136.27953319502075</v>
      </c>
      <c r="L192" s="658">
        <f>SUMIFS(BV_Data_An_Cour!$AN:$AN,BV_Data_An_Cour!$AP:$AP,$B192,BV_Data_An_Cour!$AQ:$AQ,$C192,BV_Data_An_Cour!$AR:$AR,$L$2)</f>
        <v>131373.47</v>
      </c>
      <c r="M192" s="243"/>
      <c r="N192" s="658">
        <f t="shared" si="56"/>
        <v>131373.47</v>
      </c>
      <c r="O192" s="243"/>
      <c r="P192" s="281">
        <f>IF($J$97=0,0,Q192/(O$94+O$95+O182))</f>
        <v>249.10781305114639</v>
      </c>
      <c r="Q192" s="658">
        <f>SUMIFS(BV_Data_An_Prec!$AN:$AN,BV_Data_An_Prec!$AP:$AP,$B192,BV_Data_An_Prec!$AQ:$AQ,$C192,BV_Data_An_Prec!$AR:$AR,$L$2)</f>
        <v>141244.13</v>
      </c>
      <c r="R192" s="243"/>
      <c r="S192" s="266">
        <f t="shared" si="57"/>
        <v>-9870.6600000000035</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0.85660095060711472</v>
      </c>
      <c r="L196" s="294">
        <f>SUM(L186:L195)</f>
        <v>346687.4</v>
      </c>
      <c r="M196" s="296"/>
      <c r="N196" s="294">
        <f t="shared" si="56"/>
        <v>346687.4</v>
      </c>
      <c r="O196" s="295" t="s">
        <v>115</v>
      </c>
      <c r="P196" s="293">
        <f>Q196/Q$109</f>
        <v>0.46908074739071731</v>
      </c>
      <c r="Q196" s="294">
        <f>SUM(Q186:Q195)</f>
        <v>173154.83000000002</v>
      </c>
      <c r="R196" s="297"/>
      <c r="S196" s="294">
        <f t="shared" si="57"/>
        <v>173532.57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78315.990000000005</v>
      </c>
      <c r="M197" s="243"/>
      <c r="N197" s="266">
        <f t="shared" si="56"/>
        <v>78315.990000000005</v>
      </c>
      <c r="O197" s="243"/>
      <c r="P197" s="38"/>
      <c r="Q197" s="266">
        <f>SUMIFS(BV_Data_An_Prec!$AN:$AN,BV_Data_An_Prec!$AP:$AP,$B197,BV_Data_An_Prec!$AQ:$AQ,$C197,BV_Data_An_Prec!$AR:$AR,$L$2)</f>
        <v>326577.74</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38756.81</v>
      </c>
      <c r="M198" s="243"/>
      <c r="N198" s="266">
        <f t="shared" si="56"/>
        <v>38756.81</v>
      </c>
      <c r="O198" s="243"/>
      <c r="P198" s="38"/>
      <c r="Q198" s="266">
        <f>SUMIFS(BV_Data_An_Prec!$AN:$AN,BV_Data_An_Prec!$AP:$AP,$B198,BV_Data_An_Prec!$AQ:$AQ,$C198,BV_Data_An_Prec!$AR:$AR,$L$2)</f>
        <v>65451.68</v>
      </c>
      <c r="R198" s="243"/>
      <c r="S198" s="266">
        <f t="shared" ref="S198:S227" si="61">L198-Q198</f>
        <v>-26694.870000000003</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0</v>
      </c>
      <c r="M199" s="233"/>
      <c r="N199" s="303">
        <f t="shared" si="56"/>
        <v>0</v>
      </c>
      <c r="O199" s="233"/>
      <c r="P199" s="301"/>
      <c r="Q199" s="303">
        <f>SUMIFS(BV_Data_An_Prec!$AN:$AN,BV_Data_An_Prec!$AP:$AP,$B199,BV_Data_An_Prec!$AQ:$AQ,$C199,BV_Data_An_Prec!$AR:$AR,$L$2)</f>
        <v>234639.99</v>
      </c>
      <c r="R199" s="233"/>
      <c r="S199" s="303">
        <f t="shared" si="61"/>
        <v>-234639.99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12093.79</v>
      </c>
      <c r="M204" s="243"/>
      <c r="N204" s="266">
        <f t="shared" si="56"/>
        <v>12093.79</v>
      </c>
      <c r="O204" s="243"/>
      <c r="P204" s="38"/>
      <c r="Q204" s="266">
        <f>SUMIFS(BV_Data_An_Prec!$AN:$AN,BV_Data_An_Prec!$AP:$AP,$B204,BV_Data_An_Prec!$AQ:$AQ,$C204,BV_Data_An_Prec!$AR:$AR,$L$2)</f>
        <v>15395.81</v>
      </c>
      <c r="R204" s="243"/>
      <c r="S204" s="266">
        <f t="shared" si="61"/>
        <v>-3302.0199999999986</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41827.78</v>
      </c>
      <c r="M205" s="233"/>
      <c r="N205" s="303">
        <f t="shared" si="56"/>
        <v>41827.78</v>
      </c>
      <c r="O205" s="233"/>
      <c r="P205" s="301"/>
      <c r="Q205" s="303">
        <f>SUMIFS(BV_Data_An_Prec!$AN:$AN,BV_Data_An_Prec!$AP:$AP,$B205,BV_Data_An_Prec!$AQ:$AQ,$C205,BV_Data_An_Prec!$AR:$AR,$L$2)</f>
        <v>24268.27</v>
      </c>
      <c r="R205" s="233"/>
      <c r="S205" s="303">
        <f t="shared" si="61"/>
        <v>17559.509999999998</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7455.73</v>
      </c>
      <c r="M206" s="243"/>
      <c r="N206" s="266">
        <f t="shared" si="56"/>
        <v>7455.73</v>
      </c>
      <c r="O206" s="243"/>
      <c r="P206" s="38"/>
      <c r="Q206" s="266">
        <f>SUMIFS(BV_Data_An_Prec!$AN:$AN,BV_Data_An_Prec!$AP:$AP,$B206,BV_Data_An_Prec!$AQ:$AQ,$C206,BV_Data_An_Prec!$AR:$AR,$L$2)</f>
        <v>14904.9</v>
      </c>
      <c r="R206" s="243"/>
      <c r="S206" s="266">
        <f t="shared" si="61"/>
        <v>-7449.17</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489.96</v>
      </c>
      <c r="M207" s="243"/>
      <c r="N207" s="266">
        <f t="shared" si="56"/>
        <v>489.96</v>
      </c>
      <c r="O207" s="243"/>
      <c r="P207" s="38"/>
      <c r="Q207" s="266">
        <f>SUMIFS(BV_Data_An_Prec!$AN:$AN,BV_Data_An_Prec!$AP:$AP,$B207,BV_Data_An_Prec!$AQ:$AQ,$C207,BV_Data_An_Prec!$AR:$AR,$L$2)</f>
        <v>0</v>
      </c>
      <c r="R207" s="243"/>
      <c r="S207" s="266">
        <f t="shared" si="61"/>
        <v>489.96</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0.44212805396935145</v>
      </c>
      <c r="L209" s="294">
        <f>SUM(L197:L208)</f>
        <v>178940.06</v>
      </c>
      <c r="M209" s="296"/>
      <c r="N209" s="294">
        <f t="shared" si="56"/>
        <v>178940.06</v>
      </c>
      <c r="O209" s="295" t="s">
        <v>115</v>
      </c>
      <c r="P209" s="293">
        <f>Q209/Q$109</f>
        <v>1.8454917667179653</v>
      </c>
      <c r="Q209" s="294">
        <f>SUM(Q197:Q208)</f>
        <v>681238.39</v>
      </c>
      <c r="R209" s="297"/>
      <c r="S209" s="294">
        <f t="shared" si="61"/>
        <v>-502298.33</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1750</v>
      </c>
      <c r="M212" s="238"/>
      <c r="N212" s="286">
        <f t="shared" si="56"/>
        <v>1750</v>
      </c>
      <c r="O212" s="238"/>
      <c r="P212" s="304"/>
      <c r="Q212" s="286">
        <f>SUMIFS(BV_Data_An_Prec!$AN:$AN,BV_Data_An_Prec!$AP:$AP,$B212,BV_Data_An_Prec!$AQ:$AQ,$C212,BV_Data_An_Prec!$AR:$AR,$L$2)</f>
        <v>0</v>
      </c>
      <c r="R212" s="238"/>
      <c r="S212" s="286">
        <f t="shared" si="61"/>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2514.2800000000002</v>
      </c>
      <c r="M214" s="243"/>
      <c r="N214" s="266">
        <f t="shared" si="56"/>
        <v>2514.2800000000002</v>
      </c>
      <c r="O214" s="243"/>
      <c r="P214" s="38"/>
      <c r="Q214" s="266">
        <f>SUMIFS(BV_Data_An_Prec!$AN:$AN,BV_Data_An_Prec!$AP:$AP,$B214,BV_Data_An_Prec!$AQ:$AQ,$C214,BV_Data_An_Prec!$AR:$AR,$L$2)</f>
        <v>0</v>
      </c>
      <c r="R214" s="243"/>
      <c r="S214" s="266">
        <f t="shared" si="61"/>
        <v>2514.2800000000002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528.26</v>
      </c>
      <c r="M215" s="238"/>
      <c r="N215" s="286">
        <f t="shared" si="56"/>
        <v>528.26</v>
      </c>
      <c r="O215" s="238"/>
      <c r="P215" s="304"/>
      <c r="Q215" s="286">
        <f>SUMIFS(BV_Data_An_Prec!$AN:$AN,BV_Data_An_Prec!$AP:$AP,$B215,BV_Data_An_Prec!$AQ:$AQ,$C215,BV_Data_An_Prec!$AR:$AR,$L$2)</f>
        <v>341</v>
      </c>
      <c r="R215" s="238"/>
      <c r="S215" s="286">
        <f t="shared" si="61"/>
        <v>187.26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2002</v>
      </c>
      <c r="M218" s="243"/>
      <c r="N218" s="266">
        <f t="shared" si="56"/>
        <v>2002</v>
      </c>
      <c r="O218" s="243"/>
      <c r="P218" s="38"/>
      <c r="Q218" s="266">
        <f>SUMIFS(BV_Data_An_Prec!$AN:$AN,BV_Data_An_Prec!$AP:$AP,$B218,BV_Data_An_Prec!$AQ:$AQ,$C218,BV_Data_An_Prec!$AR:$AR,$L$2)</f>
        <v>1531.37</v>
      </c>
      <c r="R218" s="243"/>
      <c r="S218" s="266">
        <f t="shared" si="61"/>
        <v>470.63000000000011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630</v>
      </c>
      <c r="M219" s="243"/>
      <c r="N219" s="266">
        <f t="shared" si="56"/>
        <v>630</v>
      </c>
      <c r="O219" s="243"/>
      <c r="P219" s="38"/>
      <c r="Q219" s="266">
        <f>SUMIFS(BV_Data_An_Prec!$AN:$AN,BV_Data_An_Prec!$AP:$AP,$B219,BV_Data_An_Prec!$AQ:$AQ,$C219,BV_Data_An_Prec!$AR:$AR,$L$2)</f>
        <v>525.91</v>
      </c>
      <c r="R219" s="243"/>
      <c r="S219" s="266">
        <f t="shared" si="61"/>
        <v>104.09000000000003</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3827.21</v>
      </c>
      <c r="M220" s="243"/>
      <c r="N220" s="266">
        <f t="shared" si="56"/>
        <v>3827.21</v>
      </c>
      <c r="O220" s="243"/>
      <c r="P220" s="38"/>
      <c r="Q220" s="266">
        <f>SUMIFS(BV_Data_An_Prec!$AN:$AN,BV_Data_An_Prec!$AP:$AP,$B220,BV_Data_An_Prec!$AQ:$AQ,$C220,BV_Data_An_Prec!$AR:$AR,$L$2)</f>
        <v>5065.53</v>
      </c>
      <c r="R220" s="243"/>
      <c r="S220" s="266">
        <f t="shared" si="61"/>
        <v>-1238.3199999999997</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79.900000000000006</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17.5</v>
      </c>
      <c r="M223" s="243"/>
      <c r="N223" s="658">
        <f t="shared" si="56"/>
        <v>17.5</v>
      </c>
      <c r="O223" s="243"/>
      <c r="P223" s="38"/>
      <c r="Q223" s="658">
        <f>SUMIFS(BV_Data_An_Prec!$AN:$AN,BV_Data_An_Prec!$AP:$AP,$B223,BV_Data_An_Prec!$AQ:$AQ,$C223,BV_Data_An_Prec!$AR:$AR,Q$2)</f>
        <v>2134.59</v>
      </c>
      <c r="R223" s="243"/>
      <c r="S223" s="266">
        <f t="shared" si="61"/>
        <v>-2117.09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2.7844248918850893E-2</v>
      </c>
      <c r="L227" s="294">
        <f>+SUM(L210:L226)</f>
        <v>11269.25</v>
      </c>
      <c r="M227" s="296"/>
      <c r="N227" s="294">
        <f t="shared" si="56"/>
        <v>11269.25</v>
      </c>
      <c r="O227" s="295" t="s">
        <v>115</v>
      </c>
      <c r="P227" s="293">
        <f>Q227/Q$109</f>
        <v>2.6218755765990347E-2</v>
      </c>
      <c r="Q227" s="294">
        <f>+SUM(Q210:Q226)</f>
        <v>9678.2999999999993</v>
      </c>
      <c r="R227" s="297"/>
      <c r="S227" s="294">
        <f t="shared" si="61"/>
        <v>1590.9500000000007</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1.326573253495317</v>
      </c>
      <c r="L229" s="294">
        <f>L196+L209+L227</f>
        <v>536896.71</v>
      </c>
      <c r="M229" s="296"/>
      <c r="N229" s="294">
        <f t="shared" ref="N229:N236" si="62">L229-F229</f>
        <v>536896.71</v>
      </c>
      <c r="O229" s="295" t="s">
        <v>115</v>
      </c>
      <c r="P229" s="293">
        <f>Q229/Q$109</f>
        <v>2.3407912698746731</v>
      </c>
      <c r="Q229" s="294">
        <f>Q196+Q209+Q227</f>
        <v>864071.52</v>
      </c>
      <c r="R229" s="297"/>
      <c r="S229" s="294">
        <f t="shared" ref="S229:S236" si="63">L229-Q229</f>
        <v>-327174.81000000006</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625598.74000000022</v>
      </c>
      <c r="M239" s="958"/>
      <c r="N239" s="956" t="e">
        <f>L239-F239</f>
        <v>#REF!</v>
      </c>
      <c r="O239" s="957"/>
      <c r="P239" s="955"/>
      <c r="Q239" s="956">
        <f>Q182-Q229+Q237</f>
        <v>139036.2200000002</v>
      </c>
      <c r="R239" s="959"/>
      <c r="S239" s="956">
        <f>L239-Q239</f>
        <v>486562.52</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Juin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44" t="s">
        <v>339</v>
      </c>
      <c r="E244" s="1245"/>
      <c r="F244" s="1246"/>
      <c r="G244" s="1249"/>
      <c r="H244" s="1245"/>
      <c r="I244" s="1246"/>
      <c r="J244" s="1249" t="s">
        <v>340</v>
      </c>
      <c r="K244" s="1245"/>
      <c r="L244" s="1246"/>
      <c r="M244" s="1249" t="s">
        <v>668</v>
      </c>
      <c r="N244" s="1246"/>
      <c r="O244" s="1244" t="s">
        <v>341</v>
      </c>
      <c r="P244" s="1245"/>
      <c r="Q244" s="1246"/>
      <c r="R244" s="1247" t="s">
        <v>670</v>
      </c>
      <c r="S244" s="1248"/>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1383</v>
      </c>
      <c r="K246" s="281">
        <f>-SUMIFS(BV_Data_An_Cour!$AN:$AN,BV_Data_An_Cour!$AS:$AS,"Oui",BV_Data_An_Cour!$AP:$AP,$B246,BV_Data_An_Cour!$AQ:$AQ,$C246)</f>
        <v>384032.69999999995</v>
      </c>
      <c r="L246" s="266">
        <f>-SUMIFS(BV_Data_An_Cour!$AN:$AN,BV_Data_An_Cour!$AP:$AP,$B246,BV_Data_An_Cour!$AQ:$AQ,$C246,BV_Data_An_Cour!$AR:$AR,$L$2)</f>
        <v>286984.53999999992</v>
      </c>
      <c r="M246" s="282" t="e">
        <f>(K246-E246)/E246</f>
        <v>#DIV/0!</v>
      </c>
      <c r="N246" s="266">
        <f>L246-F246</f>
        <v>286984.53999999992</v>
      </c>
      <c r="O246" s="245">
        <f>SUMIFS(BV_Data_An_Prec!$AX:$AX,BV_Data_An_Prec!$AP:$AP,$B246,BV_Data_An_Prec!$AQ:$AQ,$C246,BV_Data_An_Prec!$AY:$AY,O$2)</f>
        <v>1516</v>
      </c>
      <c r="P246" s="281">
        <f>-SUMIFS(BV_Data_An_Prec!$AN:$AN,BV_Data_An_Prec!$AS:$AS,"Oui",BV_Data_An_Prec!$AP:$AP,$B246,BV_Data_An_Prec!$AQ:$AQ,$C246)</f>
        <v>525403.76</v>
      </c>
      <c r="Q246" s="266">
        <f>-SUMIFS(BV_Data_An_Prec!$AN:$AN,BV_Data_An_Prec!$AP:$AP,$B246,BV_Data_An_Prec!$AQ:$AQ,$C246,BV_Data_An_Prec!$AR:$AR,$L$2)</f>
        <v>406591.70999999996</v>
      </c>
      <c r="R246" s="282">
        <f>IF(O246=0,0,J246/O246)</f>
        <v>0.91226912928759896</v>
      </c>
      <c r="S246" s="266">
        <f>L246-Q246</f>
        <v>-119607.17000000004</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0.74729193633771285</v>
      </c>
      <c r="M247" s="282"/>
      <c r="N247" s="266"/>
      <c r="O247" s="267"/>
      <c r="P247" s="38"/>
      <c r="Q247" s="332">
        <f>IF(Q246=0,0,Q246/P246)</f>
        <v>0.77386524603478279</v>
      </c>
      <c r="R247" s="267"/>
      <c r="S247" s="332">
        <f>IF(Q246=0,0,(S246/Q246))</f>
        <v>-0.29417021316051933</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277.68091106290672</v>
      </c>
      <c r="L248" s="334"/>
      <c r="M248" s="285"/>
      <c r="N248" s="286"/>
      <c r="O248" s="335"/>
      <c r="P248" s="333">
        <f>IFERROR(P246/O246,0)</f>
        <v>346.57240105540899</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1820</v>
      </c>
      <c r="K249" s="336">
        <f>-SUMIFS(BV_Data_An_Cour!$AN:$AN,BV_Data_An_Cour!$AS:$AS,"Oui",BV_Data_An_Cour!$AP:$AP,$B249,BV_Data_An_Cour!$AQ:$AQ,$C249)</f>
        <v>320092.03000000003</v>
      </c>
      <c r="L249" s="266">
        <f>-SUMIFS(BV_Data_An_Cour!$AN:$AN,BV_Data_An_Cour!$AP:$AP,$B249,BV_Data_An_Cour!$AQ:$AQ,$C249,BV_Data_An_Cour!$AR:$AR,$L$2)</f>
        <v>214884.98000000004</v>
      </c>
      <c r="M249" s="282" t="e">
        <f>(K249-E249)/E249</f>
        <v>#DIV/0!</v>
      </c>
      <c r="N249" s="303">
        <f>L249-F249</f>
        <v>214884.98000000004</v>
      </c>
      <c r="O249" s="245">
        <f>SUMIFS(BV_Data_An_Prec!$AX:$AX,BV_Data_An_Prec!$AP:$AP,$B249,BV_Data_An_Prec!$AQ:$AQ,$C249,BV_Data_An_Prec!$AY:$AY,O$2)</f>
        <v>2011</v>
      </c>
      <c r="P249" s="336">
        <f>-SUMIFS(BV_Data_An_Prec!$AN:$AN,BV_Data_An_Prec!$AS:$AS,"Oui",BV_Data_An_Prec!$AP:$AP,$B249,BV_Data_An_Prec!$AQ:$AQ,$C249)</f>
        <v>312653.5</v>
      </c>
      <c r="Q249" s="266">
        <f>-SUMIFS(BV_Data_An_Prec!$AN:$AN,BV_Data_An_Prec!$AP:$AP,$B249,BV_Data_An_Prec!$AQ:$AQ,$C249,BV_Data_An_Prec!$AR:$AR,$L$2)</f>
        <v>214278.26</v>
      </c>
      <c r="R249" s="282">
        <f>IF(O249=0,0,J249/O249)</f>
        <v>0.90502237692690202</v>
      </c>
      <c r="S249" s="266">
        <f>L249-Q249</f>
        <v>606.72000000003027</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0.67132249434639168</v>
      </c>
      <c r="M250" s="282"/>
      <c r="N250" s="332"/>
      <c r="O250" s="243"/>
      <c r="P250" s="38"/>
      <c r="Q250" s="332">
        <f>IF(Q249=0,0,Q249/P249)</f>
        <v>0.6853537862202087</v>
      </c>
      <c r="R250" s="282"/>
      <c r="S250" s="332">
        <f>IF(Q249=0,0,(S249/Q249))</f>
        <v>2.831458497003057E-3</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175.87474175824178</v>
      </c>
      <c r="L251" s="334"/>
      <c r="M251" s="285"/>
      <c r="N251" s="286"/>
      <c r="O251" s="335"/>
      <c r="P251" s="333">
        <f>IFERROR(P249/O249,0)</f>
        <v>155.47165589259075</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3104</v>
      </c>
      <c r="K252" s="336">
        <f>-SUMIFS(BV_Data_An_Cour!$AN:$AN,BV_Data_An_Cour!$AS:$AS,"Oui",BV_Data_An_Cour!$AP:$AP,$B252,BV_Data_An_Cour!$AQ:$AQ,$C252)</f>
        <v>464563.63</v>
      </c>
      <c r="L252" s="266">
        <f>-SUMIFS(BV_Data_An_Cour!$AN:$AN,BV_Data_An_Cour!$AP:$AP,$B252,BV_Data_An_Cour!$AQ:$AQ,$C252,BV_Data_An_Cour!$AR:$AR,$L$2)</f>
        <v>341662.23</v>
      </c>
      <c r="M252" s="282" t="e">
        <f>(K252-E252)/E252</f>
        <v>#DIV/0!</v>
      </c>
      <c r="N252" s="266">
        <f>L252-F252</f>
        <v>341662.23</v>
      </c>
      <c r="O252" s="245">
        <f>SUMIFS(BV_Data_An_Prec!$AX:$AX,BV_Data_An_Prec!$AP:$AP,$B252,BV_Data_An_Prec!$AQ:$AQ,$C252,BV_Data_An_Prec!$AY:$AY,O$2)</f>
        <v>3505</v>
      </c>
      <c r="P252" s="336">
        <f>-SUMIFS(BV_Data_An_Prec!$AN:$AN,BV_Data_An_Prec!$AS:$AS,"Oui",BV_Data_An_Prec!$AP:$AP,$B252,BV_Data_An_Prec!$AQ:$AQ,$C252)</f>
        <v>465901.51</v>
      </c>
      <c r="Q252" s="266">
        <f>-SUMIFS(BV_Data_An_Prec!$AN:$AN,BV_Data_An_Prec!$AP:$AP,$B252,BV_Data_An_Prec!$AQ:$AQ,$C252,BV_Data_An_Prec!$AR:$AR,$L$2)</f>
        <v>338394.12</v>
      </c>
      <c r="R252" s="282">
        <f>IF(O252=0,0,J252/O252)</f>
        <v>0.88559201141226818</v>
      </c>
      <c r="S252" s="266">
        <f>L252-Q252</f>
        <v>3268.109999999986</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0.73544765008832047</v>
      </c>
      <c r="M253" s="282"/>
      <c r="N253" s="266" t="e">
        <f>L253-F253</f>
        <v>#DIV/0!</v>
      </c>
      <c r="O253" s="267"/>
      <c r="P253" s="325"/>
      <c r="Q253" s="332">
        <f>IF(Q252=0,0,Q252/P252)</f>
        <v>0.72632114886255683</v>
      </c>
      <c r="R253" s="267"/>
      <c r="S253" s="332">
        <f>IF(Q252=0,0,(S252/Q252))</f>
        <v>9.6577032721490135E-3</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149.66611791237113</v>
      </c>
      <c r="L254" s="334"/>
      <c r="M254" s="285"/>
      <c r="N254" s="286"/>
      <c r="O254" s="335"/>
      <c r="P254" s="333">
        <f>IFERROR(P252/O252,0)</f>
        <v>132.9248245363766</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-9332.99</v>
      </c>
      <c r="M258" s="267"/>
      <c r="N258" s="266">
        <f>L258-F258</f>
        <v>-9332.99</v>
      </c>
      <c r="O258" s="267"/>
      <c r="P258" s="281"/>
      <c r="Q258" s="281">
        <f>-SUMIFS(BV_Data_An_Prec!$AN:$AN,BV_Data_An_Prec!$AP:$AP,$B258,BV_Data_An_Prec!$AQ:$AQ,$C258,BV_Data_An_Prec!$AR:$AR,$L$2)</f>
        <v>20195.849999999999</v>
      </c>
      <c r="R258" s="345"/>
      <c r="S258" s="266">
        <f t="shared" ref="S258:S259" si="65">L258-Q258</f>
        <v>-29528.839999999997</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3">
        <f t="shared" ref="J259:L259" si="68">J246+J249+J252+J255+J258</f>
        <v>6307</v>
      </c>
      <c r="K259" s="974">
        <f t="shared" si="68"/>
        <v>1168688.3599999999</v>
      </c>
      <c r="L259" s="975">
        <f t="shared" si="68"/>
        <v>834198.76</v>
      </c>
      <c r="M259" s="976" t="e">
        <f>(K259-E259)/E259</f>
        <v>#DIV/0!</v>
      </c>
      <c r="N259" s="975">
        <f>L259-F259</f>
        <v>834198.76</v>
      </c>
      <c r="O259" s="973">
        <f t="shared" ref="O259:Q259" si="69">O246+O249+O252+O255+O258</f>
        <v>7032</v>
      </c>
      <c r="P259" s="974">
        <f t="shared" si="69"/>
        <v>1303958.77</v>
      </c>
      <c r="Q259" s="975">
        <f t="shared" si="69"/>
        <v>979459.94</v>
      </c>
      <c r="R259" s="254">
        <f>IF(O259=0,0,J259/O259)</f>
        <v>0.89689988623435724</v>
      </c>
      <c r="S259" s="348">
        <f t="shared" si="65"/>
        <v>-145261.17999999993</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7"/>
      <c r="K260" s="978">
        <f>IF(J259=0,0,K259/J259)</f>
        <v>185.30019977802439</v>
      </c>
      <c r="L260" s="255">
        <f>IF(L259=0,0,L259/K259)</f>
        <v>0.71379059512494858</v>
      </c>
      <c r="M260" s="977"/>
      <c r="N260" s="979" t="e">
        <f>N259/F259</f>
        <v>#DIV/0!</v>
      </c>
      <c r="O260" s="977"/>
      <c r="P260" s="978">
        <f>IF(O259=0,0,P259/O259)</f>
        <v>185.43213452787259</v>
      </c>
      <c r="Q260" s="255">
        <f>IF(Q259=0,0,Q259/P259)</f>
        <v>0.75114333561328783</v>
      </c>
      <c r="R260" s="354"/>
      <c r="S260" s="255">
        <f>S259/Q259</f>
        <v>-0.14830742337455879</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0"/>
      <c r="F261" s="303"/>
      <c r="G261" s="337"/>
      <c r="H261" s="990"/>
      <c r="I261" s="303"/>
      <c r="J261" s="337"/>
      <c r="K261" s="990"/>
      <c r="L261" s="303"/>
      <c r="M261" s="337"/>
      <c r="N261" s="303"/>
      <c r="O261" s="337"/>
      <c r="P261" s="990"/>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2031</v>
      </c>
      <c r="K262" s="281">
        <f>-SUMIFS(BV_Data_An_Cour!$AN:$AN,BV_Data_An_Cour!$AS:$AS,"Oui",BV_Data_An_Cour!$AP:$AP,$B262,BV_Data_An_Cour!$AQ:$AQ,$C262)</f>
        <v>94896.31</v>
      </c>
      <c r="L262" s="266">
        <f>-SUMIFS(BV_Data_An_Cour!$AN:$AN,BV_Data_An_Cour!$AP:$AP,$B262,BV_Data_An_Cour!$AQ:$AQ,$C262,BV_Data_An_Cour!$AR:$AR,$L$2)</f>
        <v>26050.139999999996</v>
      </c>
      <c r="M262" s="282">
        <f>IF(E262=0,0,(K262-E262)/E262)</f>
        <v>0</v>
      </c>
      <c r="N262" s="266">
        <f>L262-F262</f>
        <v>26050.139999999996</v>
      </c>
      <c r="O262" s="245">
        <f>SUMIFS(BV_Data_An_Prec!$AX:$AX,BV_Data_An_Prec!$AP:$AP,$B262,BV_Data_An_Prec!$AQ:$AQ,$C262,BV_Data_An_Prec!$AY:$AY,O$2)</f>
        <v>1839</v>
      </c>
      <c r="P262" s="281">
        <f>-SUMIFS(BV_Data_An_Prec!$AN:$AN,BV_Data_An_Prec!$AS:$AS,"Oui",BV_Data_An_Prec!$AP:$AP,$B262,BV_Data_An_Prec!$AQ:$AQ,$C262)</f>
        <v>140388.35999999999</v>
      </c>
      <c r="Q262" s="266">
        <f>-SUMIFS(BV_Data_An_Prec!$AN:$AN,BV_Data_An_Prec!$AP:$AP,$B262,BV_Data_An_Prec!$AQ:$AQ,$C262,BV_Data_An_Prec!$AR:$AR,$L$2)</f>
        <v>29214.109999999979</v>
      </c>
      <c r="R262" s="282">
        <f>IF(O262=0,0,J262/O262)</f>
        <v>1.1044045676998369</v>
      </c>
      <c r="S262" s="266">
        <f>L262-Q262</f>
        <v>-3163.969999999983</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0.27451162221165393</v>
      </c>
      <c r="M263" s="267"/>
      <c r="N263" s="266"/>
      <c r="O263" s="267"/>
      <c r="P263" s="325"/>
      <c r="Q263" s="332">
        <f>IF(Q262=0,0,Q262/P262)</f>
        <v>0.2080949588698093</v>
      </c>
      <c r="R263" s="267"/>
      <c r="S263" s="332">
        <f>IF(Q262=0,0,(S262/Q262))</f>
        <v>-0.10830280299485369</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1263584.67</v>
      </c>
      <c r="L268" s="271">
        <f t="shared" si="71"/>
        <v>860248.9</v>
      </c>
      <c r="M268" s="272" t="e">
        <f>L269-F269</f>
        <v>#DIV/0!</v>
      </c>
      <c r="N268" s="271">
        <f>L268-F268</f>
        <v>860248.9</v>
      </c>
      <c r="O268" s="272"/>
      <c r="P268" s="269">
        <f t="shared" ref="P268" si="72">P259+P262+P265</f>
        <v>1444347.13</v>
      </c>
      <c r="Q268" s="271">
        <f>Q259+Q262+Q265</f>
        <v>1008674.0499999999</v>
      </c>
      <c r="R268" s="272">
        <f>L269-Q269</f>
        <v>-1.7559492020317147E-2</v>
      </c>
      <c r="S268" s="271">
        <f>L268-Q268</f>
        <v>-148425.14999999991</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5"/>
      <c r="L269" s="326">
        <f>L268/K268</f>
        <v>0.68080036140356159</v>
      </c>
      <c r="M269" s="276"/>
      <c r="N269" s="277" t="e">
        <f>N268/F268</f>
        <v>#DIV/0!</v>
      </c>
      <c r="O269" s="273"/>
      <c r="P269" s="945"/>
      <c r="Q269" s="326">
        <f>Q268/P268</f>
        <v>0.69835985342387874</v>
      </c>
      <c r="R269" s="276"/>
      <c r="S269" s="326">
        <f>L268/S268</f>
        <v>-5.7958432246826135</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59322.21</v>
      </c>
      <c r="M272" s="243"/>
      <c r="N272" s="266">
        <f t="shared" ref="N272:N303" si="73">L272-F272</f>
        <v>59322.21</v>
      </c>
      <c r="O272" s="243"/>
      <c r="P272" s="38"/>
      <c r="Q272" s="266">
        <f>SUMIFS(BV_Data_An_Prec!$AN:$AN,BV_Data_An_Prec!$AP:$AP,$B272,BV_Data_An_Prec!$AQ:$AQ,$C272,BV_Data_An_Prec!$AR:$AR,$L$2)</f>
        <v>52137.09</v>
      </c>
      <c r="R272" s="243"/>
      <c r="S272" s="266">
        <f t="shared" ref="S272:S303" si="74">L272-Q272</f>
        <v>7185.1200000000026</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160163</v>
      </c>
      <c r="M273" s="243"/>
      <c r="N273" s="266">
        <f t="shared" si="73"/>
        <v>160163</v>
      </c>
      <c r="O273" s="243"/>
      <c r="P273" s="38"/>
      <c r="Q273" s="266">
        <f>SUMIFS(BV_Data_An_Prec!$AN:$AN,BV_Data_An_Prec!$AP:$AP,$B273,BV_Data_An_Prec!$AQ:$AQ,$C273,BV_Data_An_Prec!$AR:$AR,$L$2)</f>
        <v>153417.06</v>
      </c>
      <c r="R273" s="243"/>
      <c r="S273" s="266">
        <f t="shared" si="74"/>
        <v>6745.9400000000023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68693.13</v>
      </c>
      <c r="M274" s="233"/>
      <c r="N274" s="303">
        <f t="shared" si="73"/>
        <v>68693.13</v>
      </c>
      <c r="O274" s="233"/>
      <c r="P274" s="301"/>
      <c r="Q274" s="303">
        <f>SUMIFS(BV_Data_An_Prec!$AN:$AN,BV_Data_An_Prec!$AP:$AP,$B274,BV_Data_An_Prec!$AQ:$AQ,$C274,BV_Data_An_Prec!$AR:$AR,$L$2)</f>
        <v>167924.14</v>
      </c>
      <c r="R274" s="233"/>
      <c r="S274" s="303">
        <f t="shared" si="74"/>
        <v>-99231.010000000009</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15838.4</v>
      </c>
      <c r="M275" s="243"/>
      <c r="N275" s="266">
        <f t="shared" si="73"/>
        <v>15838.4</v>
      </c>
      <c r="O275" s="243"/>
      <c r="P275" s="745"/>
      <c r="Q275" s="266">
        <f>SUMIFS(BV_Data_An_Prec!$AN:$AN,BV_Data_An_Prec!$AP:$AP,$B275,BV_Data_An_Prec!$AQ:$AQ,$C275,BV_Data_An_Prec!$AR:$AR,$L$2)</f>
        <v>0</v>
      </c>
      <c r="R275" s="243"/>
      <c r="S275" s="266">
        <f t="shared" si="74"/>
        <v>15838.4</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82141.7</v>
      </c>
      <c r="M279" s="243"/>
      <c r="N279" s="266">
        <f t="shared" si="73"/>
        <v>82141.7</v>
      </c>
      <c r="O279" s="243"/>
      <c r="P279" s="38"/>
      <c r="Q279" s="266">
        <f>SUMIFS(BV_Data_An_Prec!$AN:$AN,BV_Data_An_Prec!$AP:$AP,$B279,BV_Data_An_Prec!$AQ:$AQ,$C279,BV_Data_An_Prec!$AR:$AR,$L$2)</f>
        <v>97373.06</v>
      </c>
      <c r="R279" s="243"/>
      <c r="S279" s="266">
        <f t="shared" si="74"/>
        <v>-15231.36</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109204.66</v>
      </c>
      <c r="M280" s="233"/>
      <c r="N280" s="303">
        <f t="shared" si="73"/>
        <v>109204.66</v>
      </c>
      <c r="O280" s="233"/>
      <c r="P280" s="301"/>
      <c r="Q280" s="303">
        <f>SUMIFS(BV_Data_An_Prec!$AN:$AN,BV_Data_An_Prec!$AP:$AP,$B280,BV_Data_An_Prec!$AQ:$AQ,$C280,BV_Data_An_Prec!$AR:$AR,$L$2)</f>
        <v>115176.26</v>
      </c>
      <c r="R280" s="233"/>
      <c r="S280" s="303">
        <f t="shared" si="74"/>
        <v>-5971.5999999999913</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48108.2</v>
      </c>
      <c r="M281" s="243"/>
      <c r="N281" s="266">
        <f t="shared" si="73"/>
        <v>48108.2</v>
      </c>
      <c r="O281" s="243"/>
      <c r="P281" s="38"/>
      <c r="Q281" s="266">
        <f>SUMIFS(BV_Data_An_Prec!$AN:$AN,BV_Data_An_Prec!$AP:$AP,$B281,BV_Data_An_Prec!$AQ:$AQ,$C281,BV_Data_An_Prec!$AR:$AR,$L$2)</f>
        <v>64946.559999999998</v>
      </c>
      <c r="R281" s="243"/>
      <c r="S281" s="266">
        <f t="shared" si="74"/>
        <v>-16838.36</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18610.5</v>
      </c>
      <c r="M282" s="243"/>
      <c r="N282" s="266">
        <f t="shared" si="73"/>
        <v>18610.5</v>
      </c>
      <c r="O282" s="243"/>
      <c r="P282" s="38"/>
      <c r="Q282" s="266">
        <f>SUMIFS(BV_Data_An_Prec!$AN:$AN,BV_Data_An_Prec!$AP:$AP,$B282,BV_Data_An_Prec!$AQ:$AQ,$C282,BV_Data_An_Prec!$AR:$AR,$L$2)</f>
        <v>6459.24</v>
      </c>
      <c r="R282" s="243"/>
      <c r="S282" s="266">
        <f t="shared" si="74"/>
        <v>12151.26</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0.65339438388122306</v>
      </c>
      <c r="L284" s="294">
        <f>+SUM(L272:L283)</f>
        <v>562081.79999999993</v>
      </c>
      <c r="M284" s="296"/>
      <c r="N284" s="294">
        <f t="shared" si="73"/>
        <v>562081.79999999993</v>
      </c>
      <c r="O284" s="295" t="s">
        <v>171</v>
      </c>
      <c r="P284" s="293">
        <f>Q284/Q$268</f>
        <v>0.6517798390867694</v>
      </c>
      <c r="Q284" s="294">
        <f>+SUM(Q272:Q283)</f>
        <v>657433.40999999992</v>
      </c>
      <c r="R284" s="297"/>
      <c r="S284" s="294">
        <f t="shared" si="74"/>
        <v>-95351.609999999986</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15839.43</v>
      </c>
      <c r="M285" s="243"/>
      <c r="N285" s="266">
        <f t="shared" si="73"/>
        <v>15839.43</v>
      </c>
      <c r="O285" s="243"/>
      <c r="P285" s="38"/>
      <c r="Q285" s="266">
        <f>SUMIFS(BV_Data_An_Prec!$AN:$AN,BV_Data_An_Prec!$AP:$AP,$B285,BV_Data_An_Prec!$AQ:$AQ,$C285,BV_Data_An_Prec!$AR:$AR,$L$2)</f>
        <v>13295.33</v>
      </c>
      <c r="R285" s="243"/>
      <c r="S285" s="266">
        <f t="shared" si="74"/>
        <v>2544.1000000000004</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16847.89</v>
      </c>
      <c r="M286" s="243"/>
      <c r="N286" s="266">
        <f t="shared" si="73"/>
        <v>16847.89</v>
      </c>
      <c r="O286" s="243"/>
      <c r="P286" s="38"/>
      <c r="Q286" s="266">
        <f>SUMIFS(BV_Data_An_Prec!$AN:$AN,BV_Data_An_Prec!$AP:$AP,$B286,BV_Data_An_Prec!$AQ:$AQ,$C286,BV_Data_An_Prec!$AR:$AR,$L$2)</f>
        <v>12554.91</v>
      </c>
      <c r="R286" s="243"/>
      <c r="S286" s="266">
        <f t="shared" si="74"/>
        <v>4292.9799999999996</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23854.92</v>
      </c>
      <c r="M287" s="238"/>
      <c r="N287" s="286">
        <f t="shared" si="73"/>
        <v>23854.92</v>
      </c>
      <c r="O287" s="238"/>
      <c r="P287" s="304"/>
      <c r="Q287" s="266">
        <f>SUMIFS(BV_Data_An_Prec!$AN:$AN,BV_Data_An_Prec!$AP:$AP,$B287,BV_Data_An_Prec!$AQ:$AQ,$C287,BV_Data_An_Prec!$AR:$AR,$L$2)</f>
        <v>-55650.86</v>
      </c>
      <c r="R287" s="238"/>
      <c r="S287" s="286">
        <f t="shared" si="74"/>
        <v>79505.78</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16679.64</v>
      </c>
      <c r="M288" s="243"/>
      <c r="N288" s="266">
        <f t="shared" si="73"/>
        <v>16679.64</v>
      </c>
      <c r="O288" s="243"/>
      <c r="P288" s="38"/>
      <c r="Q288" s="303">
        <f>SUMIFS(BV_Data_An_Prec!$AN:$AN,BV_Data_An_Prec!$AP:$AP,$B288,BV_Data_An_Prec!$AQ:$AQ,$C288,BV_Data_An_Prec!$AR:$AR,$L$2)</f>
        <v>14856.19</v>
      </c>
      <c r="R288" s="243"/>
      <c r="S288" s="266">
        <f t="shared" si="74"/>
        <v>1823.4499999999989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19339.149999999998</v>
      </c>
      <c r="M289" s="243"/>
      <c r="N289" s="266">
        <f t="shared" si="73"/>
        <v>19339.149999999998</v>
      </c>
      <c r="O289" s="243"/>
      <c r="P289" s="38"/>
      <c r="Q289" s="266">
        <f>SUMIFS(BV_Data_An_Prec!$AN:$AN,BV_Data_An_Prec!$AP:$AP,$B289,BV_Data_An_Prec!$AQ:$AQ,$C289,BV_Data_An_Prec!$AR:$AR,$L$2)</f>
        <v>20676.219999999998</v>
      </c>
      <c r="R289" s="243"/>
      <c r="S289" s="266">
        <f t="shared" si="74"/>
        <v>-1337.0699999999997</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79964.73</v>
      </c>
      <c r="M290" s="238"/>
      <c r="N290" s="286">
        <f t="shared" si="73"/>
        <v>79964.73</v>
      </c>
      <c r="O290" s="238"/>
      <c r="P290" s="304"/>
      <c r="Q290" s="266">
        <f>SUMIFS(BV_Data_An_Prec!$AN:$AN,BV_Data_An_Prec!$AP:$AP,$B290,BV_Data_An_Prec!$AQ:$AQ,$C290,BV_Data_An_Prec!$AR:$AR,$L$2)</f>
        <v>74851.08</v>
      </c>
      <c r="R290" s="238"/>
      <c r="S290" s="286">
        <f t="shared" si="74"/>
        <v>5113.6499999999942</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33544.379999999997</v>
      </c>
      <c r="M292" s="243"/>
      <c r="N292" s="266">
        <f t="shared" si="73"/>
        <v>33544.379999999997</v>
      </c>
      <c r="O292" s="243"/>
      <c r="P292" s="38"/>
      <c r="Q292" s="266">
        <f>SUMIFS(BV_Data_An_Prec!$AN:$AN,BV_Data_An_Prec!$AP:$AP,$B292,BV_Data_An_Prec!$AQ:$AQ,$C292,BV_Data_An_Prec!$AR:$AR,$L$2)</f>
        <v>26504.52</v>
      </c>
      <c r="R292" s="243"/>
      <c r="S292" s="266">
        <f t="shared" si="74"/>
        <v>7039.8599999999969</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8998.02</v>
      </c>
      <c r="M294" s="243"/>
      <c r="N294" s="266">
        <f t="shared" si="73"/>
        <v>8998.02</v>
      </c>
      <c r="O294" s="243"/>
      <c r="P294" s="281"/>
      <c r="Q294" s="266">
        <f>SUMIFS(BV_Data_An_Prec!$AN:$AN,BV_Data_An_Prec!$AP:$AP,$B294,BV_Data_An_Prec!$AQ:$AQ,$C294,BV_Data_An_Prec!$AR:$AR,$L$2)</f>
        <v>8658.26</v>
      </c>
      <c r="R294" s="243"/>
      <c r="S294" s="266">
        <f t="shared" si="74"/>
        <v>339.76000000000022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2968.59</v>
      </c>
      <c r="M295" s="243"/>
      <c r="N295" s="266">
        <f t="shared" si="73"/>
        <v>2968.59</v>
      </c>
      <c r="O295" s="243"/>
      <c r="P295" s="38"/>
      <c r="Q295" s="266">
        <f>SUMIFS(BV_Data_An_Prec!$AN:$AN,BV_Data_An_Prec!$AP:$AP,$B295,BV_Data_An_Prec!$AQ:$AQ,$C295,BV_Data_An_Prec!$AR:$AR,$L$2)</f>
        <v>7032.02</v>
      </c>
      <c r="R295" s="243"/>
      <c r="S295" s="266">
        <f t="shared" si="74"/>
        <v>-4063.4300000000003</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8016.67</v>
      </c>
      <c r="M296" s="243"/>
      <c r="N296" s="266">
        <f t="shared" si="73"/>
        <v>8016.67</v>
      </c>
      <c r="O296" s="243"/>
      <c r="P296" s="38"/>
      <c r="Q296" s="266">
        <f>SUMIFS(BV_Data_An_Prec!$AN:$AN,BV_Data_An_Prec!$AP:$AP,$B296,BV_Data_An_Prec!$AQ:$AQ,$C296,BV_Data_An_Prec!$AR:$AR,$L$2)</f>
        <v>3321.14</v>
      </c>
      <c r="R296" s="243"/>
      <c r="S296" s="266">
        <f t="shared" si="74"/>
        <v>4695.5300000000007</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6253.93</v>
      </c>
      <c r="M297" s="243"/>
      <c r="N297" s="266">
        <f t="shared" si="73"/>
        <v>6253.93</v>
      </c>
      <c r="O297" s="243"/>
      <c r="P297" s="38"/>
      <c r="Q297" s="266">
        <f>SUMIFS(BV_Data_An_Prec!$AN:$AN,BV_Data_An_Prec!$AP:$AP,$B297,BV_Data_An_Prec!$AQ:$AQ,$C297,BV_Data_An_Prec!$AR:$AR,$L$2)</f>
        <v>3262.58</v>
      </c>
      <c r="R297" s="243"/>
      <c r="S297" s="266">
        <f t="shared" si="74"/>
        <v>2991.3500000000004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12469.97</v>
      </c>
      <c r="M298" s="243"/>
      <c r="N298" s="266">
        <f t="shared" si="73"/>
        <v>12469.97</v>
      </c>
      <c r="O298" s="243"/>
      <c r="P298" s="38"/>
      <c r="Q298" s="266">
        <f>SUMIFS(BV_Data_An_Prec!$AN:$AN,BV_Data_An_Prec!$AP:$AP,$B298,BV_Data_An_Prec!$AQ:$AQ,$C298,BV_Data_An_Prec!$AR:$AR,$L$2)</f>
        <v>14434.13</v>
      </c>
      <c r="R298" s="243"/>
      <c r="S298" s="266">
        <f t="shared" si="74"/>
        <v>-1964.1599999999999</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8512.93</v>
      </c>
      <c r="M299" s="243"/>
      <c r="N299" s="266">
        <f t="shared" si="73"/>
        <v>8512.93</v>
      </c>
      <c r="O299" s="243"/>
      <c r="P299" s="38"/>
      <c r="Q299" s="266">
        <f>SUMIFS(BV_Data_An_Prec!$AN:$AN,BV_Data_An_Prec!$AP:$AP,$B299,BV_Data_An_Prec!$AQ:$AQ,$C299,BV_Data_An_Prec!$AR:$AR,Q$2)</f>
        <v>2152.0500000000002</v>
      </c>
      <c r="R299" s="243"/>
      <c r="S299" s="266">
        <f t="shared" si="74"/>
        <v>6360.88</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0.29443833058083535</v>
      </c>
      <c r="L303" s="294">
        <f>+SUM(L285:L302)</f>
        <v>253290.25</v>
      </c>
      <c r="M303" s="296"/>
      <c r="N303" s="294">
        <f t="shared" si="73"/>
        <v>253290.25</v>
      </c>
      <c r="O303" s="295" t="s">
        <v>171</v>
      </c>
      <c r="P303" s="293">
        <f>Q303/Q$268</f>
        <v>0.14469250002019979</v>
      </c>
      <c r="Q303" s="294">
        <f>+SUM(Q285:Q302)</f>
        <v>145947.56999999998</v>
      </c>
      <c r="R303" s="297"/>
      <c r="S303" s="294">
        <f t="shared" si="74"/>
        <v>107342.68000000002</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0.94783271446205852</v>
      </c>
      <c r="L305" s="294">
        <f>L284+L303</f>
        <v>815372.04999999993</v>
      </c>
      <c r="M305" s="296"/>
      <c r="N305" s="294">
        <f>L305-F305</f>
        <v>815372.04999999993</v>
      </c>
      <c r="O305" s="295" t="s">
        <v>115</v>
      </c>
      <c r="P305" s="293">
        <f>Q305/Q$268</f>
        <v>0.79647233910696913</v>
      </c>
      <c r="Q305" s="294">
        <f>Q284+Q303</f>
        <v>803380.97999999986</v>
      </c>
      <c r="R305" s="297"/>
      <c r="S305" s="294">
        <f>L305-Q305</f>
        <v>11991.070000000065</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f>F268-F305</f>
        <v>0</v>
      </c>
      <c r="G307" s="957"/>
      <c r="H307" s="955"/>
      <c r="I307" s="956"/>
      <c r="J307" s="957"/>
      <c r="K307" s="955"/>
      <c r="L307" s="956">
        <f>L268-L305</f>
        <v>44876.850000000093</v>
      </c>
      <c r="M307" s="958"/>
      <c r="N307" s="956">
        <f>L307-F307</f>
        <v>44876.850000000093</v>
      </c>
      <c r="O307" s="957"/>
      <c r="P307" s="955"/>
      <c r="Q307" s="956">
        <f>Q268-Q305</f>
        <v>205293.07000000007</v>
      </c>
      <c r="R307" s="959"/>
      <c r="S307" s="956">
        <f>L307-Q307</f>
        <v>-160416.21999999997</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Juin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44" t="s">
        <v>339</v>
      </c>
      <c r="E312" s="1245"/>
      <c r="F312" s="1246"/>
      <c r="G312" s="1249"/>
      <c r="H312" s="1245"/>
      <c r="I312" s="1246"/>
      <c r="J312" s="1249" t="s">
        <v>340</v>
      </c>
      <c r="K312" s="1245"/>
      <c r="L312" s="1246"/>
      <c r="M312" s="1249" t="s">
        <v>668</v>
      </c>
      <c r="N312" s="1246"/>
      <c r="O312" s="1244" t="s">
        <v>341</v>
      </c>
      <c r="P312" s="1245"/>
      <c r="Q312" s="1246"/>
      <c r="R312" s="1247" t="s">
        <v>670</v>
      </c>
      <c r="S312" s="124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882162.07</v>
      </c>
      <c r="L315" s="266">
        <f>-SUMIFS(BV_Data_An_Cour!$AN:$AN,BV_Data_An_Cour!$AP:$AP,$B315,BV_Data_An_Cour!$AQ:$AQ,$C315,BV_Data_An_Cour!$AR:$AR,$L$2)</f>
        <v>364004.25999999995</v>
      </c>
      <c r="M315" s="282">
        <f>IFERROR((K315-E315)/E315,0)</f>
        <v>0</v>
      </c>
      <c r="N315" s="266">
        <f>L315-F315</f>
        <v>364004.25999999995</v>
      </c>
      <c r="O315" s="267"/>
      <c r="P315" s="281">
        <f>-SUMIFS(BV_Data_An_Prec!$AN:$AN,BV_Data_An_Prec!$AS:$AS,"Oui",BV_Data_An_Prec!$AP:$AP,$B315,BV_Data_An_Prec!$AQ:$AQ,$C315)</f>
        <v>838691.2</v>
      </c>
      <c r="Q315" s="266">
        <f>-SUMIFS(BV_Data_An_Prec!$AN:$AN,BV_Data_An_Prec!$AP:$AP,$B315,BV_Data_An_Prec!$AQ:$AQ,$C315,BV_Data_An_Prec!$AR:$AR,$L$2)</f>
        <v>336919.16999999993</v>
      </c>
      <c r="R315" s="282">
        <f>IF(O315=0,0,J315/O315)</f>
        <v>0</v>
      </c>
      <c r="S315" s="266">
        <f>L315-Q315</f>
        <v>27085.090000000026</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0.41262742117216622</v>
      </c>
      <c r="M316" s="282"/>
      <c r="N316" s="266">
        <f>IFERROR(N315/M315,0)</f>
        <v>0</v>
      </c>
      <c r="O316" s="267"/>
      <c r="P316" s="38"/>
      <c r="Q316" s="332">
        <f>IFERROR(Q315/P315,0)</f>
        <v>0.40172016828124574</v>
      </c>
      <c r="R316" s="267"/>
      <c r="S316" s="332">
        <f>IF(Q315=0,0,(S315/Q315))</f>
        <v>8.0390468728745917E-2</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32335.769999999997</v>
      </c>
      <c r="L318" s="303">
        <f>-SUMIFS(BV_Data_An_Cour!$AN:$AN,BV_Data_An_Cour!$AP:$AP,$B318,BV_Data_An_Cour!$AQ:$AQ,$C318,BV_Data_An_Cour!$AR:$AR,$L$2)</f>
        <v>12201.209999999997</v>
      </c>
      <c r="M318" s="340">
        <f>IFERROR((K318-E318)/E318,0)</f>
        <v>0</v>
      </c>
      <c r="N318" s="303">
        <f>L318-F318</f>
        <v>12201.209999999997</v>
      </c>
      <c r="O318" s="337"/>
      <c r="P318" s="336">
        <f>-SUMIFS(BV_Data_An_Prec!$AN:$AN,BV_Data_An_Prec!$AS:$AS,"Oui",BV_Data_An_Prec!$AP:$AP,$B318,BV_Data_An_Prec!$AQ:$AQ,$C318)</f>
        <v>19946.7</v>
      </c>
      <c r="Q318" s="303">
        <f>-SUMIFS(BV_Data_An_Prec!$AN:$AN,BV_Data_An_Prec!$AP:$AP,$B318,BV_Data_An_Prec!$AQ:$AQ,$C318,BV_Data_An_Prec!$AR:$AR,$L$2)</f>
        <v>9905.1800000000021</v>
      </c>
      <c r="R318" s="282">
        <f>IF(O318=0,0,J318/O318)</f>
        <v>0</v>
      </c>
      <c r="S318" s="266">
        <f>L318-Q318</f>
        <v>2296.0299999999952</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0.37732857451670387</v>
      </c>
      <c r="M319" s="282"/>
      <c r="N319" s="266">
        <f>IFERROR(N318/F318,0)</f>
        <v>0</v>
      </c>
      <c r="O319" s="267"/>
      <c r="P319" s="38"/>
      <c r="Q319" s="332">
        <f>IFERROR(Q318/P318,0)</f>
        <v>0.49658239207487964</v>
      </c>
      <c r="R319" s="267"/>
      <c r="S319" s="332">
        <f>IF(Q318=0,0,(S318/Q318))</f>
        <v>0.23180093647969999</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102201.93000000001</v>
      </c>
      <c r="L321" s="266">
        <f>-SUMIFS(BV_Data_An_Cour!$AN:$AN,BV_Data_An_Cour!$AP:$AP,$B321,BV_Data_An_Cour!$AQ:$AQ,$C321,BV_Data_An_Cour!$AR:$AR,$L$2)</f>
        <v>64961.680000000008</v>
      </c>
      <c r="M321" s="282">
        <f>IFERROR((K321-E321)/E321,0)</f>
        <v>0</v>
      </c>
      <c r="N321" s="303">
        <f>L321-F321</f>
        <v>64961.680000000008</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64961.680000000008</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0.63562087330444739</v>
      </c>
      <c r="M322" s="254"/>
      <c r="N322" s="255">
        <f>IF(L321=0,0,N321/L321)</f>
        <v>1</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-14653.47</v>
      </c>
      <c r="M324" s="928"/>
      <c r="N324" s="929"/>
      <c r="O324" s="681"/>
      <c r="P324" s="38"/>
      <c r="Q324" s="266">
        <f>-SUMIFS(BV_Data_An_Prec!$AN:$AN,BV_Data_An_Prec!$AP:$AP,$B324,BV_Data_An_Prec!$AQ:$AQ,$C324,BV_Data_An_Prec!$AR:$AR,$L$2)</f>
        <v>-2831.34</v>
      </c>
      <c r="R324" s="282">
        <f>IF(O324=0,0,J324/O324)</f>
        <v>0</v>
      </c>
      <c r="S324" s="266">
        <f>L324-Q324</f>
        <v>-11822.13</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3108</v>
      </c>
      <c r="D326" s="269"/>
      <c r="E326" s="270">
        <f t="shared" ref="E326:F326" si="76">E318+E321+E315</f>
        <v>0</v>
      </c>
      <c r="F326" s="271">
        <f t="shared" si="76"/>
        <v>0</v>
      </c>
      <c r="G326" s="272"/>
      <c r="H326" s="270"/>
      <c r="I326" s="271"/>
      <c r="J326" s="272"/>
      <c r="K326" s="269">
        <f t="shared" ref="K326" si="77">K318+K321+K315</f>
        <v>1016699.77</v>
      </c>
      <c r="L326" s="271">
        <f>L318+L321+L315+L324</f>
        <v>426513.68</v>
      </c>
      <c r="M326" s="272" t="e">
        <f>L327-F327</f>
        <v>#DIV/0!</v>
      </c>
      <c r="N326" s="271">
        <f>L326-F326</f>
        <v>426513.68</v>
      </c>
      <c r="O326" s="272"/>
      <c r="P326" s="269">
        <f t="shared" ref="P326" si="78">P318+P321+P315</f>
        <v>858637.89999999991</v>
      </c>
      <c r="Q326" s="271">
        <f>Q318+Q321+Q315+Q324</f>
        <v>343993.00999999989</v>
      </c>
      <c r="R326" s="272"/>
      <c r="S326" s="271">
        <f>L326-Q326</f>
        <v>82520.6700000001</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5"/>
      <c r="L327" s="326">
        <f>L326/K326</f>
        <v>0.41950799300367697</v>
      </c>
      <c r="M327" s="276"/>
      <c r="N327" s="277" t="e">
        <f>N326/F326</f>
        <v>#DIV/0!</v>
      </c>
      <c r="O327" s="273"/>
      <c r="P327" s="945"/>
      <c r="Q327" s="326">
        <f>Q326/P326</f>
        <v>0.40062639909093217</v>
      </c>
      <c r="R327" s="276"/>
      <c r="S327" s="326">
        <f>S326/Q326</f>
        <v>0.23989054312469932</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50127.83</v>
      </c>
      <c r="M330" s="243"/>
      <c r="N330" s="266">
        <f t="shared" ref="N330:N360" si="79">L330-F330</f>
        <v>50127.83</v>
      </c>
      <c r="O330" s="243"/>
      <c r="P330" s="38"/>
      <c r="Q330" s="266" cm="1">
        <f t="array" ref="Q330">+SUMPRODUCT(('Réel 2024'!$A$8:$A$501=$A330)*('Réel 2024'!$C$3:$AO$3=Q$2),'Réel 2024'!$C$8:$AO$501)</f>
        <v>0</v>
      </c>
      <c r="R330" s="243"/>
      <c r="S330" s="266">
        <f t="shared" ref="S330:S361" si="80">L330-Q330</f>
        <v>50127.83</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40223.82</v>
      </c>
      <c r="M331" s="243"/>
      <c r="N331" s="266">
        <f t="shared" si="79"/>
        <v>40223.82</v>
      </c>
      <c r="O331" s="243"/>
      <c r="P331" s="38"/>
      <c r="Q331" s="266" cm="1">
        <f t="array" ref="Q331">+SUMPRODUCT(('Réel 2024'!$A$8:$A$501=$A331)*('Réel 2024'!$C$3:$AO$3=Q$2),'Réel 2024'!$C$8:$AO$501)</f>
        <v>0</v>
      </c>
      <c r="R331" s="243"/>
      <c r="S331" s="266">
        <f t="shared" si="80"/>
        <v>40223.82</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2125.35</v>
      </c>
      <c r="M332" s="233"/>
      <c r="N332" s="303">
        <f t="shared" si="79"/>
        <v>2125.35</v>
      </c>
      <c r="O332" s="233"/>
      <c r="P332" s="301"/>
      <c r="Q332" s="303" cm="1">
        <f t="array" ref="Q332">+SUMPRODUCT(('Réel 2024'!$A$8:$A$501=$A332)*('Réel 2024'!$C$3:$AO$3=Q$2),'Réel 2024'!$C$8:$AO$501)</f>
        <v>0</v>
      </c>
      <c r="R332" s="233"/>
      <c r="S332" s="303">
        <f t="shared" si="80"/>
        <v>2125.35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25255.13</v>
      </c>
      <c r="M337" s="243"/>
      <c r="N337" s="266">
        <f t="shared" si="79"/>
        <v>25255.13</v>
      </c>
      <c r="O337" s="243"/>
      <c r="P337" s="38"/>
      <c r="Q337" s="266" cm="1">
        <f t="array" ref="Q337">+SUMPRODUCT(('Réel 2024'!$A$8:$A$501=$A337)*('Réel 2024'!$C$3:$AO$3=Q$2),'Réel 2024'!$C$8:$AO$501)</f>
        <v>0</v>
      </c>
      <c r="R337" s="243"/>
      <c r="S337" s="266">
        <f t="shared" si="80"/>
        <v>25255.13</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33135.82</v>
      </c>
      <c r="M338" s="233"/>
      <c r="N338" s="303">
        <f t="shared" si="79"/>
        <v>33135.82</v>
      </c>
      <c r="O338" s="233"/>
      <c r="P338" s="301"/>
      <c r="Q338" s="303" cm="1">
        <f t="array" ref="Q338">+SUMPRODUCT(('Réel 2024'!$A$8:$A$501=$A338)*('Réel 2024'!$C$3:$AO$3=Q$2),'Réel 2024'!$C$8:$AO$501)</f>
        <v>0</v>
      </c>
      <c r="R338" s="233"/>
      <c r="S338" s="303">
        <f t="shared" si="80"/>
        <v>33135.82</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12303.01</v>
      </c>
      <c r="M339" s="243"/>
      <c r="N339" s="266">
        <f t="shared" si="79"/>
        <v>12303.01</v>
      </c>
      <c r="O339" s="243"/>
      <c r="P339" s="38"/>
      <c r="Q339" s="266" cm="1">
        <f t="array" ref="Q339">+SUMPRODUCT(('Réel 2024'!$A$8:$A$501=$A339)*('Réel 2024'!$C$3:$AO$3=Q$2),'Réel 2024'!$C$8:$AO$501)</f>
        <v>0</v>
      </c>
      <c r="R339" s="243"/>
      <c r="S339" s="266">
        <f t="shared" si="80"/>
        <v>12303.01</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4982.17</v>
      </c>
      <c r="M340" s="243"/>
      <c r="N340" s="266">
        <f t="shared" si="79"/>
        <v>4982.17</v>
      </c>
      <c r="O340" s="243"/>
      <c r="P340" s="38"/>
      <c r="Q340" s="266" cm="1">
        <f t="array" ref="Q340">+SUMPRODUCT(('Réel 2024'!$A$8:$A$501=$A340)*('Réel 2024'!$C$3:$AO$3=Q$2),'Réel 2024'!$C$8:$AO$501)</f>
        <v>0</v>
      </c>
      <c r="R340" s="243"/>
      <c r="S340" s="266">
        <f t="shared" si="80"/>
        <v>4982.17</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13.78167657142202</v>
      </c>
      <c r="L342" s="294">
        <f>+SUM(L330:L341)</f>
        <v>168153.13000000003</v>
      </c>
      <c r="M342" s="296"/>
      <c r="N342" s="294">
        <f t="shared" si="79"/>
        <v>168153.13000000003</v>
      </c>
      <c r="O342" s="295" t="s">
        <v>115</v>
      </c>
      <c r="P342" s="293">
        <f>Q342/Q$318</f>
        <v>0</v>
      </c>
      <c r="Q342" s="294">
        <f>+SUM(Q330:Q341)</f>
        <v>0</v>
      </c>
      <c r="R342" s="297"/>
      <c r="S342" s="294">
        <f t="shared" si="80"/>
        <v>168153.13000000003</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8424.99</v>
      </c>
      <c r="M343" s="243"/>
      <c r="N343" s="266">
        <f t="shared" si="79"/>
        <v>8424.99</v>
      </c>
      <c r="O343" s="243"/>
      <c r="P343" s="38"/>
      <c r="Q343" s="266" cm="1">
        <f t="array" ref="Q343">+SUMPRODUCT(('Réel 2024'!$A$8:$A$501=$A343)*('Réel 2024'!$C$3:$AO$3=Q$2),'Réel 2024'!$C$8:$AO$501)</f>
        <v>0</v>
      </c>
      <c r="R343" s="243"/>
      <c r="S343" s="266">
        <f t="shared" si="80"/>
        <v>8424.99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6226.7</v>
      </c>
      <c r="M344" s="243"/>
      <c r="N344" s="266">
        <f t="shared" si="79"/>
        <v>6226.7</v>
      </c>
      <c r="O344" s="243"/>
      <c r="P344" s="38"/>
      <c r="Q344" s="266" cm="1">
        <f t="array" ref="Q344">+SUMPRODUCT(('Réel 2024'!$A$8:$A$501=$A344)*('Réel 2024'!$C$3:$AO$3=Q$2),'Réel 2024'!$C$8:$AO$501)</f>
        <v>0</v>
      </c>
      <c r="R344" s="243"/>
      <c r="S344" s="266">
        <f t="shared" si="80"/>
        <v>6226.7</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4254.17</v>
      </c>
      <c r="M345" s="238"/>
      <c r="N345" s="286">
        <f t="shared" si="79"/>
        <v>4254.17</v>
      </c>
      <c r="O345" s="238"/>
      <c r="P345" s="304"/>
      <c r="Q345" s="266" cm="1">
        <f t="array" ref="Q345">+SUMPRODUCT(('Réel 2024'!$A$8:$A$501=$A345)*('Réel 2024'!$C$3:$AO$3=Q$2),'Réel 2024'!$C$8:$AO$501)</f>
        <v>0</v>
      </c>
      <c r="R345" s="238"/>
      <c r="S345" s="286">
        <f t="shared" si="80"/>
        <v>4254.17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12710.82</v>
      </c>
      <c r="M346" s="243"/>
      <c r="N346" s="266">
        <f t="shared" si="79"/>
        <v>12710.82</v>
      </c>
      <c r="O346" s="243"/>
      <c r="P346" s="38"/>
      <c r="Q346" s="303" cm="1">
        <f t="array" ref="Q346">+SUMPRODUCT(('Réel 2024'!$A$8:$A$501=$A346)*('Réel 2024'!$C$3:$AO$3=Q$2),'Réel 2024'!$C$8:$AO$501)</f>
        <v>0</v>
      </c>
      <c r="R346" s="243"/>
      <c r="S346" s="266">
        <f t="shared" si="80"/>
        <v>12710.82</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6348.23</v>
      </c>
      <c r="M347" s="243"/>
      <c r="N347" s="266">
        <f t="shared" si="79"/>
        <v>6348.23</v>
      </c>
      <c r="O347" s="243"/>
      <c r="P347" s="38"/>
      <c r="Q347" s="266" cm="1">
        <f t="array" ref="Q347">+SUMPRODUCT(('Réel 2024'!$A$8:$A$501=$A347)*('Réel 2024'!$C$3:$AO$3=Q$2),'Réel 2024'!$C$8:$AO$501)</f>
        <v>0</v>
      </c>
      <c r="R347" s="243"/>
      <c r="S347" s="266">
        <f t="shared" si="80"/>
        <v>6348.23</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22544.57</v>
      </c>
      <c r="M348" s="238"/>
      <c r="N348" s="286">
        <f t="shared" si="79"/>
        <v>22544.57</v>
      </c>
      <c r="O348" s="238"/>
      <c r="P348" s="304"/>
      <c r="Q348" s="266" cm="1">
        <f t="array" ref="Q348">+SUMPRODUCT(('Réel 2024'!$A$8:$A$501=$A348)*('Réel 2024'!$C$3:$AO$3=Q$2),'Réel 2024'!$C$8:$AO$501)</f>
        <v>0</v>
      </c>
      <c r="R348" s="238"/>
      <c r="S348" s="286">
        <f t="shared" si="80"/>
        <v>22544.57</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72580.490000000005</v>
      </c>
      <c r="M350" s="243"/>
      <c r="N350" s="266">
        <f t="shared" si="79"/>
        <v>72580.490000000005</v>
      </c>
      <c r="O350" s="243"/>
      <c r="P350" s="38"/>
      <c r="Q350" s="266" cm="1">
        <f t="array" ref="Q350">+SUMPRODUCT(('Réel 2024'!$A$8:$A$501=$A350)*('Réel 2024'!$C$3:$AO$3=Q$2),'Réel 2024'!$C$8:$AO$501)</f>
        <v>0</v>
      </c>
      <c r="R350" s="243"/>
      <c r="S350" s="266">
        <f t="shared" si="80"/>
        <v>72580.490000000005</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2793.96</v>
      </c>
      <c r="M352" s="243"/>
      <c r="N352" s="266">
        <f t="shared" si="79"/>
        <v>2793.96</v>
      </c>
      <c r="O352" s="243"/>
      <c r="P352" s="38"/>
      <c r="Q352" s="266" cm="1">
        <f t="array" ref="Q352">+SUMPRODUCT(('Réel 2024'!$A$8:$A$501=$A352)*('Réel 2024'!$C$3:$AO$3=Q$2),'Réel 2024'!$C$8:$AO$501)</f>
        <v>0</v>
      </c>
      <c r="R352" s="243"/>
      <c r="S352" s="266">
        <f t="shared" si="80"/>
        <v>2793.96</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951.18</v>
      </c>
      <c r="M353" s="243"/>
      <c r="N353" s="266">
        <f t="shared" si="79"/>
        <v>951.18</v>
      </c>
      <c r="O353" s="243"/>
      <c r="P353" s="38"/>
      <c r="Q353" s="266" cm="1">
        <f t="array" ref="Q353">+SUMPRODUCT(('Réel 2024'!$A$8:$A$501=$A353)*('Réel 2024'!$C$3:$AO$3=Q$2),'Réel 2024'!$C$8:$AO$501)</f>
        <v>0</v>
      </c>
      <c r="R353" s="243"/>
      <c r="S353" s="266">
        <f t="shared" si="80"/>
        <v>951.18</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2659.67</v>
      </c>
      <c r="M354" s="243"/>
      <c r="N354" s="266">
        <f t="shared" si="79"/>
        <v>2659.67</v>
      </c>
      <c r="O354" s="243"/>
      <c r="P354" s="38"/>
      <c r="Q354" s="266" cm="1">
        <f t="array" ref="Q354">+SUMPRODUCT(('Réel 2024'!$A$8:$A$501=$A354)*('Réel 2024'!$C$3:$AO$3=Q$2),'Réel 2024'!$C$8:$AO$501)</f>
        <v>0</v>
      </c>
      <c r="R354" s="243"/>
      <c r="S354" s="266">
        <f t="shared" si="80"/>
        <v>2659.67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11239.550000000001</v>
      </c>
      <c r="M355" s="243"/>
      <c r="N355" s="266">
        <f t="shared" si="79"/>
        <v>11239.550000000001</v>
      </c>
      <c r="O355" s="243"/>
      <c r="P355" s="38"/>
      <c r="Q355" s="266" cm="1">
        <f t="array" ref="Q355">+SUMPRODUCT(('Réel 2024'!$A$8:$A$501=$A355)*('Réel 2024'!$C$3:$AO$3=Q$2),'Réel 2024'!$C$8:$AO$501)</f>
        <v>0</v>
      </c>
      <c r="R355" s="243"/>
      <c r="S355" s="266">
        <f t="shared" si="80"/>
        <v>11239.550000000001</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944.21</v>
      </c>
      <c r="M356" s="243"/>
      <c r="N356" s="266">
        <f t="shared" si="79"/>
        <v>944.21</v>
      </c>
      <c r="O356" s="243"/>
      <c r="P356" s="38"/>
      <c r="Q356" s="266" cm="1">
        <f t="array" ref="Q356">+SUMPRODUCT(('Réel 2024'!$A$8:$A$501=$A356)*('Réel 2024'!$C$3:$AO$3=Q$2),'Réel 2024'!$C$8:$AO$501)</f>
        <v>0</v>
      </c>
      <c r="R356" s="243"/>
      <c r="S356" s="266">
        <f t="shared" si="80"/>
        <v>944.21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2788.6</v>
      </c>
      <c r="M357" s="243"/>
      <c r="N357" s="266">
        <f t="shared" si="79"/>
        <v>2788.6</v>
      </c>
      <c r="O357" s="243"/>
      <c r="P357" s="38"/>
      <c r="Q357" s="266" cm="1">
        <f t="array" ref="Q357">+SUMPRODUCT(('Réel 2024'!$A$8:$A$501=$A357)*('Réel 2024'!$C$3:$AO$3=Q$2),'Réel 2024'!$C$8:$AO$501)</f>
        <v>0</v>
      </c>
      <c r="R357" s="243"/>
      <c r="S357" s="266">
        <f t="shared" si="80"/>
        <v>2788.6</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3190</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5439.79</v>
      </c>
      <c r="M358" s="243"/>
      <c r="N358" s="266">
        <f t="shared" si="79"/>
        <v>5439.79</v>
      </c>
      <c r="O358" s="243"/>
      <c r="P358" s="38"/>
      <c r="Q358" s="266" cm="1">
        <f t="array" ref="Q358">+SUMPRODUCT(('Réel 2024'!$A$8:$A$501=$A358)*('Réel 2024'!$C$3:$AO$3=Q$2),'Réel 2024'!$C$8:$AO$501)</f>
        <v>0</v>
      </c>
      <c r="R358" s="243"/>
      <c r="S358" s="266">
        <f t="shared" si="80"/>
        <v>5439.79</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0.43929961149355784</v>
      </c>
      <c r="L361" s="294">
        <f>+SUM(L343:L360)</f>
        <v>159906.93</v>
      </c>
      <c r="M361" s="296"/>
      <c r="N361" s="294">
        <f>+SUM(N343:N360)</f>
        <v>159906.93</v>
      </c>
      <c r="O361" s="295" t="s">
        <v>115</v>
      </c>
      <c r="P361" s="293">
        <f>IF(Q326=0,0,Q361/Q$326)</f>
        <v>0</v>
      </c>
      <c r="Q361" s="294">
        <f>+SUM(Q343:Q360)</f>
        <v>0</v>
      </c>
      <c r="R361" s="297"/>
      <c r="S361" s="294">
        <f t="shared" si="80"/>
        <v>159906.93</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26.887502141181091</v>
      </c>
      <c r="L363" s="294">
        <f>L342+L361</f>
        <v>328060.06000000006</v>
      </c>
      <c r="M363" s="296"/>
      <c r="N363" s="294">
        <f>L363-F363</f>
        <v>328060.06000000006</v>
      </c>
      <c r="O363" s="295" t="s">
        <v>115</v>
      </c>
      <c r="P363" s="293">
        <f>Q363/Q$326</f>
        <v>0</v>
      </c>
      <c r="Q363" s="294">
        <f>Q342+Q361</f>
        <v>0</v>
      </c>
      <c r="R363" s="297"/>
      <c r="S363" s="294">
        <f>L363-Q363</f>
        <v>328060.06000000006</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f>F326-F363</f>
        <v>0</v>
      </c>
      <c r="G365" s="957"/>
      <c r="H365" s="955"/>
      <c r="I365" s="956"/>
      <c r="J365" s="957"/>
      <c r="K365" s="955"/>
      <c r="L365" s="956">
        <f>L326-L363</f>
        <v>98453.619999999937</v>
      </c>
      <c r="M365" s="958"/>
      <c r="N365" s="956">
        <f>L365-F365</f>
        <v>98453.619999999937</v>
      </c>
      <c r="O365" s="957"/>
      <c r="P365" s="955"/>
      <c r="Q365" s="956">
        <f>Q326-Q363</f>
        <v>343993.00999999989</v>
      </c>
      <c r="R365" s="959"/>
      <c r="S365" s="956">
        <f>L365-Q365</f>
        <v>-245539.38999999996</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Juin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44" t="s">
        <v>339</v>
      </c>
      <c r="E369" s="1245"/>
      <c r="F369" s="1246"/>
      <c r="G369" s="1249"/>
      <c r="H369" s="1245"/>
      <c r="I369" s="1246"/>
      <c r="J369" s="1249" t="s">
        <v>340</v>
      </c>
      <c r="K369" s="1245"/>
      <c r="L369" s="1246"/>
      <c r="M369" s="1249" t="s">
        <v>668</v>
      </c>
      <c r="N369" s="1246"/>
      <c r="O369" s="1244" t="s">
        <v>341</v>
      </c>
      <c r="P369" s="1245"/>
      <c r="Q369" s="1246"/>
      <c r="R369" s="1247" t="s">
        <v>670</v>
      </c>
      <c r="S369" s="124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281495.37</v>
      </c>
      <c r="K371" s="327">
        <f t="shared" ref="K371:K380" si="83">IF(J371&lt;=0,0,L371/J371)</f>
        <v>0.30338957262423183</v>
      </c>
      <c r="L371" s="266">
        <f>-SUMIFS(BV_Data_An_Cour!$AN:$AN,BV_Data_An_Cour!$AP:$AP,$B371,BV_Data_An_Cour!$AQ:$AQ,$C371,BV_Data_An_Cour!$AR:$AR,$L$2)</f>
        <v>85402.760000000009</v>
      </c>
      <c r="M371" s="282" t="e">
        <f t="shared" ref="M371:M377" si="84">(+J371-D371)/D371</f>
        <v>#DIV/0!</v>
      </c>
      <c r="N371" s="266">
        <f t="shared" ref="N371:N380" si="85">L371-F371</f>
        <v>85402.760000000009</v>
      </c>
      <c r="O371" s="281">
        <f>-SUMIFS(BV_Data_An_Prec!$AN:$AN,BV_Data_An_Prec!$AS:$AS,"Oui",BV_Data_An_Prec!$AP:$AP,$B371,BV_Data_An_Prec!$AQ:$AQ,$C371)</f>
        <v>358388.27</v>
      </c>
      <c r="P371" s="327">
        <f t="shared" ref="P371:P380" si="86">IF(O371&lt;=0,0,Q371/O371)</f>
        <v>0.36366600391246062</v>
      </c>
      <c r="Q371" s="266">
        <f>-SUMIFS(BV_Data_An_Prec!$AN:$AN,BV_Data_An_Prec!$AP:$AP,$B371,BV_Data_An_Prec!$AQ:$AQ,$C371,BV_Data_An_Prec!$AR:$AR,$L$2)</f>
        <v>130333.63</v>
      </c>
      <c r="R371" s="282">
        <f t="shared" ref="R371:R380" si="87">IF(O371=0,0,(J371-O371)/O371)</f>
        <v>-0.21455194390151222</v>
      </c>
      <c r="S371" s="266">
        <f t="shared" ref="S371:S380" si="88">L371-Q371</f>
        <v>-44930.869999999995</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100.64</v>
      </c>
      <c r="K372" s="327">
        <f t="shared" si="83"/>
        <v>0.51281796502384736</v>
      </c>
      <c r="L372" s="266">
        <f>-SUMIFS(BV_Data_An_Cour!$AN:$AN,BV_Data_An_Cour!$AP:$AP,$B372,BV_Data_An_Cour!$AQ:$AQ,$C372,BV_Data_An_Cour!$AR:$AR,$L$2)</f>
        <v>51.61</v>
      </c>
      <c r="M372" s="282" t="e">
        <f t="shared" si="84"/>
        <v>#DIV/0!</v>
      </c>
      <c r="N372" s="266">
        <f t="shared" si="85"/>
        <v>51.61</v>
      </c>
      <c r="O372" s="281">
        <f>-SUMIFS(BV_Data_An_Prec!$AN:$AN,BV_Data_An_Prec!$AS:$AS,"Oui",BV_Data_An_Prec!$AP:$AP,$B372,BV_Data_An_Prec!$AQ:$AQ,$C372)</f>
        <v>18.350000000000001</v>
      </c>
      <c r="P372" s="327">
        <f t="shared" si="86"/>
        <v>0.35476839237057228</v>
      </c>
      <c r="Q372" s="266">
        <f>-SUMIFS(BV_Data_An_Prec!$AN:$AN,BV_Data_An_Prec!$AP:$AP,$B372,BV_Data_An_Prec!$AQ:$AQ,$C372,BV_Data_An_Prec!$AR:$AR,$L$2)</f>
        <v>6.5100000000000016</v>
      </c>
      <c r="R372" s="282">
        <f t="shared" si="87"/>
        <v>4.4844686648501355</v>
      </c>
      <c r="S372" s="266">
        <f t="shared" si="88"/>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360086.9</v>
      </c>
      <c r="K373" s="327">
        <f t="shared" si="83"/>
        <v>0.28960817513772374</v>
      </c>
      <c r="L373" s="266">
        <f>-SUMIFS(BV_Data_An_Cour!$AN:$AN,BV_Data_An_Cour!$AP:$AP,$B373,BV_Data_An_Cour!$AQ:$AQ,$C373,BV_Data_An_Cour!$AR:$AR,$L$2)</f>
        <v>104284.11000000002</v>
      </c>
      <c r="M373" s="282" t="e">
        <f t="shared" si="84"/>
        <v>#DIV/0!</v>
      </c>
      <c r="N373" s="266">
        <f t="shared" si="85"/>
        <v>104284.11000000002</v>
      </c>
      <c r="O373" s="281">
        <f>-SUMIFS(BV_Data_An_Prec!$AN:$AN,BV_Data_An_Prec!$AS:$AS,"Oui",BV_Data_An_Prec!$AP:$AP,$B373,BV_Data_An_Prec!$AQ:$AQ,$C373)</f>
        <v>332790.12</v>
      </c>
      <c r="P373" s="327">
        <f t="shared" si="86"/>
        <v>0.27704878978979308</v>
      </c>
      <c r="Q373" s="266">
        <f>-SUMIFS(BV_Data_An_Prec!$AN:$AN,BV_Data_An_Prec!$AP:$AP,$B373,BV_Data_An_Prec!$AQ:$AQ,$C373,BV_Data_An_Prec!$AR:$AR,$L$2)</f>
        <v>92199.1</v>
      </c>
      <c r="R373" s="282">
        <f t="shared" si="87"/>
        <v>8.2024009607016057E-2</v>
      </c>
      <c r="S373" s="266">
        <f t="shared" si="88"/>
        <v>12085.010000000009</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322913.62</v>
      </c>
      <c r="K374" s="327">
        <f t="shared" si="83"/>
        <v>0.3227394991886684</v>
      </c>
      <c r="L374" s="266">
        <f>-SUMIFS(BV_Data_An_Cour!$AN:$AN,BV_Data_An_Cour!$AP:$AP,$B374,BV_Data_An_Cour!$AQ:$AQ,$C374,BV_Data_An_Cour!$AR:$AR,$L$2)</f>
        <v>104216.97999999998</v>
      </c>
      <c r="M374" s="282" t="e">
        <f t="shared" si="84"/>
        <v>#DIV/0!</v>
      </c>
      <c r="N374" s="266">
        <f t="shared" si="85"/>
        <v>104216.97999999998</v>
      </c>
      <c r="O374" s="281">
        <f>-SUMIFS(BV_Data_An_Prec!$AN:$AN,BV_Data_An_Prec!$AS:$AS,"Oui",BV_Data_An_Prec!$AP:$AP,$B374,BV_Data_An_Prec!$AQ:$AQ,$C374)</f>
        <v>403023.06</v>
      </c>
      <c r="P374" s="327">
        <f t="shared" si="86"/>
        <v>0.28193682019088429</v>
      </c>
      <c r="Q374" s="266">
        <f>-SUMIFS(BV_Data_An_Prec!$AN:$AN,BV_Data_An_Prec!$AP:$AP,$B374,BV_Data_An_Prec!$AQ:$AQ,$C374,BV_Data_An_Prec!$AR:$AR,$L$2)</f>
        <v>113627.03999999998</v>
      </c>
      <c r="R374" s="282">
        <f t="shared" si="87"/>
        <v>-0.19877135566386697</v>
      </c>
      <c r="S374" s="266">
        <f t="shared" si="88"/>
        <v>-9410.0599999999977</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218773.9</v>
      </c>
      <c r="K375" s="327">
        <f t="shared" si="83"/>
        <v>0.23347524544746887</v>
      </c>
      <c r="L375" s="266">
        <f>-SUMIFS(BV_Data_An_Cour!$AN:$AN,BV_Data_An_Cour!$AP:$AP,$B375,BV_Data_An_Cour!$AQ:$AQ,$C375,BV_Data_An_Cour!$AR:$AR,$L$2)</f>
        <v>51078.290000000008</v>
      </c>
      <c r="M375" s="282" t="e">
        <f t="shared" si="84"/>
        <v>#DIV/0!</v>
      </c>
      <c r="N375" s="266">
        <f t="shared" si="85"/>
        <v>51078.290000000008</v>
      </c>
      <c r="O375" s="281">
        <f>-SUMIFS(BV_Data_An_Prec!$AN:$AN,BV_Data_An_Prec!$AS:$AS,"Oui",BV_Data_An_Prec!$AP:$AP,$B375,BV_Data_An_Prec!$AQ:$AQ,$C375)</f>
        <v>185170.21</v>
      </c>
      <c r="P375" s="327">
        <f t="shared" si="86"/>
        <v>0.20867292854503963</v>
      </c>
      <c r="Q375" s="266">
        <f>-SUMIFS(BV_Data_An_Prec!$AN:$AN,BV_Data_An_Prec!$AP:$AP,$B375,BV_Data_An_Prec!$AQ:$AQ,$C375,BV_Data_An_Prec!$AR:$AR,$L$2)</f>
        <v>38640.00999999998</v>
      </c>
      <c r="R375" s="282">
        <f t="shared" si="87"/>
        <v>0.18147460112509461</v>
      </c>
      <c r="S375" s="266">
        <f t="shared" si="88"/>
        <v>12438.280000000028</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794379.49</v>
      </c>
      <c r="K376" s="327">
        <f t="shared" si="83"/>
        <v>0.17109180399408341</v>
      </c>
      <c r="L376" s="266">
        <f>-SUMIFS(BV_Data_An_Cour!$AN:$AN,BV_Data_An_Cour!$AP:$AP,$B376,BV_Data_An_Cour!$AQ:$AQ,$C376,BV_Data_An_Cour!$AR:$AR,$L$2)</f>
        <v>135911.81999999995</v>
      </c>
      <c r="M376" s="282" t="e">
        <f t="shared" si="84"/>
        <v>#DIV/0!</v>
      </c>
      <c r="N376" s="266">
        <f t="shared" si="85"/>
        <v>135911.81999999995</v>
      </c>
      <c r="O376" s="281">
        <f>-SUMIFS(BV_Data_An_Prec!$AN:$AN,BV_Data_An_Prec!$AS:$AS,"Oui",BV_Data_An_Prec!$AP:$AP,$B376,BV_Data_An_Prec!$AQ:$AQ,$C376)</f>
        <v>864560.08</v>
      </c>
      <c r="P376" s="327">
        <f t="shared" si="86"/>
        <v>0.12259444132558146</v>
      </c>
      <c r="Q376" s="266">
        <f>-SUMIFS(BV_Data_An_Prec!$AN:$AN,BV_Data_An_Prec!$AP:$AP,$B376,BV_Data_An_Prec!$AQ:$AQ,$C376,BV_Data_An_Prec!$AR:$AR,$L$2)</f>
        <v>105990.26000000001</v>
      </c>
      <c r="R376" s="282">
        <f t="shared" si="87"/>
        <v>-8.1174913835947604E-2</v>
      </c>
      <c r="S376" s="266">
        <f t="shared" si="88"/>
        <v>29921.559999999939</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62199.199999999997</v>
      </c>
      <c r="M378" s="282"/>
      <c r="N378" s="266">
        <f t="shared" si="85"/>
        <v>62199.199999999997</v>
      </c>
      <c r="O378" s="281">
        <f>-SUMIFS(BV_Data_An_Prec!$AN:$AN,BV_Data_An_Prec!$AS:$AS,"Oui",BV_Data_An_Prec!$AP:$AP,$B378,BV_Data_An_Prec!$AQ:$AQ,$C378)</f>
        <v>0</v>
      </c>
      <c r="P378" s="327">
        <f t="shared" si="86"/>
        <v>0</v>
      </c>
      <c r="Q378" s="266">
        <f>-SUMIFS(BV_Data_An_Prec!$AN:$AN,BV_Data_An_Prec!$AP:$AP,$B378,BV_Data_An_Prec!$AQ:$AQ,$C378,BV_Data_An_Prec!$AR:$AR,$L$2)</f>
        <v>44533.74</v>
      </c>
      <c r="R378" s="282">
        <f t="shared" si="87"/>
        <v>0</v>
      </c>
      <c r="S378" s="266">
        <f t="shared" si="88"/>
        <v>17665.46</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7079.42</v>
      </c>
      <c r="M379" s="282"/>
      <c r="N379" s="266">
        <f t="shared" si="85"/>
        <v>7079.42</v>
      </c>
      <c r="O379" s="281">
        <f>-SUMIFS(BV_Data_An_Prec!$AN:$AN,BV_Data_An_Prec!$AS:$AS,"Oui",BV_Data_An_Prec!$AP:$AP,$B379,BV_Data_An_Prec!$AQ:$AQ,$C379)</f>
        <v>0</v>
      </c>
      <c r="P379" s="327">
        <f t="shared" si="86"/>
        <v>0</v>
      </c>
      <c r="Q379" s="266">
        <f>-SUMIFS(BV_Data_An_Prec!$AN:$AN,BV_Data_An_Prec!$AP:$AP,$B379,BV_Data_An_Prec!$AQ:$AQ,$C379,BV_Data_An_Prec!$AR:$AR,$L$2)</f>
        <v>20889.11</v>
      </c>
      <c r="R379" s="282">
        <f t="shared" si="87"/>
        <v>0</v>
      </c>
      <c r="S379" s="266">
        <f t="shared" si="88"/>
        <v>-13809.69</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1977749.92</v>
      </c>
      <c r="K380" s="370">
        <f t="shared" si="83"/>
        <v>0.27820716079209851</v>
      </c>
      <c r="L380" s="356">
        <f>SUM(L371:L379)</f>
        <v>550224.18999999994</v>
      </c>
      <c r="M380" s="371" t="e">
        <f>(+J380-D380)/D380</f>
        <v>#DIV/0!</v>
      </c>
      <c r="N380" s="356">
        <f t="shared" si="85"/>
        <v>550224.18999999994</v>
      </c>
      <c r="O380" s="355">
        <f t="shared" ref="O380" si="91">SUM(O371:O379)</f>
        <v>2143950.09</v>
      </c>
      <c r="P380" s="370">
        <f t="shared" si="86"/>
        <v>0.25477244202079347</v>
      </c>
      <c r="Q380" s="356">
        <f>SUM(Q371:Q379)</f>
        <v>546219.39999999991</v>
      </c>
      <c r="R380" s="371">
        <f t="shared" si="87"/>
        <v>-7.7520540601763693E-2</v>
      </c>
      <c r="S380" s="356">
        <f t="shared" si="88"/>
        <v>4004.7900000000373</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7.3318340578896277E-3</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147040.26999999999</v>
      </c>
      <c r="K383" s="327">
        <f t="shared" ref="K383:K385" si="93">IF(J383&lt;=0,0,L383/J383)</f>
        <v>0.15021980033088886</v>
      </c>
      <c r="L383" s="303">
        <f>-SUMIFS(BV_Data_An_Cour!$AN:$AN,BV_Data_An_Cour!$AP:$AP,$B383,BV_Data_An_Cour!$AQ:$AQ,$C383,BV_Data_An_Cour!$AR:$AR,$L$2)</f>
        <v>22088.359999999986</v>
      </c>
      <c r="M383" s="282" t="e">
        <f>(+J383-D383)/D383</f>
        <v>#DIV/0!</v>
      </c>
      <c r="N383" s="266">
        <f>L383-F383</f>
        <v>22088.359999999986</v>
      </c>
      <c r="O383" s="281">
        <f>-SUMIFS(BV_Data_An_Prec!$AN:$AN,BV_Data_An_Prec!$AS:$AS,"Oui",BV_Data_An_Prec!$AP:$AP,$B383,BV_Data_An_Prec!$AQ:$AQ,$C383)</f>
        <v>65059.42</v>
      </c>
      <c r="P383" s="327">
        <f t="shared" ref="P383:P385" si="94">IF(O383&lt;=0,0,Q383/O383)</f>
        <v>0.21228563058201258</v>
      </c>
      <c r="Q383" s="303">
        <f>-SUMIFS(BV_Data_An_Prec!$AN:$AN,BV_Data_An_Prec!$AP:$AP,$B383,BV_Data_An_Prec!$AQ:$AQ,$C383,BV_Data_An_Prec!$AR:$AR,$L$2)</f>
        <v>13811.18</v>
      </c>
      <c r="R383" s="282">
        <f t="shared" ref="R383:R385" si="95">IF(O383=0,0,(J383-O383)/O383)</f>
        <v>1.2600919282711096</v>
      </c>
      <c r="S383" s="266">
        <f t="shared" ref="S383:S385" si="96">L383-Q383</f>
        <v>8277.1799999999857</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70711.05</v>
      </c>
      <c r="K384" s="327">
        <f t="shared" si="93"/>
        <v>0.2830809328952123</v>
      </c>
      <c r="L384" s="286">
        <f>-SUMIFS(BV_Data_An_Cour!$AN:$AN,BV_Data_An_Cour!$AP:$AP,$B384,BV_Data_An_Cour!$AQ:$AQ,$C384,BV_Data_An_Cour!$AR:$AR,$L$2)</f>
        <v>20016.950000000004</v>
      </c>
      <c r="M384" s="282" t="e">
        <f>(+J384-D384)/D384</f>
        <v>#DIV/0!</v>
      </c>
      <c r="N384" s="266">
        <f>L384-F384</f>
        <v>20016.950000000004</v>
      </c>
      <c r="O384" s="281">
        <f>-SUMIFS(BV_Data_An_Prec!$AN:$AN,BV_Data_An_Prec!$AS:$AS,"Oui",BV_Data_An_Prec!$AP:$AP,$B384,BV_Data_An_Prec!$AQ:$AQ,$C384)</f>
        <v>27851.759999999998</v>
      </c>
      <c r="P384" s="327">
        <f t="shared" si="94"/>
        <v>0.12831756413239231</v>
      </c>
      <c r="Q384" s="286">
        <f>-SUMIFS(BV_Data_An_Prec!$AN:$AN,BV_Data_An_Prec!$AP:$AP,$B384,BV_Data_An_Prec!$AQ:$AQ,$C384,BV_Data_An_Prec!$AR:$AR,$L$2)</f>
        <v>3573.869999999999</v>
      </c>
      <c r="R384" s="282">
        <f t="shared" si="95"/>
        <v>1.5388359658420154</v>
      </c>
      <c r="S384" s="266">
        <f t="shared" si="96"/>
        <v>16443.080000000005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2195501.2399999998</v>
      </c>
      <c r="K385" s="370">
        <f t="shared" si="93"/>
        <v>0.26979237779888476</v>
      </c>
      <c r="L385" s="356">
        <f>L380+L383+L384</f>
        <v>592329.49999999988</v>
      </c>
      <c r="M385" s="371" t="e">
        <f>(+J385-D385)/D385</f>
        <v>#DIV/0!</v>
      </c>
      <c r="N385" s="356">
        <f>L385-F385</f>
        <v>592329.49999999988</v>
      </c>
      <c r="O385" s="357">
        <f t="shared" ref="O385" si="99">O380+O383+O384</f>
        <v>2236861.2699999996</v>
      </c>
      <c r="P385" s="370">
        <f t="shared" si="94"/>
        <v>0.25196218360023737</v>
      </c>
      <c r="Q385" s="356">
        <f>Q380+Q383+Q384</f>
        <v>563604.44999999995</v>
      </c>
      <c r="R385" s="371">
        <f t="shared" si="95"/>
        <v>-1.8490207933190155E-2</v>
      </c>
      <c r="S385" s="356">
        <f t="shared" si="96"/>
        <v>28725.04999999993</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5.0966684170076965E-2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2195501.2399999998</v>
      </c>
      <c r="K390" s="373">
        <f>IF(J390&lt;=0,0,L390/J390)</f>
        <v>0.26979237779888476</v>
      </c>
      <c r="L390" s="271">
        <f>L385+L388</f>
        <v>592329.49999999988</v>
      </c>
      <c r="M390" s="272" t="e">
        <f>(+J390-D390)/D390</f>
        <v>#DIV/0!</v>
      </c>
      <c r="N390" s="271">
        <f>L390-F390</f>
        <v>592329.49999999988</v>
      </c>
      <c r="O390" s="272">
        <f t="shared" ref="O390" si="102">O385+O388</f>
        <v>2236861.2699999996</v>
      </c>
      <c r="P390" s="373">
        <f>IF(O390&lt;=0,0,Q390/O390)</f>
        <v>0.25196218360023737</v>
      </c>
      <c r="Q390" s="271">
        <f>Q385+Q388</f>
        <v>563604.44999999995</v>
      </c>
      <c r="R390" s="363">
        <f>IF(O390=0,0,(J390-O390)/O390)</f>
        <v>-1.8490207933190155E-2</v>
      </c>
      <c r="S390" s="271">
        <f>L390-Q390</f>
        <v>28725.04999999993</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5.0966684170076965E-2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10128.52</v>
      </c>
      <c r="M394" s="243"/>
      <c r="N394" s="246">
        <f t="shared" ref="N394:N424" si="103">L394-F394</f>
        <v>10128.52</v>
      </c>
      <c r="O394" s="243"/>
      <c r="P394" s="38"/>
      <c r="Q394" s="266">
        <f>SUMIFS(BV_Data_An_Prec!$AN:$AN,BV_Data_An_Prec!$AP:$AP,$B394,BV_Data_An_Prec!$AQ:$AQ,$C394,BV_Data_An_Prec!$AR:$AR,$L$2)</f>
        <v>21422.52</v>
      </c>
      <c r="R394" s="243"/>
      <c r="S394" s="266">
        <f t="shared" ref="S394:S424" si="104">L394-Q394</f>
        <v>-11294</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16800.599999999999</v>
      </c>
      <c r="M395" s="243"/>
      <c r="N395" s="246">
        <f t="shared" si="103"/>
        <v>16800.599999999999</v>
      </c>
      <c r="O395" s="243"/>
      <c r="P395" s="38"/>
      <c r="Q395" s="266">
        <f>SUMIFS(BV_Data_An_Prec!$AN:$AN,BV_Data_An_Prec!$AP:$AP,$B395,BV_Data_An_Prec!$AQ:$AQ,$C395,BV_Data_An_Prec!$AR:$AR,$L$2)</f>
        <v>13873.09</v>
      </c>
      <c r="R395" s="243"/>
      <c r="S395" s="266">
        <f t="shared" si="104"/>
        <v>2927.5099999999984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118770.67</v>
      </c>
      <c r="M396" s="233"/>
      <c r="N396" s="262">
        <f t="shared" si="103"/>
        <v>118770.67</v>
      </c>
      <c r="O396" s="233"/>
      <c r="P396" s="301"/>
      <c r="Q396" s="303">
        <f>SUMIFS(BV_Data_An_Prec!$AN:$AN,BV_Data_An_Prec!$AP:$AP,$B396,BV_Data_An_Prec!$AQ:$AQ,$C396,BV_Data_An_Prec!$AR:$AR,$L$2)</f>
        <v>95730.559999999998</v>
      </c>
      <c r="R396" s="233"/>
      <c r="S396" s="303">
        <f t="shared" si="104"/>
        <v>23040.11</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15415.19</v>
      </c>
      <c r="M401" s="243"/>
      <c r="N401" s="246">
        <f t="shared" si="103"/>
        <v>15415.19</v>
      </c>
      <c r="O401" s="243"/>
      <c r="P401" s="38"/>
      <c r="Q401" s="266">
        <f>SUMIFS(BV_Data_An_Prec!$AN:$AN,BV_Data_An_Prec!$AP:$AP,$B401,BV_Data_An_Prec!$AQ:$AQ,$C401,BV_Data_An_Prec!$AR:$AR,$L$2)</f>
        <v>13906.2</v>
      </c>
      <c r="R401" s="243"/>
      <c r="S401" s="266">
        <f t="shared" si="104"/>
        <v>1508.9899999999998</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19177.02</v>
      </c>
      <c r="M402" s="233"/>
      <c r="N402" s="262">
        <f t="shared" si="103"/>
        <v>19177.02</v>
      </c>
      <c r="O402" s="233"/>
      <c r="P402" s="301"/>
      <c r="Q402" s="303">
        <f>SUMIFS(BV_Data_An_Prec!$AN:$AN,BV_Data_An_Prec!$AP:$AP,$B402,BV_Data_An_Prec!$AQ:$AQ,$C402,BV_Data_An_Prec!$AR:$AR,$L$2)</f>
        <v>19035.150000000001</v>
      </c>
      <c r="R402" s="233"/>
      <c r="S402" s="303">
        <f t="shared" si="104"/>
        <v>141.86999999999898</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7079.69</v>
      </c>
      <c r="M403" s="243"/>
      <c r="N403" s="246">
        <f t="shared" si="103"/>
        <v>7079.69</v>
      </c>
      <c r="O403" s="243"/>
      <c r="P403" s="38"/>
      <c r="Q403" s="266">
        <f>SUMIFS(BV_Data_An_Prec!$AN:$AN,BV_Data_An_Prec!$AP:$AP,$B403,BV_Data_An_Prec!$AQ:$AQ,$C403,BV_Data_An_Prec!$AR:$AR,$L$2)</f>
        <v>9496.68</v>
      </c>
      <c r="R403" s="243"/>
      <c r="S403" s="266">
        <f t="shared" si="104"/>
        <v>-2416.9900000000007</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5174.1000000000004</v>
      </c>
      <c r="M404" s="243"/>
      <c r="N404" s="246">
        <f t="shared" si="103"/>
        <v>5174.1000000000004</v>
      </c>
      <c r="O404" s="243"/>
      <c r="P404" s="38"/>
      <c r="Q404" s="266">
        <f>SUMIFS(BV_Data_An_Prec!$AN:$AN,BV_Data_An_Prec!$AP:$AP,$B404,BV_Data_An_Prec!$AQ:$AQ,$C404,BV_Data_An_Prec!$AR:$AR,$L$2)</f>
        <v>1322.54</v>
      </c>
      <c r="R404" s="243"/>
      <c r="S404" s="266">
        <f t="shared" si="104"/>
        <v>3851.5600000000004</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0.32506533947743621</v>
      </c>
      <c r="L406" s="294">
        <f>+SUM(L394:L405)</f>
        <v>192545.79</v>
      </c>
      <c r="M406" s="296"/>
      <c r="N406" s="294">
        <f t="shared" si="103"/>
        <v>192545.79</v>
      </c>
      <c r="O406" s="295" t="s">
        <v>115</v>
      </c>
      <c r="P406" s="293">
        <f>Q406/Q$390</f>
        <v>0.31012306591972438</v>
      </c>
      <c r="Q406" s="294">
        <f>+SUM(Q394:Q405)</f>
        <v>174786.74</v>
      </c>
      <c r="R406" s="297"/>
      <c r="S406" s="294">
        <f t="shared" si="104"/>
        <v>17759.050000000017</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5564.85</v>
      </c>
      <c r="M407" s="243"/>
      <c r="N407" s="266">
        <f t="shared" si="103"/>
        <v>5564.85</v>
      </c>
      <c r="O407" s="243"/>
      <c r="P407" s="38"/>
      <c r="Q407" s="266">
        <f>SUMIFS(BV_Data_An_Prec!$AN:$AN,BV_Data_An_Prec!$AP:$AP,$B407,BV_Data_An_Prec!$AQ:$AQ,$C407,BV_Data_An_Prec!$AR:$AR,$L$2)</f>
        <v>7371.52</v>
      </c>
      <c r="R407" s="243"/>
      <c r="S407" s="266">
        <f t="shared" si="104"/>
        <v>-1806.67</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0</v>
      </c>
      <c r="M408" s="243"/>
      <c r="N408" s="266">
        <f t="shared" si="103"/>
        <v>0</v>
      </c>
      <c r="O408" s="243"/>
      <c r="P408" s="38"/>
      <c r="Q408" s="266">
        <f>SUMIFS(BV_Data_An_Prec!$AN:$AN,BV_Data_An_Prec!$AP:$AP,$B408,BV_Data_An_Prec!$AQ:$AQ,$C408,BV_Data_An_Prec!$AR:$AR,$L$2)</f>
        <v>912.82</v>
      </c>
      <c r="R408" s="243"/>
      <c r="S408" s="266">
        <f t="shared" si="104"/>
        <v>-912.82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13019.52</v>
      </c>
      <c r="M409" s="238"/>
      <c r="N409" s="286">
        <f t="shared" si="103"/>
        <v>13019.52</v>
      </c>
      <c r="O409" s="238"/>
      <c r="P409" s="304"/>
      <c r="Q409" s="286">
        <f>SUMIFS(BV_Data_An_Prec!$AN:$AN,BV_Data_An_Prec!$AP:$AP,$B409,BV_Data_An_Prec!$AQ:$AQ,$C409,BV_Data_An_Prec!$AR:$AR,$L$2)</f>
        <v>17042.830000000002</v>
      </c>
      <c r="R409" s="238"/>
      <c r="S409" s="286">
        <f t="shared" si="104"/>
        <v>-4023.3100000000013</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11089.38</v>
      </c>
      <c r="M410" s="243"/>
      <c r="N410" s="266">
        <f t="shared" si="103"/>
        <v>11089.38</v>
      </c>
      <c r="O410" s="243"/>
      <c r="P410" s="38"/>
      <c r="Q410" s="266">
        <f>SUMIFS(BV_Data_An_Prec!$AN:$AN,BV_Data_An_Prec!$AP:$AP,$B410,BV_Data_An_Prec!$AQ:$AQ,$C410,BV_Data_An_Prec!$AR:$AR,$L$2)</f>
        <v>9972.3700000000008</v>
      </c>
      <c r="R410" s="243"/>
      <c r="S410" s="266">
        <f t="shared" si="104"/>
        <v>1117.0099999999984</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6472.9699999999993</v>
      </c>
      <c r="M411" s="243"/>
      <c r="N411" s="266">
        <f t="shared" si="103"/>
        <v>6472.9699999999993</v>
      </c>
      <c r="O411" s="243"/>
      <c r="P411" s="38"/>
      <c r="Q411" s="266">
        <f>SUMIFS(BV_Data_An_Prec!$AN:$AN,BV_Data_An_Prec!$AP:$AP,$B411,BV_Data_An_Prec!$AQ:$AQ,$C411,BV_Data_An_Prec!$AR:$AR,$L$2)</f>
        <v>7661.05</v>
      </c>
      <c r="R411" s="243"/>
      <c r="S411" s="266">
        <f t="shared" si="104"/>
        <v>-1188.0800000000008</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17293.57</v>
      </c>
      <c r="M412" s="238"/>
      <c r="N412" s="286">
        <f t="shared" si="103"/>
        <v>17293.57</v>
      </c>
      <c r="O412" s="238"/>
      <c r="P412" s="304"/>
      <c r="Q412" s="286">
        <f>SUMIFS(BV_Data_An_Prec!$AN:$AN,BV_Data_An_Prec!$AP:$AP,$B412,BV_Data_An_Prec!$AQ:$AQ,$C412,BV_Data_An_Prec!$AR:$AR,$L$2)</f>
        <v>14424.11</v>
      </c>
      <c r="R412" s="238"/>
      <c r="S412" s="286">
        <f t="shared" si="104"/>
        <v>2869.4599999999991</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1197</v>
      </c>
      <c r="M414" s="243"/>
      <c r="N414" s="266">
        <f t="shared" si="103"/>
        <v>1197</v>
      </c>
      <c r="O414" s="243"/>
      <c r="P414" s="38"/>
      <c r="Q414" s="266">
        <f>SUMIFS(BV_Data_An_Prec!$AN:$AN,BV_Data_An_Prec!$AP:$AP,$B414,BV_Data_An_Prec!$AQ:$AQ,$C414,BV_Data_An_Prec!$AR:$AR,$L$2)</f>
        <v>836.96</v>
      </c>
      <c r="R414" s="243"/>
      <c r="S414" s="266">
        <f t="shared" si="104"/>
        <v>360.03999999999996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2872.38</v>
      </c>
      <c r="M416" s="243"/>
      <c r="N416" s="266">
        <f t="shared" si="103"/>
        <v>2872.38</v>
      </c>
      <c r="O416" s="243"/>
      <c r="P416" s="38"/>
      <c r="Q416" s="266">
        <f>SUMIFS(BV_Data_An_Prec!$AN:$AN,BV_Data_An_Prec!$AP:$AP,$B416,BV_Data_An_Prec!$AQ:$AQ,$C416,BV_Data_An_Prec!$AR:$AR,$L$2)</f>
        <v>2660.27</v>
      </c>
      <c r="R416" s="243"/>
      <c r="S416" s="266">
        <f t="shared" si="104"/>
        <v>212.11000000000013</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951.13</v>
      </c>
      <c r="M417" s="243"/>
      <c r="N417" s="266">
        <f t="shared" si="103"/>
        <v>951.13</v>
      </c>
      <c r="O417" s="243"/>
      <c r="P417" s="38"/>
      <c r="Q417" s="266">
        <f>SUMIFS(BV_Data_An_Prec!$AN:$AN,BV_Data_An_Prec!$AP:$AP,$B417,BV_Data_An_Prec!$AQ:$AQ,$C417,BV_Data_An_Prec!$AR:$AR,$L$2)</f>
        <v>2128.9899999999998</v>
      </c>
      <c r="R417" s="243"/>
      <c r="S417" s="266">
        <f t="shared" si="104"/>
        <v>-1177.8599999999997</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6441.54</v>
      </c>
      <c r="M418" s="243"/>
      <c r="N418" s="266">
        <f t="shared" si="103"/>
        <v>6441.54</v>
      </c>
      <c r="O418" s="243"/>
      <c r="P418" s="38"/>
      <c r="Q418" s="266">
        <f>SUMIFS(BV_Data_An_Prec!$AN:$AN,BV_Data_An_Prec!$AP:$AP,$B418,BV_Data_An_Prec!$AQ:$AQ,$C418,BV_Data_An_Prec!$AR:$AR,$L$2)</f>
        <v>3311.11</v>
      </c>
      <c r="R418" s="243"/>
      <c r="S418" s="266">
        <f t="shared" si="104"/>
        <v>3130.43</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11872.810000000001</v>
      </c>
      <c r="M419" s="243"/>
      <c r="N419" s="266">
        <f t="shared" si="103"/>
        <v>11872.810000000001</v>
      </c>
      <c r="O419" s="243"/>
      <c r="P419" s="38"/>
      <c r="Q419" s="266">
        <f>SUMIFS(BV_Data_An_Prec!$AN:$AN,BV_Data_An_Prec!$AP:$AP,$B419,BV_Data_An_Prec!$AQ:$AQ,$C419,BV_Data_An_Prec!$AR:$AR,$L$2)</f>
        <v>7829.7199999999993</v>
      </c>
      <c r="R419" s="243"/>
      <c r="S419" s="266">
        <f t="shared" si="104"/>
        <v>4043.090000000002</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764.33</v>
      </c>
      <c r="M420" s="243"/>
      <c r="N420" s="266">
        <f t="shared" si="103"/>
        <v>764.33</v>
      </c>
      <c r="O420" s="243"/>
      <c r="P420" s="38"/>
      <c r="Q420" s="266">
        <f>SUMIFS(BV_Data_An_Prec!$AN:$AN,BV_Data_An_Prec!$AP:$AP,$B420,BV_Data_An_Prec!$AQ:$AQ,$C420,BV_Data_An_Prec!$AR:$AR,$L$2)</f>
        <v>7025</v>
      </c>
      <c r="R420" s="243"/>
      <c r="S420" s="266">
        <f t="shared" si="104"/>
        <v>-6260.67</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2788.54</v>
      </c>
      <c r="M421" s="243"/>
      <c r="N421" s="266">
        <f t="shared" si="103"/>
        <v>2788.54</v>
      </c>
      <c r="O421" s="243"/>
      <c r="P421" s="38"/>
      <c r="Q421" s="266">
        <f>SUMIFS(BV_Data_An_Prec!$AN:$AN,BV_Data_An_Prec!$AP:$AP,$B421,BV_Data_An_Prec!$AQ:$AQ,$C421,BV_Data_An_Prec!$AR:$AR,Q$2)</f>
        <v>679.05</v>
      </c>
      <c r="R421" s="243"/>
      <c r="S421" s="266">
        <f t="shared" si="104"/>
        <v>2109.4899999999998</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0.13561374201352458</v>
      </c>
      <c r="L425" s="294">
        <f>+SUM(L407:L424)</f>
        <v>80328.01999999999</v>
      </c>
      <c r="M425" s="296"/>
      <c r="N425" s="294">
        <f>+SUM(N407:N424)</f>
        <v>80328.01999999999</v>
      </c>
      <c r="O425" s="295" t="s">
        <v>115</v>
      </c>
      <c r="P425" s="293">
        <f>Q425/Q$390</f>
        <v>0.1452362556754121</v>
      </c>
      <c r="Q425" s="294">
        <f>+SUM(Q407:Q424)</f>
        <v>81855.8</v>
      </c>
      <c r="R425" s="297"/>
      <c r="S425" s="294">
        <f>+SUM(S407:S424)</f>
        <v>-1527.7800000000029</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0.46067908149096076</v>
      </c>
      <c r="L427" s="294">
        <f>L406+L425</f>
        <v>272873.81</v>
      </c>
      <c r="M427" s="296"/>
      <c r="N427" s="294">
        <f>L427-F427</f>
        <v>272873.81</v>
      </c>
      <c r="O427" s="295" t="s">
        <v>115</v>
      </c>
      <c r="P427" s="293">
        <f>Q427/Q$390</f>
        <v>0.45535932159513642</v>
      </c>
      <c r="Q427" s="294">
        <f>Q406+Q425</f>
        <v>256642.53999999998</v>
      </c>
      <c r="R427" s="297"/>
      <c r="S427" s="294">
        <f>L427-Q427</f>
        <v>16231.270000000019</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f>F390-F427</f>
        <v>0</v>
      </c>
      <c r="G429" s="957"/>
      <c r="H429" s="955"/>
      <c r="I429" s="956"/>
      <c r="J429" s="957"/>
      <c r="K429" s="955"/>
      <c r="L429" s="956">
        <f>L390-L427</f>
        <v>319455.68999999989</v>
      </c>
      <c r="M429" s="958"/>
      <c r="N429" s="956">
        <f>L429-F429</f>
        <v>319455.68999999989</v>
      </c>
      <c r="O429" s="957"/>
      <c r="P429" s="955"/>
      <c r="Q429" s="956">
        <f>Q390-Q427</f>
        <v>306961.90999999997</v>
      </c>
      <c r="R429" s="959"/>
      <c r="S429" s="956">
        <f>L429-Q429</f>
        <v>12493.779999999912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Juin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44" t="s">
        <v>339</v>
      </c>
      <c r="E434" s="1245"/>
      <c r="F434" s="1246"/>
      <c r="G434" s="1249"/>
      <c r="H434" s="1245"/>
      <c r="I434" s="1246"/>
      <c r="J434" s="1249" t="s">
        <v>340</v>
      </c>
      <c r="K434" s="1245"/>
      <c r="L434" s="1246"/>
      <c r="M434" s="1249"/>
      <c r="N434" s="1246"/>
      <c r="O434" s="1244" t="s">
        <v>341</v>
      </c>
      <c r="P434" s="1245"/>
      <c r="Q434" s="1246"/>
      <c r="R434" s="1249" t="s">
        <v>342</v>
      </c>
      <c r="S434" s="124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97132.5</v>
      </c>
      <c r="L437" s="658">
        <f>-SUMIFS(BV_Data_An_Cour!$AN:$AN,BV_Data_An_Cour!$AP:$AP,$B437,BV_Data_An_Cour!$AQ:$AQ,$C437,BV_Data_An_Cour!$AR:$AR,$L$2)</f>
        <v>73227.25</v>
      </c>
      <c r="M437" s="925">
        <f>IFERROR((K437-E437)/E437,0)</f>
        <v>0</v>
      </c>
      <c r="N437" s="658">
        <f>L437-F437</f>
        <v>73227.25</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73227.25</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0.75389030448099248</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471485.42</v>
      </c>
      <c r="L440" s="303">
        <f>-SUMIFS(BV_Data_An_Cour!$AN:$AN,BV_Data_An_Cour!$AP:$AP,$B440,BV_Data_An_Cour!$AQ:$AQ,$C440,BV_Data_An_Cour!$AR:$AR,$L$2)</f>
        <v>356641.39</v>
      </c>
      <c r="M440" s="340">
        <f>IFERROR((K440-E440)/E440,0)</f>
        <v>0</v>
      </c>
      <c r="N440" s="303">
        <f>L440-F440</f>
        <v>356641.39</v>
      </c>
      <c r="O440" s="337" cm="1">
        <f t="array" ref="O440">+SUMPRODUCT(('Réel 2024'!$A$8:$A$501=$A440)*('Réel 2024'!$C$3:$AO$3=O$2),'Réel 2024'!$C$8:$AO$501)</f>
        <v>0</v>
      </c>
      <c r="P440" s="336">
        <f>-SUMIFS(BV_Data_An_Prec!$AN:$AN,BV_Data_An_Prec!$AS:$AS,"Oui",BV_Data_An_Prec!$AP:$AP,$B440,BV_Data_An_Prec!$AQ:$AQ,$C440)</f>
        <v>524853.14</v>
      </c>
      <c r="Q440" s="303">
        <f>-SUMIFS(BV_Data_An_Prec!$AN:$AN,BV_Data_An_Prec!$AP:$AP,$B440,BV_Data_An_Prec!$AQ:$AQ,$C440,BV_Data_An_Prec!$AR:$AR,$L$2)</f>
        <v>394807.56</v>
      </c>
      <c r="R440" s="282">
        <f>IF(O440=0,0,J440/O440)</f>
        <v>0</v>
      </c>
      <c r="S440" s="266">
        <f>L440-Q440</f>
        <v>-38166.169999999984</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0.75642082421127688</v>
      </c>
      <c r="M441" s="282"/>
      <c r="N441" s="266">
        <f>IFERROR(N440/M440,0)</f>
        <v>0</v>
      </c>
      <c r="O441" s="267"/>
      <c r="P441" s="38"/>
      <c r="Q441" s="332">
        <f>IFERROR(Q440/P440,0)</f>
        <v>0.75222482235697397</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3090</v>
      </c>
      <c r="L443" s="266">
        <f>-SUMIFS(BV_Data_An_Cour!$AN:$AN,BV_Data_An_Cour!$AP:$AP,$B443,BV_Data_An_Cour!$AQ:$AQ,$C443,BV_Data_An_Cour!$AR:$AR,$L$2)</f>
        <v>2259.4700000000003</v>
      </c>
      <c r="M443" s="282">
        <f>IFERROR((K443-E443)/E443,0)</f>
        <v>0</v>
      </c>
      <c r="N443" s="303">
        <f>L443-F443</f>
        <v>2259.4700000000003</v>
      </c>
      <c r="O443" s="337" cm="1">
        <f t="array" ref="O443">+SUMPRODUCT(('Réel 2024'!$A$8:$A$501=$A443)*('Réel 2024'!$C$3:$AO$3=O$2),'Réel 2024'!$C$8:$AO$501)</f>
        <v>0</v>
      </c>
      <c r="P443" s="281">
        <f>-SUMIFS(BV_Data_An_Prec!$AN:$AN,BV_Data_An_Prec!$AS:$AS,"Oui",BV_Data_An_Prec!$AP:$AP,$B443,BV_Data_An_Prec!$AQ:$AQ,$C443)</f>
        <v>3150</v>
      </c>
      <c r="Q443" s="266">
        <f>-SUMIFS(BV_Data_An_Prec!$AN:$AN,BV_Data_An_Prec!$AP:$AP,$B443,BV_Data_An_Prec!$AQ:$AQ,$C443,BV_Data_An_Prec!$AR:$AR,$L$2)</f>
        <v>2075.1800000000003</v>
      </c>
      <c r="R443" s="282">
        <f>IF(O443=0,0,J443/O443)</f>
        <v>0</v>
      </c>
      <c r="S443" s="266">
        <f>L443-Q443</f>
        <v>184.28999999999996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0.73122006472491918</v>
      </c>
      <c r="M444" s="282"/>
      <c r="N444" s="266">
        <f>IFERROR(N443/M443,0)</f>
        <v>0</v>
      </c>
      <c r="O444" s="267"/>
      <c r="P444" s="38"/>
      <c r="Q444" s="332">
        <f>IFERROR(Q443/P443,0)</f>
        <v>0.6587873015873017</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571707.91999999993</v>
      </c>
      <c r="L448" s="271">
        <f>L437+L440+L443</f>
        <v>432128.11</v>
      </c>
      <c r="M448" s="272"/>
      <c r="N448" s="271"/>
      <c r="O448" s="272"/>
      <c r="P448" s="269">
        <f>P437+P440+P443</f>
        <v>528003.14</v>
      </c>
      <c r="Q448" s="271">
        <f>Q437+Q440+Q443</f>
        <v>396882.74</v>
      </c>
      <c r="R448" s="272">
        <f>IF(O448=0,0,(J448-O448)/O448)</f>
        <v>0</v>
      </c>
      <c r="S448" s="271">
        <f>L448-Q448</f>
        <v>35245.369999999995</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5"/>
      <c r="L449" s="326">
        <f>L448/K448</f>
        <v>0.75585468537850597</v>
      </c>
      <c r="M449" s="276"/>
      <c r="N449" s="277"/>
      <c r="O449" s="273"/>
      <c r="P449" s="945"/>
      <c r="Q449" s="326">
        <f>Q448/P448</f>
        <v>0.75166738591743976</v>
      </c>
      <c r="R449" s="276"/>
      <c r="S449" s="326">
        <f>IF(Q448=0,0,S448/Q448)</f>
        <v>8.880549957904442E-2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1560</v>
      </c>
      <c r="M452" s="243"/>
      <c r="N452" s="253"/>
      <c r="O452" s="243"/>
      <c r="P452" s="38"/>
      <c r="Q452" s="266" cm="1">
        <f t="array" ref="Q452">+SUMPRODUCT(('Réel 2024'!$A$8:$A$501=$A452)*('Réel 2024'!$C$3:$AO$3=Q$2),'Réel 2024'!$C$8:$AO$501)</f>
        <v>0</v>
      </c>
      <c r="R452" s="243"/>
      <c r="S452" s="266">
        <f t="shared" ref="S452:S481" si="106">L452-Q452</f>
        <v>1560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15663.04</v>
      </c>
      <c r="M453" s="243"/>
      <c r="N453" s="266"/>
      <c r="O453" s="243"/>
      <c r="P453" s="38"/>
      <c r="Q453" s="286" cm="1">
        <f t="array" ref="Q453">+SUMPRODUCT(('Réel 2024'!$A$8:$A$501=$A453)*('Réel 2024'!$C$3:$AO$3=Q$2),'Réel 2024'!$C$8:$AO$501)</f>
        <v>0</v>
      </c>
      <c r="R453" s="243"/>
      <c r="S453" s="266">
        <f t="shared" si="106"/>
        <v>15663.04</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4902.3599999999997</v>
      </c>
      <c r="M459" s="243"/>
      <c r="N459" s="266"/>
      <c r="O459" s="243"/>
      <c r="P459" s="38"/>
      <c r="Q459" s="286" cm="1">
        <f t="array" ref="Q459">+SUMPRODUCT(('Réel 2024'!$A$8:$A$501=$A459)*('Réel 2024'!$C$3:$AO$3=Q$2),'Réel 2024'!$C$8:$AO$501)</f>
        <v>0</v>
      </c>
      <c r="R459" s="243"/>
      <c r="S459" s="266">
        <f t="shared" si="106"/>
        <v>4902.3599999999997</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4971.96</v>
      </c>
      <c r="M460" s="233"/>
      <c r="N460" s="303"/>
      <c r="O460" s="233"/>
      <c r="P460" s="301"/>
      <c r="Q460" s="266" cm="1">
        <f t="array" ref="Q460">+SUMPRODUCT(('Réel 2024'!$A$8:$A$501=$A460)*('Réel 2024'!$C$3:$AO$3=Q$2),'Réel 2024'!$C$8:$AO$501)</f>
        <v>0</v>
      </c>
      <c r="R460" s="233"/>
      <c r="S460" s="303">
        <f t="shared" si="106"/>
        <v>4971.96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1046.9000000000001</v>
      </c>
      <c r="M461" s="243"/>
      <c r="N461" s="266"/>
      <c r="O461" s="243"/>
      <c r="P461" s="38"/>
      <c r="Q461" s="266" cm="1">
        <f t="array" ref="Q461">+SUMPRODUCT(('Réel 2024'!$A$8:$A$501=$A461)*('Réel 2024'!$C$3:$AO$3=Q$2),'Réel 2024'!$C$8:$AO$501)</f>
        <v>0</v>
      </c>
      <c r="R461" s="243"/>
      <c r="S461" s="266">
        <f t="shared" si="106"/>
        <v>1046.9000000000001</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665.01</v>
      </c>
      <c r="M462" s="243"/>
      <c r="N462" s="266"/>
      <c r="O462" s="243"/>
      <c r="P462" s="38"/>
      <c r="Q462" s="266" cm="1">
        <f t="array" ref="Q462">+SUMPRODUCT(('Réel 2024'!$A$8:$A$501=$A462)*('Réel 2024'!$C$3:$AO$3=Q$2),'Réel 2024'!$C$8:$AO$501)</f>
        <v>0</v>
      </c>
      <c r="R462" s="243"/>
      <c r="S462" s="266">
        <f t="shared" si="106"/>
        <v>665.01</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6.6668354437761521E-2</v>
      </c>
      <c r="L464" s="294">
        <f>+SUM(L452:L463)</f>
        <v>28809.27</v>
      </c>
      <c r="M464" s="296"/>
      <c r="N464" s="294"/>
      <c r="O464" s="295" t="s">
        <v>115</v>
      </c>
      <c r="P464" s="293">
        <f>IFERROR(Q464/Q$448,0)</f>
        <v>0</v>
      </c>
      <c r="Q464" s="294">
        <f>+SUM(Q452:Q463)</f>
        <v>0</v>
      </c>
      <c r="R464" s="297"/>
      <c r="S464" s="294">
        <f t="shared" si="106"/>
        <v>28809.27</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80.48</v>
      </c>
      <c r="M466" s="243"/>
      <c r="N466" s="266"/>
      <c r="O466" s="243"/>
      <c r="P466" s="38"/>
      <c r="Q466" s="266" cm="1">
        <f t="array" ref="Q466">+SUMPRODUCT(('Réel 2024'!$A$8:$A$501=$A466)*('Réel 2024'!$C$3:$AO$3=Q$2),'Réel 2024'!$C$8:$AO$501)</f>
        <v>0</v>
      </c>
      <c r="R466" s="243"/>
      <c r="S466" s="266">
        <f t="shared" si="106"/>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1.8624106633562904E-4</v>
      </c>
      <c r="L482" s="294">
        <f>+SUM(L465:L481)</f>
        <v>80.48</v>
      </c>
      <c r="M482" s="296"/>
      <c r="N482" s="294"/>
      <c r="O482" s="295" t="s">
        <v>115</v>
      </c>
      <c r="P482" s="293">
        <f>IFERROR(Q482/Q$448,0)</f>
        <v>0</v>
      </c>
      <c r="Q482" s="294">
        <f>+SUM(Q465:Q481)</f>
        <v>0</v>
      </c>
      <c r="R482" s="297"/>
      <c r="S482" s="294">
        <f>+SUM(S465:S481)</f>
        <v>80.48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6.6854595504097156E-2</v>
      </c>
      <c r="L484" s="294">
        <f>L464+L482</f>
        <v>28889.75</v>
      </c>
      <c r="M484" s="296"/>
      <c r="N484" s="294"/>
      <c r="O484" s="295" t="s">
        <v>115</v>
      </c>
      <c r="P484" s="293">
        <f>IFERROR(Q484/Q$448,0)</f>
        <v>0</v>
      </c>
      <c r="Q484" s="294">
        <f>Q464+Q482</f>
        <v>0</v>
      </c>
      <c r="R484" s="297"/>
      <c r="S484" s="294">
        <f>L484-Q484</f>
        <v>28889.75</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403238.36</v>
      </c>
      <c r="M486" s="958"/>
      <c r="N486" s="956"/>
      <c r="O486" s="957"/>
      <c r="P486" s="955"/>
      <c r="Q486" s="956">
        <f>Q448-Q484</f>
        <v>396882.74</v>
      </c>
      <c r="R486" s="959"/>
      <c r="S486" s="956">
        <f>L486-Q486</f>
        <v>6355.6199999999953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-24434.040000000008</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Juin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254" t="s">
        <v>592</v>
      </c>
      <c r="Y491" s="1252"/>
      <c r="Z491" s="1255"/>
      <c r="AA491" s="1251"/>
      <c r="AB491" s="1252"/>
      <c r="AC491" s="1255"/>
      <c r="AD491" s="1251" t="s">
        <v>340</v>
      </c>
      <c r="AE491" s="1252"/>
      <c r="AF491" s="1255"/>
      <c r="AG491" s="1251" t="s">
        <v>668</v>
      </c>
      <c r="AH491" s="1252"/>
      <c r="AI491" s="1255"/>
      <c r="AJ491" s="1251" t="s">
        <v>593</v>
      </c>
      <c r="AK491" s="1252"/>
      <c r="AL491" s="1252"/>
      <c r="AM491" s="1251" t="s">
        <v>594</v>
      </c>
      <c r="AN491" s="1252"/>
      <c r="AO491" s="125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137046151.56999999</v>
      </c>
      <c r="AG493" s="384"/>
      <c r="AH493" s="385"/>
      <c r="AI493" s="386"/>
      <c r="AJ493" s="384"/>
      <c r="AK493" s="385"/>
      <c r="AL493" s="383">
        <f>Q5+Q93+Q173+P268+P326+O390+P448</f>
        <v>140135795.43000001</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3.7660416807572802E-2</v>
      </c>
      <c r="AE494" s="393"/>
      <c r="AF494" s="391">
        <f>L27+L109+L182+L268+L326+L390+L448</f>
        <v>5161215.1899999976</v>
      </c>
      <c r="AG494" s="392"/>
      <c r="AH494" s="393" t="e">
        <f>AF494-Z494</f>
        <v>#REF!</v>
      </c>
      <c r="AI494" s="394" t="e">
        <f>AH494/Z494</f>
        <v>#REF!</v>
      </c>
      <c r="AJ494" s="754">
        <f>+AL494/AL493</f>
        <v>3.9791128404343866E-2</v>
      </c>
      <c r="AK494" s="393"/>
      <c r="AL494" s="391">
        <f>Q27+Q109+Q182+Q268+Q326+Q390+Q448</f>
        <v>5576161.429999995</v>
      </c>
      <c r="AM494" s="395"/>
      <c r="AN494" s="393">
        <f>AF494-AL494</f>
        <v>-414946.23999999743</v>
      </c>
      <c r="AO494" s="396">
        <f>IF(AL494=0,0,AN494/AL494)</f>
        <v>-7.4414316229721819E-2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1368.0419571045575</v>
      </c>
      <c r="AF496" s="399">
        <f t="shared" ref="AF496:AF505" si="110">+SUMIF($C:$C,$V496,L:L)</f>
        <v>510279.64999999997</v>
      </c>
      <c r="AG496" s="400" t="e">
        <f t="shared" ref="AG496:AG505" si="111">AE496-Y496</f>
        <v>#DIV/0!</v>
      </c>
      <c r="AH496" s="401">
        <f t="shared" ref="AH496:AH505" si="112">AF496-Z496</f>
        <v>510279.64999999997</v>
      </c>
      <c r="AI496" s="402">
        <f t="shared" ref="AI496:AI505" si="113">IF(Z496=0,0,AH496/Z496)</f>
        <v>0</v>
      </c>
      <c r="AJ496" s="407"/>
      <c r="AK496" s="401">
        <f>IF(AL496=0,0,AL496/(O$13+O$97))</f>
        <v>876.19357664233576</v>
      </c>
      <c r="AL496" s="399">
        <f>SUMIFS(BV_Data_An_Prec!$AN:$AN,BV_Data_An_Prec!$AQ:$AQ,$V496)</f>
        <v>360115.56</v>
      </c>
      <c r="AM496" s="403">
        <f>AE496-AK496</f>
        <v>491.84838046222171</v>
      </c>
      <c r="AN496" s="401">
        <f>AF496-AL496</f>
        <v>150164.08999999997</v>
      </c>
      <c r="AO496" s="408">
        <f>IF(AL496=0,0,AN496/AL496)</f>
        <v>0.4169886188755631</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309.93785522788204</v>
      </c>
      <c r="AF497" s="383">
        <f t="shared" si="110"/>
        <v>115606.82</v>
      </c>
      <c r="AG497" s="384" t="e">
        <f t="shared" si="111"/>
        <v>#DIV/0!</v>
      </c>
      <c r="AH497" s="385">
        <f t="shared" si="112"/>
        <v>115606.82</v>
      </c>
      <c r="AI497" s="412">
        <f t="shared" si="113"/>
        <v>0</v>
      </c>
      <c r="AJ497" s="411"/>
      <c r="AK497" s="385">
        <f t="shared" ref="AK497:AK504" si="115">IF(AL497=0,0,AL497/(O$13+O$97))</f>
        <v>214.62031630170316</v>
      </c>
      <c r="AL497" s="383">
        <f>SUMIFS(BV_Data_An_Prec!$AN:$AN,BV_Data_An_Prec!$AQ:$AQ,$V497)</f>
        <v>88208.95</v>
      </c>
      <c r="AM497" s="991">
        <f t="shared" ref="AM497:AM504" si="116">AE497-AK497</f>
        <v>95.317538926178884</v>
      </c>
      <c r="AN497" s="385">
        <f t="shared" ref="AN497:AN504" si="117">AF497-AL497</f>
        <v>27397.87000000001</v>
      </c>
      <c r="AO497" s="388">
        <f t="shared" ref="AO497:AO504" si="118">IF(AL497=0,0,AN497/AL497)</f>
        <v>0.31060192871585041</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503.02134048257369</v>
      </c>
      <c r="AF498" s="399">
        <f t="shared" si="110"/>
        <v>187626.96</v>
      </c>
      <c r="AG498" s="400" t="e">
        <f t="shared" si="111"/>
        <v>#DIV/0!</v>
      </c>
      <c r="AH498" s="401">
        <f t="shared" si="112"/>
        <v>187626.96</v>
      </c>
      <c r="AI498" s="402">
        <f t="shared" si="113"/>
        <v>0</v>
      </c>
      <c r="AJ498" s="407"/>
      <c r="AK498" s="401">
        <f t="shared" si="115"/>
        <v>70.608223844282236</v>
      </c>
      <c r="AL498" s="399">
        <f>SUMIFS(BV_Data_An_Prec!$AN:$AN,BV_Data_An_Prec!$AQ:$AQ,$V498)</f>
        <v>29019.98</v>
      </c>
      <c r="AM498" s="403">
        <f t="shared" si="116"/>
        <v>432.41311663829146</v>
      </c>
      <c r="AN498" s="401">
        <f t="shared" si="117"/>
        <v>158606.97999999998</v>
      </c>
      <c r="AO498" s="408">
        <f t="shared" si="118"/>
        <v>5.4654407067130988</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49.190777479892759</v>
      </c>
      <c r="AF499" s="399">
        <f t="shared" si="110"/>
        <v>18348.16</v>
      </c>
      <c r="AG499" s="400" t="e">
        <f t="shared" si="111"/>
        <v>#DIV/0!</v>
      </c>
      <c r="AH499" s="401">
        <f t="shared" si="112"/>
        <v>18348.16</v>
      </c>
      <c r="AI499" s="402">
        <f t="shared" si="113"/>
        <v>0</v>
      </c>
      <c r="AJ499" s="407"/>
      <c r="AK499" s="401">
        <f t="shared" si="115"/>
        <v>6.2917274939172749</v>
      </c>
      <c r="AL499" s="399">
        <f>SUMIFS(BV_Data_An_Prec!$AN:$AN,BV_Data_An_Prec!$AQ:$AQ,$V499)</f>
        <v>2585.9</v>
      </c>
      <c r="AM499" s="403">
        <f t="shared" si="116"/>
        <v>42.899049985975481</v>
      </c>
      <c r="AN499" s="401">
        <f t="shared" si="117"/>
        <v>15762.26</v>
      </c>
      <c r="AO499" s="408">
        <f t="shared" si="118"/>
        <v>6.0954638617115897</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6.1786058981233243</v>
      </c>
      <c r="AF500" s="383">
        <f t="shared" si="110"/>
        <v>2304.62</v>
      </c>
      <c r="AG500" s="384" t="e">
        <f t="shared" si="111"/>
        <v>#DIV/0!</v>
      </c>
      <c r="AH500" s="385">
        <f t="shared" si="112"/>
        <v>2304.62</v>
      </c>
      <c r="AI500" s="412">
        <f t="shared" si="113"/>
        <v>0</v>
      </c>
      <c r="AJ500" s="411"/>
      <c r="AK500" s="385">
        <f t="shared" si="115"/>
        <v>0</v>
      </c>
      <c r="AL500" s="383">
        <f>SUMIFS(BV_Data_An_Prec!$AN:$AN,BV_Data_An_Prec!$AQ:$AQ,$V500)</f>
        <v>0</v>
      </c>
      <c r="AM500" s="991">
        <f t="shared" si="116"/>
        <v>6.1786058981233243</v>
      </c>
      <c r="AN500" s="385">
        <f t="shared" si="117"/>
        <v>2304.62</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-126.05517426273461</v>
      </c>
      <c r="AF501" s="399">
        <f t="shared" si="110"/>
        <v>-47018.580000000009</v>
      </c>
      <c r="AG501" s="400" t="e">
        <f t="shared" si="111"/>
        <v>#DIV/0!</v>
      </c>
      <c r="AH501" s="401">
        <f t="shared" si="112"/>
        <v>-47018.580000000009</v>
      </c>
      <c r="AI501" s="402">
        <f t="shared" si="113"/>
        <v>0</v>
      </c>
      <c r="AJ501" s="407"/>
      <c r="AK501" s="401">
        <f t="shared" si="115"/>
        <v>-384.63321167883214</v>
      </c>
      <c r="AL501" s="399">
        <f>SUMIFS(BV_Data_An_Prec!$AN:$AN,BV_Data_An_Prec!$AQ:$AQ,$V501)</f>
        <v>-158084.25</v>
      </c>
      <c r="AM501" s="403">
        <f t="shared" si="116"/>
        <v>258.57803741609752</v>
      </c>
      <c r="AN501" s="401">
        <f t="shared" si="117"/>
        <v>111065.66999999998</v>
      </c>
      <c r="AO501" s="408">
        <f t="shared" si="118"/>
        <v>-0.70257264718022183</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1890.2729758713135</v>
      </c>
      <c r="AF502" s="399">
        <f t="shared" si="110"/>
        <v>705071.82</v>
      </c>
      <c r="AG502" s="704" t="e">
        <f t="shared" si="111"/>
        <v>#DIV/0!</v>
      </c>
      <c r="AH502" s="659">
        <f t="shared" si="112"/>
        <v>705071.82</v>
      </c>
      <c r="AI502" s="402">
        <f t="shared" si="113"/>
        <v>0</v>
      </c>
      <c r="AJ502" s="407"/>
      <c r="AK502" s="401">
        <f t="shared" si="115"/>
        <v>2219.4816058394163</v>
      </c>
      <c r="AL502" s="399">
        <f>SUMIFS(BV_Data_An_Prec!$AN:$AN,BV_Data_An_Prec!$AQ:$AQ,$V502)</f>
        <v>912206.94000000006</v>
      </c>
      <c r="AM502" s="403">
        <f t="shared" si="116"/>
        <v>-329.20862996810274</v>
      </c>
      <c r="AN502" s="401">
        <f t="shared" si="117"/>
        <v>-207135.12000000011</v>
      </c>
      <c r="AO502" s="408">
        <f t="shared" si="118"/>
        <v>-0.22707031805743563</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3134</v>
      </c>
      <c r="W503" s="405"/>
      <c r="X503" s="402"/>
      <c r="Y503" s="406" t="e">
        <f t="shared" si="108"/>
        <v>#DIV/0!</v>
      </c>
      <c r="Z503" s="399">
        <f t="shared" si="109"/>
        <v>0</v>
      </c>
      <c r="AA503" s="398"/>
      <c r="AB503" s="406"/>
      <c r="AC503" s="399"/>
      <c r="AD503" s="407"/>
      <c r="AE503" s="401">
        <f>IF(AF503=0,0,AF503/(J$13+J$97))</f>
        <v>-3437.1812332439681</v>
      </c>
      <c r="AF503" s="399">
        <f t="shared" si="110"/>
        <v>-1282068.6000000001</v>
      </c>
      <c r="AG503" s="400" t="e">
        <f t="shared" si="111"/>
        <v>#DIV/0!</v>
      </c>
      <c r="AH503" s="401">
        <f t="shared" si="112"/>
        <v>-1282068.6000000001</v>
      </c>
      <c r="AI503" s="402">
        <f t="shared" si="113"/>
        <v>0</v>
      </c>
      <c r="AJ503" s="407"/>
      <c r="AK503" s="401">
        <f t="shared" si="115"/>
        <v>-4361.171946472019</v>
      </c>
      <c r="AL503" s="399">
        <f>SUMIFS(BV_Data_An_Prec!$AN:$AN,BV_Data_An_Prec!$AQ:$AQ,$V503)</f>
        <v>-1792441.67</v>
      </c>
      <c r="AM503" s="403">
        <f>AE503-AK503</f>
        <v>923.99071322805094</v>
      </c>
      <c r="AN503" s="401">
        <f t="shared" si="117"/>
        <v>510373.06999999983</v>
      </c>
      <c r="AO503" s="408">
        <f t="shared" si="118"/>
        <v>-0.28473622240661245</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3135</v>
      </c>
      <c r="W504" s="405"/>
      <c r="X504" s="402"/>
      <c r="Y504" s="406" t="e">
        <f t="shared" si="108"/>
        <v>#DIV/0!</v>
      </c>
      <c r="Z504" s="399">
        <f t="shared" si="109"/>
        <v>0</v>
      </c>
      <c r="AA504" s="398"/>
      <c r="AB504" s="406"/>
      <c r="AC504" s="399"/>
      <c r="AD504" s="407"/>
      <c r="AE504" s="401">
        <f t="shared" si="114"/>
        <v>-240.5771581769437</v>
      </c>
      <c r="AF504" s="399">
        <f t="shared" si="110"/>
        <v>-89735.28</v>
      </c>
      <c r="AG504" s="400" t="e">
        <f t="shared" si="111"/>
        <v>#DIV/0!</v>
      </c>
      <c r="AH504" s="401">
        <f t="shared" si="112"/>
        <v>-89735.28</v>
      </c>
      <c r="AI504" s="402">
        <f t="shared" si="113"/>
        <v>0</v>
      </c>
      <c r="AJ504" s="407"/>
      <c r="AK504" s="401">
        <f t="shared" si="115"/>
        <v>0</v>
      </c>
      <c r="AL504" s="399">
        <f>SUMIFS(BV_Data_An_Prec!$AN:$AN,BV_Data_An_Prec!$AQ:$AQ,$V504)</f>
        <v>0</v>
      </c>
      <c r="AM504" s="403">
        <f t="shared" si="116"/>
        <v>-240.5771581769437</v>
      </c>
      <c r="AN504" s="401">
        <f t="shared" si="117"/>
        <v>-89735.28</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2.3330856313317157E-2</v>
      </c>
      <c r="AE506" s="419"/>
      <c r="AF506" s="416">
        <f>SUM(AF496:AF505)</f>
        <v>120415.56999999986</v>
      </c>
      <c r="AG506" s="418"/>
      <c r="AH506" s="419">
        <f t="shared" ref="AH506:AH538" si="124">AF506-Z506</f>
        <v>120415.56999999986</v>
      </c>
      <c r="AI506" s="415" t="e">
        <f>AH506/Z506</f>
        <v>#DIV/0!</v>
      </c>
      <c r="AJ506" s="417">
        <f>IF($AL$494=0,0,AL506/$AL$494)</f>
        <v>-0.10013852665667901</v>
      </c>
      <c r="AK506" s="419"/>
      <c r="AL506" s="416">
        <f>SUM(AL496:AL505)</f>
        <v>-558388.58999999985</v>
      </c>
      <c r="AM506" s="423"/>
      <c r="AN506" s="419">
        <f t="shared" si="122"/>
        <v>678804.15999999968</v>
      </c>
      <c r="AO506" s="396">
        <f t="shared" si="123"/>
        <v>-1.215648335507715</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84665.140000000014</v>
      </c>
      <c r="AG507" s="400"/>
      <c r="AH507" s="401">
        <f t="shared" si="124"/>
        <v>84665.140000000014</v>
      </c>
      <c r="AI507" s="402">
        <f t="shared" ref="AI507:AI519" si="125">IF(Z507=0,0,AH507/Z507)</f>
        <v>0</v>
      </c>
      <c r="AJ507" s="407"/>
      <c r="AK507" s="406"/>
      <c r="AL507" s="399">
        <f>SUMIFS(BV_Data_An_Prec!$AN:$AN,BV_Data_An_Prec!$AQ:$AQ,$V507)</f>
        <v>277228.73</v>
      </c>
      <c r="AM507" s="403"/>
      <c r="AN507" s="401">
        <f t="shared" si="122"/>
        <v>-192563.58999999997</v>
      </c>
      <c r="AO507" s="408">
        <f t="shared" si="123"/>
        <v>-0.69460185457690471</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312199.95</v>
      </c>
      <c r="AG508" s="400"/>
      <c r="AH508" s="401">
        <f t="shared" si="124"/>
        <v>312199.95</v>
      </c>
      <c r="AI508" s="402">
        <f t="shared" si="125"/>
        <v>0</v>
      </c>
      <c r="AJ508" s="407"/>
      <c r="AK508" s="406"/>
      <c r="AL508" s="399">
        <f>SUMIFS(BV_Data_An_Prec!$AN:$AN,BV_Data_An_Prec!$AQ:$AQ,$V508)</f>
        <v>619537.43000000005</v>
      </c>
      <c r="AM508" s="403"/>
      <c r="AN508" s="401">
        <f t="shared" si="122"/>
        <v>-307337.48000000004</v>
      </c>
      <c r="AO508" s="408">
        <f t="shared" si="123"/>
        <v>-0.49607572540048145</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433430.36</v>
      </c>
      <c r="AG509" s="384"/>
      <c r="AH509" s="385">
        <f t="shared" si="124"/>
        <v>433430.36</v>
      </c>
      <c r="AI509" s="412">
        <f t="shared" si="125"/>
        <v>0</v>
      </c>
      <c r="AJ509" s="411"/>
      <c r="AK509" s="410"/>
      <c r="AL509" s="383">
        <f>SUMIFS(BV_Data_An_Prec!$AN:$AN,BV_Data_An_Prec!$AQ:$AQ,$V509)</f>
        <v>450957.36000000004</v>
      </c>
      <c r="AM509" s="387"/>
      <c r="AN509" s="385">
        <f t="shared" si="122"/>
        <v>-17527.000000000058</v>
      </c>
      <c r="AO509" s="388">
        <f t="shared" si="123"/>
        <v>-3.8866202338952972E-2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227274.63</v>
      </c>
      <c r="AG510" s="400"/>
      <c r="AH510" s="401">
        <f t="shared" si="124"/>
        <v>227274.63</v>
      </c>
      <c r="AI510" s="402">
        <f t="shared" si="125"/>
        <v>0</v>
      </c>
      <c r="AJ510" s="407"/>
      <c r="AK510" s="406"/>
      <c r="AL510" s="399">
        <f>SUMIFS(BV_Data_An_Prec!$AN:$AN,BV_Data_An_Prec!$AQ:$AQ,$V510)</f>
        <v>528636.89</v>
      </c>
      <c r="AM510" s="403"/>
      <c r="AN510" s="401">
        <f t="shared" si="122"/>
        <v>-301362.26</v>
      </c>
      <c r="AO510" s="408">
        <f t="shared" si="123"/>
        <v>-0.57007421483582044</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15838.4</v>
      </c>
      <c r="AG511" s="400"/>
      <c r="AH511" s="401">
        <f t="shared" si="124"/>
        <v>15838.4</v>
      </c>
      <c r="AI511" s="402">
        <f t="shared" si="125"/>
        <v>0</v>
      </c>
      <c r="AJ511" s="407"/>
      <c r="AK511" s="406"/>
      <c r="AL511" s="399">
        <f>SUMIFS(BV_Data_An_Prec!$AN:$AN,BV_Data_An_Prec!$AQ:$AQ,$V511)</f>
        <v>0</v>
      </c>
      <c r="AM511" s="403"/>
      <c r="AN511" s="401">
        <f t="shared" si="122"/>
        <v>15838.4</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205364.24</v>
      </c>
      <c r="AG515" s="384"/>
      <c r="AH515" s="385">
        <f t="shared" si="124"/>
        <v>205364.24</v>
      </c>
      <c r="AI515" s="412">
        <f t="shared" si="125"/>
        <v>0</v>
      </c>
      <c r="AJ515" s="411"/>
      <c r="AK515" s="410"/>
      <c r="AL515" s="383">
        <f>SUMIFS(BV_Data_An_Prec!$AN:$AN,BV_Data_An_Prec!$AQ:$AQ,$V515)</f>
        <v>227709.23</v>
      </c>
      <c r="AM515" s="387"/>
      <c r="AN515" s="385">
        <f t="shared" si="122"/>
        <v>-22344.99000000002</v>
      </c>
      <c r="AO515" s="388">
        <f t="shared" si="123"/>
        <v>-9.8129487329081999E-2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325653.84000000008</v>
      </c>
      <c r="AG516" s="400"/>
      <c r="AH516" s="401">
        <f t="shared" si="124"/>
        <v>325653.84000000008</v>
      </c>
      <c r="AI516" s="402">
        <f t="shared" si="125"/>
        <v>0</v>
      </c>
      <c r="AJ516" s="407"/>
      <c r="AK516" s="406"/>
      <c r="AL516" s="399">
        <f>SUMIFS(BV_Data_An_Prec!$AN:$AN,BV_Data_An_Prec!$AQ:$AQ,$V516)</f>
        <v>315302.01</v>
      </c>
      <c r="AM516" s="403"/>
      <c r="AN516" s="401">
        <f t="shared" si="122"/>
        <v>10351.830000000075</v>
      </c>
      <c r="AO516" s="408">
        <f t="shared" si="123"/>
        <v>3.283147481362416E-2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118089.09999999999</v>
      </c>
      <c r="AG517" s="400"/>
      <c r="AH517" s="401">
        <f t="shared" si="124"/>
        <v>118089.09999999999</v>
      </c>
      <c r="AI517" s="402">
        <f t="shared" si="125"/>
        <v>0</v>
      </c>
      <c r="AJ517" s="407"/>
      <c r="AK517" s="406"/>
      <c r="AL517" s="399">
        <f>SUMIFS(BV_Data_An_Prec!$AN:$AN,BV_Data_An_Prec!$AQ:$AQ,$V517)</f>
        <v>153755.84</v>
      </c>
      <c r="AM517" s="403"/>
      <c r="AN517" s="401">
        <f t="shared" si="122"/>
        <v>-35666.740000000005</v>
      </c>
      <c r="AO517" s="408">
        <f t="shared" si="123"/>
        <v>-0.2319699856603821</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53333.02</v>
      </c>
      <c r="AG518" s="400"/>
      <c r="AH518" s="401">
        <f t="shared" si="124"/>
        <v>53333.02</v>
      </c>
      <c r="AI518" s="420">
        <f t="shared" si="125"/>
        <v>0</v>
      </c>
      <c r="AJ518" s="407"/>
      <c r="AK518" s="406"/>
      <c r="AL518" s="399">
        <f>SUMIFS(BV_Data_An_Prec!$AN:$AN,BV_Data_An_Prec!$AQ:$AQ,$V518)</f>
        <v>8916.99</v>
      </c>
      <c r="AM518" s="403"/>
      <c r="AN518" s="401">
        <f t="shared" si="122"/>
        <v>44416.03</v>
      </c>
      <c r="AO518" s="408">
        <f t="shared" si="123"/>
        <v>4.9810563878618233</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0.34407569043832115</v>
      </c>
      <c r="AE520" s="421"/>
      <c r="AF520" s="416">
        <f>SUM(AF507:AF519)</f>
        <v>1775848.6800000002</v>
      </c>
      <c r="AG520" s="418"/>
      <c r="AH520" s="419">
        <f t="shared" si="124"/>
        <v>1775848.6800000002</v>
      </c>
      <c r="AI520" s="415" t="e">
        <f>AH520/Z520</f>
        <v>#DIV/0!</v>
      </c>
      <c r="AJ520" s="417">
        <f>IF($AL$494=0,0,AL520/$AL$494)</f>
        <v>0.46305052542210973</v>
      </c>
      <c r="AK520" s="421"/>
      <c r="AL520" s="416">
        <f>SUM(AL507:AL519)</f>
        <v>2582044.4800000004</v>
      </c>
      <c r="AM520" s="423"/>
      <c r="AN520" s="419">
        <f t="shared" si="122"/>
        <v>-806195.80000000028</v>
      </c>
      <c r="AO520" s="396">
        <f t="shared" si="123"/>
        <v>-0.31223156930278761</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29829.269999999997</v>
      </c>
      <c r="AG521" s="427"/>
      <c r="AH521" s="429">
        <f t="shared" si="124"/>
        <v>29829.269999999997</v>
      </c>
      <c r="AI521" s="430">
        <f t="shared" ref="AI521:AI538" si="129">IF(Z521=0,0,AH521/Z521)</f>
        <v>0</v>
      </c>
      <c r="AJ521" s="427"/>
      <c r="AK521" s="428"/>
      <c r="AL521" s="426">
        <f>SUMIFS(BV_Data_An_Prec!$AN:$AN,BV_Data_An_Prec!$AQ:$AQ,$V521)</f>
        <v>22342.100000000002</v>
      </c>
      <c r="AM521" s="431"/>
      <c r="AN521" s="429">
        <f t="shared" si="122"/>
        <v>7487.1699999999946</v>
      </c>
      <c r="AO521" s="404">
        <f t="shared" si="123"/>
        <v>0.33511487281857988</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23155.07</v>
      </c>
      <c r="AG522" s="400"/>
      <c r="AH522" s="401">
        <f t="shared" si="124"/>
        <v>23155.07</v>
      </c>
      <c r="AI522" s="402">
        <f t="shared" si="129"/>
        <v>0</v>
      </c>
      <c r="AJ522" s="407"/>
      <c r="AK522" s="406"/>
      <c r="AL522" s="399">
        <f>SUMIFS(BV_Data_An_Prec!$AN:$AN,BV_Data_An_Prec!$AQ:$AQ,$V522)</f>
        <v>23047.52</v>
      </c>
      <c r="AM522" s="403"/>
      <c r="AN522" s="401">
        <f t="shared" si="122"/>
        <v>107.54999999999927</v>
      </c>
      <c r="AO522" s="408">
        <f t="shared" si="123"/>
        <v>4.6664456739813776E-3</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145227.78</v>
      </c>
      <c r="AG523" s="384"/>
      <c r="AH523" s="385">
        <f t="shared" si="124"/>
        <v>145227.78</v>
      </c>
      <c r="AI523" s="412">
        <f t="shared" si="129"/>
        <v>0</v>
      </c>
      <c r="AJ523" s="411"/>
      <c r="AK523" s="410"/>
      <c r="AL523" s="383">
        <f>SUMIFS(BV_Data_An_Prec!$AN:$AN,BV_Data_An_Prec!$AQ:$AQ,$V523)</f>
        <v>44891.590000000004</v>
      </c>
      <c r="AM523" s="387"/>
      <c r="AN523" s="385">
        <f t="shared" si="122"/>
        <v>100336.19</v>
      </c>
      <c r="AO523" s="388">
        <f t="shared" si="123"/>
        <v>2.2350776615397225</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66734.319999999992</v>
      </c>
      <c r="AG524" s="400"/>
      <c r="AH524" s="401">
        <f t="shared" si="124"/>
        <v>66734.319999999992</v>
      </c>
      <c r="AI524" s="402">
        <f t="shared" si="129"/>
        <v>0</v>
      </c>
      <c r="AJ524" s="407"/>
      <c r="AK524" s="406"/>
      <c r="AL524" s="399">
        <f>SUMIFS(BV_Data_An_Prec!$AN:$AN,BV_Data_An_Prec!$AQ:$AQ,$V524)</f>
        <v>71128.150000000009</v>
      </c>
      <c r="AM524" s="403"/>
      <c r="AN524" s="401">
        <f t="shared" si="122"/>
        <v>-4393.8300000000163</v>
      </c>
      <c r="AO524" s="408">
        <f t="shared" si="123"/>
        <v>-6.1773432881355915E-2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69305.219999999987</v>
      </c>
      <c r="AG525" s="400"/>
      <c r="AH525" s="401">
        <f t="shared" si="124"/>
        <v>69305.219999999987</v>
      </c>
      <c r="AI525" s="402">
        <f t="shared" si="129"/>
        <v>0</v>
      </c>
      <c r="AJ525" s="407"/>
      <c r="AK525" s="406"/>
      <c r="AL525" s="399">
        <f>SUMIFS(BV_Data_An_Prec!$AN:$AN,BV_Data_An_Prec!$AQ:$AQ,$V525)</f>
        <v>74819.400000000009</v>
      </c>
      <c r="AM525" s="403"/>
      <c r="AN525" s="401">
        <f t="shared" si="122"/>
        <v>-5514.1800000000221</v>
      </c>
      <c r="AO525" s="408">
        <f t="shared" si="123"/>
        <v>-7.3699869285239139E-2</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191242.01</v>
      </c>
      <c r="AG526" s="400"/>
      <c r="AH526" s="401">
        <f t="shared" si="124"/>
        <v>191242.01</v>
      </c>
      <c r="AI526" s="402">
        <f t="shared" si="129"/>
        <v>0</v>
      </c>
      <c r="AJ526" s="407"/>
      <c r="AK526" s="406"/>
      <c r="AL526" s="399">
        <f>SUMIFS(BV_Data_An_Prec!$AN:$AN,BV_Data_An_Prec!$AQ:$AQ,$V526)</f>
        <v>183712.71999999994</v>
      </c>
      <c r="AM526" s="403"/>
      <c r="AN526" s="401">
        <f t="shared" si="122"/>
        <v>7529.2900000000664</v>
      </c>
      <c r="AO526" s="408">
        <f t="shared" si="123"/>
        <v>4.0984042912216793E-2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111475.77</v>
      </c>
      <c r="AG528" s="400"/>
      <c r="AH528" s="401">
        <f t="shared" si="124"/>
        <v>111475.77</v>
      </c>
      <c r="AI528" s="402">
        <f t="shared" si="129"/>
        <v>0</v>
      </c>
      <c r="AJ528" s="407"/>
      <c r="AK528" s="406"/>
      <c r="AL528" s="399">
        <f>SUMIFS(BV_Data_An_Prec!$AN:$AN,BV_Data_An_Prec!$AQ:$AQ,$V528)</f>
        <v>47496.090000000004</v>
      </c>
      <c r="AM528" s="403"/>
      <c r="AN528" s="401">
        <f t="shared" si="122"/>
        <v>63979.68</v>
      </c>
      <c r="AO528" s="408">
        <f t="shared" si="123"/>
        <v>1.3470515151878817</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34798.559999999998</v>
      </c>
      <c r="AG530" s="400"/>
      <c r="AH530" s="401">
        <f t="shared" si="124"/>
        <v>34798.559999999998</v>
      </c>
      <c r="AI530" s="402">
        <f t="shared" si="129"/>
        <v>0</v>
      </c>
      <c r="AJ530" s="407"/>
      <c r="AK530" s="406"/>
      <c r="AL530" s="399">
        <f>SUMIFS(BV_Data_An_Prec!$AN:$AN,BV_Data_An_Prec!$AQ:$AQ,$V530)</f>
        <v>35151.829999999994</v>
      </c>
      <c r="AM530" s="403"/>
      <c r="AN530" s="401">
        <f t="shared" si="122"/>
        <v>-353.2699999999968</v>
      </c>
      <c r="AO530" s="408">
        <f t="shared" si="123"/>
        <v>-1.0049832398483859E-2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10890.25</v>
      </c>
      <c r="AG531" s="400"/>
      <c r="AH531" s="401">
        <f t="shared" si="124"/>
        <v>10890.25</v>
      </c>
      <c r="AI531" s="420">
        <f t="shared" si="129"/>
        <v>0</v>
      </c>
      <c r="AJ531" s="407"/>
      <c r="AK531" s="406"/>
      <c r="AL531" s="399">
        <f>SUMIFS(BV_Data_An_Prec!$AN:$AN,BV_Data_An_Prec!$AQ:$AQ,$V531)</f>
        <v>22448.67</v>
      </c>
      <c r="AM531" s="403"/>
      <c r="AN531" s="401">
        <f t="shared" si="122"/>
        <v>-11558.419999999998</v>
      </c>
      <c r="AO531" s="408">
        <f t="shared" si="123"/>
        <v>-0.5148821734205189</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40529.219999999994</v>
      </c>
      <c r="AG532" s="400"/>
      <c r="AH532" s="401">
        <f t="shared" si="124"/>
        <v>40529.219999999994</v>
      </c>
      <c r="AI532" s="402">
        <f t="shared" si="129"/>
        <v>0</v>
      </c>
      <c r="AJ532" s="407"/>
      <c r="AK532" s="406"/>
      <c r="AL532" s="399">
        <f>SUMIFS(BV_Data_An_Prec!$AN:$AN,BV_Data_An_Prec!$AQ:$AQ,$V532)</f>
        <v>23758.42</v>
      </c>
      <c r="AM532" s="403"/>
      <c r="AN532" s="401">
        <f t="shared" si="122"/>
        <v>16770.799999999996</v>
      </c>
      <c r="AO532" s="408">
        <f t="shared" si="123"/>
        <v>0.70588869125135412</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63798.500000000007</v>
      </c>
      <c r="AG533" s="400"/>
      <c r="AH533" s="401">
        <f t="shared" si="124"/>
        <v>63798.500000000007</v>
      </c>
      <c r="AI533" s="420">
        <f t="shared" si="129"/>
        <v>0</v>
      </c>
      <c r="AJ533" s="407"/>
      <c r="AK533" s="406"/>
      <c r="AL533" s="399">
        <f>SUMIFS(BV_Data_An_Prec!$AN:$AN,BV_Data_An_Prec!$AQ:$AQ,$V533)</f>
        <v>57428.26</v>
      </c>
      <c r="AM533" s="403"/>
      <c r="AN533" s="401">
        <f t="shared" si="122"/>
        <v>6370.2400000000052</v>
      </c>
      <c r="AO533" s="408">
        <f t="shared" si="123"/>
        <v>0.11092517864897883</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28088.41</v>
      </c>
      <c r="AG534" s="400"/>
      <c r="AH534" s="401">
        <f t="shared" si="124"/>
        <v>28088.41</v>
      </c>
      <c r="AI534" s="402">
        <f t="shared" si="129"/>
        <v>0</v>
      </c>
      <c r="AJ534" s="407"/>
      <c r="AK534" s="406"/>
      <c r="AL534" s="399">
        <f>SUMIFS(BV_Data_An_Prec!$AN:$AN,BV_Data_An_Prec!$AQ:$AQ,$V534)</f>
        <v>27649.56</v>
      </c>
      <c r="AM534" s="403"/>
      <c r="AN534" s="401">
        <f t="shared" si="122"/>
        <v>438.84999999999854</v>
      </c>
      <c r="AO534" s="408">
        <f t="shared" si="123"/>
        <v>1.5871861975380385E-2</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28509.010000000002</v>
      </c>
      <c r="AG535" s="400"/>
      <c r="AH535" s="659">
        <f t="shared" si="124"/>
        <v>28509.010000000002</v>
      </c>
      <c r="AI535" s="402">
        <f t="shared" si="129"/>
        <v>0</v>
      </c>
      <c r="AJ535" s="407"/>
      <c r="AK535" s="406"/>
      <c r="AL535" s="399">
        <f>SUMIFS(BV_Data_An_Prec!$AN:$AN,BV_Data_An_Prec!$AQ:$AQ,$V535)</f>
        <v>9308.9599999999991</v>
      </c>
      <c r="AM535" s="403"/>
      <c r="AN535" s="401">
        <f t="shared" si="122"/>
        <v>19200.050000000003</v>
      </c>
      <c r="AO535" s="408">
        <f t="shared" si="123"/>
        <v>2.0625343754834056</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3190</v>
      </c>
      <c r="W536" s="405"/>
      <c r="X536" s="398"/>
      <c r="Y536" s="406"/>
      <c r="Z536" s="399">
        <f t="shared" si="128"/>
        <v>0</v>
      </c>
      <c r="AA536" s="398"/>
      <c r="AB536" s="398"/>
      <c r="AC536" s="399"/>
      <c r="AD536" s="407"/>
      <c r="AE536" s="406"/>
      <c r="AF536" s="399">
        <f>+SUMIF($C:$C,$V536,L:L)</f>
        <v>5439.79</v>
      </c>
      <c r="AG536" s="400"/>
      <c r="AH536" s="401">
        <f t="shared" si="124"/>
        <v>5439.79</v>
      </c>
      <c r="AI536" s="402">
        <f t="shared" si="129"/>
        <v>0</v>
      </c>
      <c r="AJ536" s="407"/>
      <c r="AK536" s="406"/>
      <c r="AL536" s="399"/>
      <c r="AM536" s="403"/>
      <c r="AN536" s="401">
        <f t="shared" si="122"/>
        <v>5439.79</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0.16450063575047341</v>
      </c>
      <c r="AE539" s="414"/>
      <c r="AF539" s="416">
        <f>+SUM(AF521:AF538)</f>
        <v>849023.18</v>
      </c>
      <c r="AG539" s="422"/>
      <c r="AH539" s="435">
        <f>+SUM(AH521:AH538)</f>
        <v>849023.18</v>
      </c>
      <c r="AI539" s="415" t="e">
        <f>AH539/Z539</f>
        <v>#DIV/0!</v>
      </c>
      <c r="AJ539" s="417">
        <f>IF($AL$494=0,0,AL539/$AL$494)</f>
        <v>0.1153451667556907</v>
      </c>
      <c r="AK539" s="414"/>
      <c r="AL539" s="416">
        <f>+SUM(AL521:AL538)</f>
        <v>643183.27000000014</v>
      </c>
      <c r="AM539" s="423"/>
      <c r="AN539" s="419">
        <f t="shared" si="122"/>
        <v>205839.90999999992</v>
      </c>
      <c r="AO539" s="436">
        <f t="shared" si="123"/>
        <v>0.32003305993950976</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480207.67</v>
      </c>
      <c r="AG540" s="400"/>
      <c r="AH540" s="401">
        <f t="shared" ref="AH540:AH548" si="132">AF540-Z540</f>
        <v>480207.67</v>
      </c>
      <c r="AI540" s="402">
        <f t="shared" ref="AI540:AI548" si="133">IF(Z540=0,0,AH540/Z540)</f>
        <v>0</v>
      </c>
      <c r="AJ540" s="407"/>
      <c r="AK540" s="406"/>
      <c r="AL540" s="399">
        <f>SUMIFS(BV_Data_An_Prec!$AN:$AN,BV_Data_An_Prec!$AQ:$AQ,$V540)</f>
        <v>649900.50000000012</v>
      </c>
      <c r="AM540" s="403"/>
      <c r="AN540" s="401">
        <f t="shared" si="122"/>
        <v>-169692.83000000013</v>
      </c>
      <c r="AO540" s="408">
        <f t="shared" si="123"/>
        <v>-0.26110586158958193</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54000</v>
      </c>
      <c r="AG541" s="400"/>
      <c r="AH541" s="401">
        <f t="shared" si="132"/>
        <v>54000</v>
      </c>
      <c r="AI541" s="402">
        <f t="shared" si="133"/>
        <v>0</v>
      </c>
      <c r="AJ541" s="407"/>
      <c r="AK541" s="406"/>
      <c r="AL541" s="399">
        <f>SUMIFS(BV_Data_An_Prec!$AN:$AN,BV_Data_An_Prec!$AQ:$AQ,$V541)</f>
        <v>27348</v>
      </c>
      <c r="AM541" s="403"/>
      <c r="AN541" s="401">
        <f t="shared" si="122"/>
        <v>26652</v>
      </c>
      <c r="AO541" s="408">
        <f t="shared" si="123"/>
        <v>0.97455024133391843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74182.83</v>
      </c>
      <c r="AG542" s="384"/>
      <c r="AH542" s="385">
        <f t="shared" si="132"/>
        <v>74182.83</v>
      </c>
      <c r="AI542" s="412">
        <f t="shared" si="133"/>
        <v>0</v>
      </c>
      <c r="AJ542" s="411"/>
      <c r="AK542" s="410"/>
      <c r="AL542" s="383">
        <f>SUMIFS(BV_Data_An_Prec!$AN:$AN,BV_Data_An_Prec!$AQ:$AQ,$V542)</f>
        <v>69907.51999999999</v>
      </c>
      <c r="AM542" s="387"/>
      <c r="AN542" s="385">
        <f t="shared" si="122"/>
        <v>4275.3100000000122</v>
      </c>
      <c r="AO542" s="388">
        <f t="shared" si="123"/>
        <v>6.1156653819217345E-2</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40361.62000000001</v>
      </c>
      <c r="AG544" s="384"/>
      <c r="AH544" s="385">
        <f t="shared" si="132"/>
        <v>40361.62000000001</v>
      </c>
      <c r="AI544" s="412">
        <f t="shared" si="133"/>
        <v>0</v>
      </c>
      <c r="AJ544" s="411"/>
      <c r="AK544" s="410"/>
      <c r="AL544" s="383">
        <f>SUMIFS(BV_Data_An_Prec!$AN:$AN,BV_Data_An_Prec!$AQ:$AQ,$V544)</f>
        <v>78441.66</v>
      </c>
      <c r="AM544" s="387"/>
      <c r="AN544" s="385">
        <f t="shared" si="122"/>
        <v>-38080.039999999994</v>
      </c>
      <c r="AO544" s="388">
        <f t="shared" si="123"/>
        <v>-0.48545683505422998</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66600</v>
      </c>
      <c r="AG545" s="400"/>
      <c r="AH545" s="401">
        <f t="shared" si="132"/>
        <v>66600</v>
      </c>
      <c r="AI545" s="402">
        <f t="shared" si="133"/>
        <v>0</v>
      </c>
      <c r="AJ545" s="407"/>
      <c r="AK545" s="406"/>
      <c r="AL545" s="399">
        <f>SUMIFS(BV_Data_An_Prec!$AN:$AN,BV_Data_An_Prec!$AQ:$AQ,$V545)</f>
        <v>51316.090000000011</v>
      </c>
      <c r="AM545" s="403"/>
      <c r="AN545" s="401">
        <f t="shared" si="122"/>
        <v>15283.909999999989</v>
      </c>
      <c r="AO545" s="408">
        <f t="shared" si="123"/>
        <v>0.29783855317113961</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24604.9</v>
      </c>
      <c r="AG546" s="400"/>
      <c r="AH546" s="401">
        <f t="shared" si="132"/>
        <v>24604.9</v>
      </c>
      <c r="AI546" s="402">
        <f t="shared" si="133"/>
        <v>0</v>
      </c>
      <c r="AJ546" s="407"/>
      <c r="AK546" s="406"/>
      <c r="AL546" s="399">
        <f>SUMIFS(BV_Data_An_Prec!$AN:$AN,BV_Data_An_Prec!$AQ:$AQ,$V546)</f>
        <v>8035.75</v>
      </c>
      <c r="AM546" s="403"/>
      <c r="AN546" s="401">
        <f t="shared" si="122"/>
        <v>16569.150000000001</v>
      </c>
      <c r="AO546" s="408">
        <f t="shared" si="123"/>
        <v>2.0619295025355444</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15933.900000000001</v>
      </c>
      <c r="AG547" s="384"/>
      <c r="AH547" s="385">
        <f t="shared" si="132"/>
        <v>15933.900000000001</v>
      </c>
      <c r="AI547" s="412">
        <f t="shared" si="133"/>
        <v>0</v>
      </c>
      <c r="AJ547" s="411"/>
      <c r="AK547" s="410"/>
      <c r="AL547" s="383">
        <f>SUMIFS(BV_Data_An_Prec!$AN:$AN,BV_Data_An_Prec!$AQ:$AQ,$V547)</f>
        <v>31109.83</v>
      </c>
      <c r="AM547" s="387"/>
      <c r="AN547" s="385">
        <f t="shared" si="122"/>
        <v>-15175.93</v>
      </c>
      <c r="AO547" s="388">
        <f t="shared" si="123"/>
        <v>-0.48781783764167141</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4533.5600000000004</v>
      </c>
      <c r="AG548" s="400"/>
      <c r="AH548" s="401">
        <f t="shared" si="132"/>
        <v>4533.5600000000004</v>
      </c>
      <c r="AI548" s="439">
        <f t="shared" si="133"/>
        <v>0</v>
      </c>
      <c r="AJ548" s="407"/>
      <c r="AK548" s="406"/>
      <c r="AL548" s="399">
        <f>SUMIFS(BV_Data_An_Prec!$AN:$AN,BV_Data_An_Prec!$AQ:$AQ,$V548)</f>
        <v>5294.78</v>
      </c>
      <c r="AM548" s="403"/>
      <c r="AN548" s="401">
        <f t="shared" si="122"/>
        <v>-761.21999999999935</v>
      </c>
      <c r="AO548" s="408">
        <f t="shared" si="123"/>
        <v>-0.14376801302414818</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0.14733438773747395</v>
      </c>
      <c r="AE553" s="414"/>
      <c r="AF553" s="416">
        <f>SUM(AF540:AF552)</f>
        <v>760424.48</v>
      </c>
      <c r="AG553" s="422"/>
      <c r="AH553" s="435">
        <f>SUM(AH540:AH552)</f>
        <v>760424.48</v>
      </c>
      <c r="AI553" s="415">
        <f>IF(Z553=0,0,AH553/Z553)</f>
        <v>0</v>
      </c>
      <c r="AJ553" s="417">
        <f>IF($AL$494=0,0,AL553/$AL$494)</f>
        <v>0.16523089253533338</v>
      </c>
      <c r="AK553" s="414"/>
      <c r="AL553" s="416">
        <f>SUM(AL540:AL552)</f>
        <v>921354.13000000012</v>
      </c>
      <c r="AM553" s="423"/>
      <c r="AN553" s="419">
        <f t="shared" si="122"/>
        <v>-160929.65000000014</v>
      </c>
      <c r="AO553" s="436">
        <f t="shared" si="123"/>
        <v>-0.17466644448644314</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0.67924157023958576</v>
      </c>
      <c r="AE555" s="414"/>
      <c r="AF555" s="416">
        <f>AF506+AF520+AF539+AF553</f>
        <v>3505711.91</v>
      </c>
      <c r="AG555" s="422"/>
      <c r="AH555" s="435">
        <f t="shared" si="134"/>
        <v>3505711.91</v>
      </c>
      <c r="AI555" s="415" t="e">
        <f>AH555/Z555</f>
        <v>#DIV/0!</v>
      </c>
      <c r="AJ555" s="417">
        <f>IF($AL$494=0,0,AL555/$AL$494)</f>
        <v>0.64348805805645481</v>
      </c>
      <c r="AK555" s="414"/>
      <c r="AL555" s="416">
        <f>AL506+AL520+AL539+AL553</f>
        <v>3588193.290000001</v>
      </c>
      <c r="AM555" s="423"/>
      <c r="AN555" s="419">
        <f t="shared" ref="AN555:AN568" si="135">AF555-AL555</f>
        <v>-82481.38000000082</v>
      </c>
      <c r="AO555" s="396">
        <f t="shared" ref="AO555:AO568" si="136">IF(AL555=0,0,AN555/AL555)</f>
        <v>-2.2986883184322772E-2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-18085.350000000002</v>
      </c>
      <c r="AG556" s="446"/>
      <c r="AH556" s="401">
        <f t="shared" si="134"/>
        <v>-18085.350000000002</v>
      </c>
      <c r="AI556" s="439" t="e">
        <f>IF(AH556=0,0,AH556/Z556)</f>
        <v>#DIV/0!</v>
      </c>
      <c r="AJ556" s="445"/>
      <c r="AK556" s="444"/>
      <c r="AL556" s="426">
        <f>-SUMIFS(BV_Data_An_Prec!$AN:$AN,BV_Data_An_Prec!$AQ:$AQ,$V556)</f>
        <v>240334.00999999998</v>
      </c>
      <c r="AM556" s="447"/>
      <c r="AN556" s="401">
        <f t="shared" si="135"/>
        <v>-258419.36</v>
      </c>
      <c r="AO556" s="408">
        <f t="shared" si="136"/>
        <v>-1.0752508976985822</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3141</v>
      </c>
      <c r="W558" s="398"/>
      <c r="X558" s="398"/>
      <c r="Y558" s="398"/>
      <c r="Z558" s="399">
        <f t="shared" si="137"/>
        <v>0</v>
      </c>
      <c r="AA558" s="437"/>
      <c r="AB558" s="438"/>
      <c r="AC558" s="399"/>
      <c r="AD558" s="451"/>
      <c r="AF558" s="399">
        <f t="shared" si="138"/>
        <v>93472.23</v>
      </c>
      <c r="AG558" s="450"/>
      <c r="AH558" s="401">
        <f t="shared" si="134"/>
        <v>93472.23</v>
      </c>
      <c r="AI558" s="420" t="e">
        <f t="shared" ref="AI558:AI567" si="139">IF(AH558=0,0,AH558/Z558)</f>
        <v>#DIV/0!</v>
      </c>
      <c r="AJ558" s="451"/>
      <c r="AL558" s="399">
        <f>-SUMIFS(BV_Data_An_Prec!$AN:$AN,BV_Data_An_Prec!$AQ:$AQ,$V558)</f>
        <v>153188.49</v>
      </c>
      <c r="AM558" s="448"/>
      <c r="AN558" s="401">
        <f t="shared" si="135"/>
        <v>-59716.259999999995</v>
      </c>
      <c r="AO558" s="408">
        <f t="shared" si="136"/>
        <v>-0.38982210739201095</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212061</v>
      </c>
      <c r="AG567" s="450"/>
      <c r="AH567" s="401">
        <f t="shared" si="134"/>
        <v>212061</v>
      </c>
      <c r="AI567" s="420" t="e">
        <f t="shared" si="139"/>
        <v>#DIV/0!</v>
      </c>
      <c r="AJ567" s="452"/>
      <c r="AK567" s="437"/>
      <c r="AL567" s="399">
        <f>-SUMIFS(BV_Data_An_Prec!$AN:$AN,BV_Data_An_Prec!$AQ:$AQ,$V567)</f>
        <v>0</v>
      </c>
      <c r="AM567" s="448"/>
      <c r="AN567" s="401">
        <f t="shared" si="135"/>
        <v>212061</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5.5693837481711382E-2</v>
      </c>
      <c r="AE568" s="434"/>
      <c r="AF568" s="416">
        <f>SUM(AF556:AF567)</f>
        <v>287447.88</v>
      </c>
      <c r="AG568" s="422"/>
      <c r="AH568" s="419">
        <f t="shared" si="134"/>
        <v>287447.88</v>
      </c>
      <c r="AI568" s="415" t="e">
        <f>AH568/Z568</f>
        <v>#DIV/0!</v>
      </c>
      <c r="AJ568" s="415"/>
      <c r="AK568" s="434"/>
      <c r="AL568" s="416">
        <f>SUM(AL556:AL567)</f>
        <v>393522.5</v>
      </c>
      <c r="AM568" s="453"/>
      <c r="AN568" s="419">
        <f t="shared" si="135"/>
        <v>-106074.62</v>
      </c>
      <c r="AO568" s="436">
        <f t="shared" si="136"/>
        <v>-0.26955160124262273</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75"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1.4177349292494238E-2</v>
      </c>
      <c r="AF570" s="468">
        <f>AF494-AF555+AF568</f>
        <v>1942951.1599999974</v>
      </c>
      <c r="AG570" s="470"/>
      <c r="AH570" s="470" t="e">
        <f>AF570-Z570</f>
        <v>#REF!</v>
      </c>
      <c r="AI570" s="471" t="e">
        <f>AH570/Z570</f>
        <v>#REF!</v>
      </c>
      <c r="AJ570" s="466" t="s">
        <v>215</v>
      </c>
      <c r="AK570" s="467">
        <f>IF($AL$493=0,0,AL570/$AL$493)</f>
        <v>1.6994163644574206E-2</v>
      </c>
      <c r="AL570" s="468">
        <f>AL494-AL555+AL568</f>
        <v>2381490.6399999941</v>
      </c>
      <c r="AM570" s="472"/>
      <c r="AN570" s="469">
        <f>AF570-AL570</f>
        <v>-438539.47999999672</v>
      </c>
      <c r="AO570" s="473">
        <f>IF(AL570=0,0,AN570/AL570)</f>
        <v>-0.1841449521716356</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Juin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1.9322125792401026E-2</v>
      </c>
      <c r="AF575" s="752">
        <f>AF576+AF502</f>
        <v>2648022.9799999972</v>
      </c>
      <c r="AG575" s="470"/>
      <c r="AH575" s="470" t="e">
        <f t="shared" ref="AH575" si="140">AF575-Z575</f>
        <v>#REF!</v>
      </c>
      <c r="AI575" s="471" t="e">
        <f>AH575/Z575</f>
        <v>#REF!</v>
      </c>
      <c r="AJ575" s="750" t="s">
        <v>215</v>
      </c>
      <c r="AK575" s="751">
        <f>IF($AL$493=0,0,AL575/$AL$493)</f>
        <v>2.3503613547797977E-2</v>
      </c>
      <c r="AL575" s="752">
        <f>AL576+AL502</f>
        <v>3293697.579999994</v>
      </c>
      <c r="AM575" s="472"/>
      <c r="AN575" s="752">
        <f t="shared" ref="AN575:AN585" si="141">AF575-AL575</f>
        <v>-645674.59999999683</v>
      </c>
      <c r="AO575" s="753">
        <f t="shared" ref="AO575:AO585" si="142">IF(AL575=0,0,AN575/AL575)</f>
        <v>-0.19603335895823137</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1.4177349292494238E-2</v>
      </c>
      <c r="AF576" s="468">
        <f>AF570</f>
        <v>1942951.1599999974</v>
      </c>
      <c r="AG576" s="469"/>
      <c r="AH576" s="470" t="e">
        <f>AF576-Z576</f>
        <v>#REF!</v>
      </c>
      <c r="AI576" s="471" t="e">
        <f>AH576/Z576</f>
        <v>#REF!</v>
      </c>
      <c r="AJ576" s="466" t="s">
        <v>215</v>
      </c>
      <c r="AK576" s="467">
        <f>IF($AL$493=0,0,AL576/$AL$493)</f>
        <v>1.6994163644574206E-2</v>
      </c>
      <c r="AL576" s="468">
        <f>AL570</f>
        <v>2381490.6399999941</v>
      </c>
      <c r="AM576" s="474"/>
      <c r="AN576" s="475">
        <f t="shared" si="141"/>
        <v>-438539.47999999672</v>
      </c>
      <c r="AO576" s="476">
        <f t="shared" si="142"/>
        <v>-0.1841449521716356</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64860</v>
      </c>
      <c r="AG578" s="398"/>
      <c r="AH578" s="401">
        <f t="shared" ref="AH578:AH585" si="143">AF578-Z578</f>
        <v>64860</v>
      </c>
      <c r="AI578" s="420">
        <f t="shared" ref="AI578:AI584" si="144">IF(Z578=0,0,AH578/Z578)</f>
        <v>0</v>
      </c>
      <c r="AJ578" s="398"/>
      <c r="AK578" s="406"/>
      <c r="AL578" s="399">
        <f>SUMIFS(BV_Data_An_Prec!$AN:$AN,BV_Data_An_Prec!$AQ:$AQ,$V578)</f>
        <v>68365.329999999987</v>
      </c>
      <c r="AM578" s="403"/>
      <c r="AN578" s="401">
        <f t="shared" si="141"/>
        <v>-3505.3299999999872</v>
      </c>
      <c r="AO578" s="408">
        <f t="shared" si="142"/>
        <v>-5.1273503689662402E-2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24305.360000000001</v>
      </c>
      <c r="AG580" s="35"/>
      <c r="AH580" s="401">
        <f t="shared" si="143"/>
        <v>24305.360000000001</v>
      </c>
      <c r="AI580" s="420">
        <f t="shared" si="144"/>
        <v>0</v>
      </c>
      <c r="AJ580" s="35"/>
      <c r="AK580" s="38"/>
      <c r="AL580" s="399">
        <f>SUMIFS(BV_Data_An_Prec!$AN:$AN,BV_Data_An_Prec!$AQ:$AQ,$V580)</f>
        <v>0</v>
      </c>
      <c r="AM580" s="480"/>
      <c r="AN580" s="401">
        <f t="shared" si="141"/>
        <v>24305.360000000001</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-5930.14</v>
      </c>
      <c r="AG583" s="400"/>
      <c r="AH583" s="401">
        <f t="shared" si="143"/>
        <v>-5930.14</v>
      </c>
      <c r="AI583" s="402">
        <f t="shared" si="144"/>
        <v>0</v>
      </c>
      <c r="AJ583" s="407"/>
      <c r="AK583" s="406"/>
      <c r="AL583" s="399">
        <f>SUMIFS(BV_Data_An_Prec!$AN:$AN,BV_Data_An_Prec!$AQ:$AQ,$V583)</f>
        <v>0</v>
      </c>
      <c r="AM583" s="480"/>
      <c r="AN583" s="401">
        <f t="shared" si="141"/>
        <v>-5930.14</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1.3569997542397952E-2</v>
      </c>
      <c r="AF585" s="468">
        <f>AF576-AF578-AF579-AF580-AF584-AF583</f>
        <v>1859715.9399999972</v>
      </c>
      <c r="AG585" s="470"/>
      <c r="AH585" s="470" t="e">
        <f t="shared" si="143"/>
        <v>#REF!</v>
      </c>
      <c r="AI585" s="471" t="e">
        <f>AH585/Z585</f>
        <v>#REF!</v>
      </c>
      <c r="AJ585" s="466" t="s">
        <v>215</v>
      </c>
      <c r="AK585" s="467">
        <f>IF($AL$493=0,0,AL585/$AL$493)</f>
        <v>1.6506313058004055E-2</v>
      </c>
      <c r="AL585" s="468">
        <f>AL576-AL578-AL579-AL580-AL584-AL583</f>
        <v>2313125.309999994</v>
      </c>
      <c r="AM585" s="472"/>
      <c r="AN585" s="469">
        <f t="shared" si="141"/>
        <v>-453409.36999999685</v>
      </c>
      <c r="AO585" s="482">
        <f t="shared" si="142"/>
        <v>-0.19601591320618858</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3238</v>
      </c>
      <c r="W589" s="35"/>
      <c r="X589" s="35"/>
      <c r="Y589" s="35"/>
      <c r="AE589" s="35"/>
      <c r="AF589" s="904">
        <v>1859715.94</v>
      </c>
      <c r="AL589" s="904">
        <v>2313122</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904">
        <f>AF585-AF589</f>
        <v>-2.7939677238464355E-9</v>
      </c>
      <c r="AG590" s="35"/>
      <c r="AH590" s="35"/>
      <c r="AI590" s="35"/>
      <c r="AJ590" s="699"/>
      <c r="AK590" s="700"/>
      <c r="AL590" s="657">
        <f>AL585-AL589</f>
        <v>3.3099999940022826</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4" priority="136" stopIfTrue="1">
      <formula>"esterreur(reference)"</formula>
    </cfRule>
  </conditionalFormatting>
  <conditionalFormatting sqref="D246:D255">
    <cfRule type="expression" dxfId="353" priority="166" stopIfTrue="1">
      <formula>"esterreur(reference)"</formula>
    </cfRule>
  </conditionalFormatting>
  <conditionalFormatting sqref="D487">
    <cfRule type="expression" dxfId="352" priority="138" stopIfTrue="1">
      <formula>"esterreur(reference)"</formula>
    </cfRule>
  </conditionalFormatting>
  <conditionalFormatting sqref="D186:E192">
    <cfRule type="expression" dxfId="351" priority="109" stopIfTrue="1">
      <formula>"esterreur(reference)"</formula>
    </cfRule>
  </conditionalFormatting>
  <conditionalFormatting sqref="E260">
    <cfRule type="expression" dxfId="350" priority="167" stopIfTrue="1">
      <formula>"esterreur(reference)"</formula>
    </cfRule>
  </conditionalFormatting>
  <conditionalFormatting sqref="F5">
    <cfRule type="expression" dxfId="349" priority="164" stopIfTrue="1">
      <formula>"esterreur(reference)"</formula>
    </cfRule>
  </conditionalFormatting>
  <conditionalFormatting sqref="F84">
    <cfRule type="expression" dxfId="348" priority="163" stopIfTrue="1">
      <formula>"esterreur(reference)"</formula>
    </cfRule>
  </conditionalFormatting>
  <conditionalFormatting sqref="F102">
    <cfRule type="expression" dxfId="347" priority="168" stopIfTrue="1">
      <formula>"esterreur(reference)"</formula>
    </cfRule>
  </conditionalFormatting>
  <conditionalFormatting sqref="F258">
    <cfRule type="expression" dxfId="346" priority="155" stopIfTrue="1">
      <formula>"esterreur(reference)"</formula>
    </cfRule>
  </conditionalFormatting>
  <conditionalFormatting sqref="G31:G32">
    <cfRule type="expression" dxfId="345" priority="161" stopIfTrue="1">
      <formula>"esterreur(reference)"</formula>
    </cfRule>
  </conditionalFormatting>
  <conditionalFormatting sqref="G113:G114">
    <cfRule type="expression" dxfId="344" priority="158" stopIfTrue="1">
      <formula>"esterreur(reference)"</formula>
    </cfRule>
  </conditionalFormatting>
  <conditionalFormatting sqref="G186:G187">
    <cfRule type="expression" dxfId="343" priority="114" stopIfTrue="1">
      <formula>"esterreur(reference)"</formula>
    </cfRule>
  </conditionalFormatting>
  <conditionalFormatting sqref="G246:G255">
    <cfRule type="expression" dxfId="342" priority="165" stopIfTrue="1">
      <formula>"esterreur(reference)"</formula>
    </cfRule>
  </conditionalFormatting>
  <conditionalFormatting sqref="H25:H26 H28:H72">
    <cfRule type="expression" dxfId="341" priority="160" stopIfTrue="1">
      <formula>"esterreur(reference)"</formula>
    </cfRule>
  </conditionalFormatting>
  <conditionalFormatting sqref="H74">
    <cfRule type="expression" dxfId="340" priority="91" stopIfTrue="1">
      <formula>"esterreur(reference)"</formula>
    </cfRule>
  </conditionalFormatting>
  <conditionalFormatting sqref="H83">
    <cfRule type="expression" dxfId="339" priority="88" stopIfTrue="1">
      <formula>"esterreur(reference)"</formula>
    </cfRule>
  </conditionalFormatting>
  <conditionalFormatting sqref="H85">
    <cfRule type="expression" dxfId="338" priority="27" stopIfTrue="1">
      <formula>"esterreur(reference)"</formula>
    </cfRule>
  </conditionalFormatting>
  <conditionalFormatting sqref="H110:H154">
    <cfRule type="expression" dxfId="337" priority="22" stopIfTrue="1">
      <formula>"esterreur(reference)"</formula>
    </cfRule>
  </conditionalFormatting>
  <conditionalFormatting sqref="H156:H158">
    <cfRule type="expression" dxfId="336" priority="84" stopIfTrue="1">
      <formula>"esterreur(reference)"</formula>
    </cfRule>
  </conditionalFormatting>
  <conditionalFormatting sqref="H164">
    <cfRule type="expression" dxfId="335" priority="81" stopIfTrue="1">
      <formula>"esterreur(reference)"</formula>
    </cfRule>
  </conditionalFormatting>
  <conditionalFormatting sqref="H166">
    <cfRule type="expression" dxfId="334" priority="30" stopIfTrue="1">
      <formula>"esterreur(reference)"</formula>
    </cfRule>
  </conditionalFormatting>
  <conditionalFormatting sqref="H183:H227">
    <cfRule type="expression" dxfId="333" priority="18" stopIfTrue="1">
      <formula>"esterreur(reference)"</formula>
    </cfRule>
  </conditionalFormatting>
  <conditionalFormatting sqref="H229:H231">
    <cfRule type="expression" dxfId="332" priority="75" stopIfTrue="1">
      <formula>"esterreur(reference)"</formula>
    </cfRule>
  </conditionalFormatting>
  <conditionalFormatting sqref="H237">
    <cfRule type="expression" dxfId="331" priority="72" stopIfTrue="1">
      <formula>"esterreur(reference)"</formula>
    </cfRule>
  </conditionalFormatting>
  <conditionalFormatting sqref="H239">
    <cfRule type="expression" dxfId="330" priority="33" stopIfTrue="1">
      <formula>"esterreur(reference)"</formula>
    </cfRule>
  </conditionalFormatting>
  <conditionalFormatting sqref="H269">
    <cfRule type="expression" dxfId="329" priority="15" stopIfTrue="1">
      <formula>"esterreur(reference)"</formula>
    </cfRule>
  </conditionalFormatting>
  <conditionalFormatting sqref="H272:H303">
    <cfRule type="expression" dxfId="328" priority="69" stopIfTrue="1">
      <formula>"esterreur(reference)"</formula>
    </cfRule>
  </conditionalFormatting>
  <conditionalFormatting sqref="H305">
    <cfRule type="expression" dxfId="327" priority="67" stopIfTrue="1">
      <formula>"esterreur(reference)"</formula>
    </cfRule>
  </conditionalFormatting>
  <conditionalFormatting sqref="H307">
    <cfRule type="expression" dxfId="326" priority="36" stopIfTrue="1">
      <formula>"esterreur(reference)"</formula>
    </cfRule>
  </conditionalFormatting>
  <conditionalFormatting sqref="H327">
    <cfRule type="expression" dxfId="325" priority="11" stopIfTrue="1">
      <formula>"esterreur(reference)"</formula>
    </cfRule>
  </conditionalFormatting>
  <conditionalFormatting sqref="H330:H361">
    <cfRule type="expression" dxfId="324" priority="63" stopIfTrue="1">
      <formula>"esterreur(reference)"</formula>
    </cfRule>
  </conditionalFormatting>
  <conditionalFormatting sqref="H363">
    <cfRule type="expression" dxfId="323" priority="61" stopIfTrue="1">
      <formula>"esterreur(reference)"</formula>
    </cfRule>
  </conditionalFormatting>
  <conditionalFormatting sqref="H365">
    <cfRule type="expression" dxfId="322" priority="39" stopIfTrue="1">
      <formula>"esterreur(reference)"</formula>
    </cfRule>
  </conditionalFormatting>
  <conditionalFormatting sqref="H391">
    <cfRule type="expression" dxfId="321" priority="8" stopIfTrue="1">
      <formula>"esterreur(reference)"</formula>
    </cfRule>
  </conditionalFormatting>
  <conditionalFormatting sqref="H394:H425">
    <cfRule type="expression" dxfId="320" priority="58" stopIfTrue="1">
      <formula>"esterreur(reference)"</formula>
    </cfRule>
  </conditionalFormatting>
  <conditionalFormatting sqref="H427">
    <cfRule type="expression" dxfId="319" priority="56" stopIfTrue="1">
      <formula>"esterreur(reference)"</formula>
    </cfRule>
  </conditionalFormatting>
  <conditionalFormatting sqref="H429:H431">
    <cfRule type="expression" dxfId="318" priority="42" stopIfTrue="1">
      <formula>"esterreur(reference)"</formula>
    </cfRule>
  </conditionalFormatting>
  <conditionalFormatting sqref="H449">
    <cfRule type="expression" dxfId="317" priority="4" stopIfTrue="1">
      <formula>"esterreur(reference)"</formula>
    </cfRule>
  </conditionalFormatting>
  <conditionalFormatting sqref="H452:H482">
    <cfRule type="expression" dxfId="316" priority="51" stopIfTrue="1">
      <formula>"esterreur(reference)"</formula>
    </cfRule>
  </conditionalFormatting>
  <conditionalFormatting sqref="H484">
    <cfRule type="expression" dxfId="315" priority="48" stopIfTrue="1">
      <formula>"esterreur(reference)"</formula>
    </cfRule>
  </conditionalFormatting>
  <conditionalFormatting sqref="H486:H487">
    <cfRule type="expression" dxfId="314" priority="45" stopIfTrue="1">
      <formula>"esterreur(reference)"</formula>
    </cfRule>
  </conditionalFormatting>
  <conditionalFormatting sqref="H433:I433 K433:L433 J433:J434">
    <cfRule type="expression" dxfId="313" priority="145" stopIfTrue="1">
      <formula>"esterreur(reference)"</formula>
    </cfRule>
  </conditionalFormatting>
  <conditionalFormatting sqref="H317:J317">
    <cfRule type="expression" dxfId="312" priority="132" stopIfTrue="1">
      <formula>"esterreur(reference)"</formula>
    </cfRule>
  </conditionalFormatting>
  <conditionalFormatting sqref="H439:J439">
    <cfRule type="expression" dxfId="311" priority="106" stopIfTrue="1">
      <formula>"esterreur(reference)"</formula>
    </cfRule>
  </conditionalFormatting>
  <conditionalFormatting sqref="H435:L436">
    <cfRule type="expression" dxfId="310" priority="102" stopIfTrue="1">
      <formula>"esterreur(reference)"</formula>
    </cfRule>
  </conditionalFormatting>
  <conditionalFormatting sqref="H447:L447 H450:L451">
    <cfRule type="expression" dxfId="309" priority="101" stopIfTrue="1">
      <formula>"esterreur(reference)"</formula>
    </cfRule>
  </conditionalFormatting>
  <conditionalFormatting sqref="H483:L483 H485:L485">
    <cfRule type="expression" dxfId="308" priority="146" stopIfTrue="1">
      <formula>"esterreur(reference)"</formula>
    </cfRule>
  </conditionalFormatting>
  <conditionalFormatting sqref="I16:I18 I20 I24:I30">
    <cfRule type="expression" dxfId="307" priority="162" stopIfTrue="1">
      <formula>"esterreur(reference)"</formula>
    </cfRule>
  </conditionalFormatting>
  <conditionalFormatting sqref="I109:I110">
    <cfRule type="expression" dxfId="306" priority="23" stopIfTrue="1">
      <formula>"esterreur(reference)"</formula>
    </cfRule>
  </conditionalFormatting>
  <conditionalFormatting sqref="I182:I183">
    <cfRule type="expression" dxfId="305" priority="19" stopIfTrue="1">
      <formula>"esterreur(reference)"</formula>
    </cfRule>
  </conditionalFormatting>
  <conditionalFormatting sqref="I268:I269">
    <cfRule type="expression" dxfId="304" priority="16" stopIfTrue="1">
      <formula>"esterreur(reference)"</formula>
    </cfRule>
  </conditionalFormatting>
  <conditionalFormatting sqref="I326:I327">
    <cfRule type="expression" dxfId="303" priority="12" stopIfTrue="1">
      <formula>"esterreur(reference)"</formula>
    </cfRule>
  </conditionalFormatting>
  <conditionalFormatting sqref="I390:I391">
    <cfRule type="expression" dxfId="302" priority="9" stopIfTrue="1">
      <formula>"esterreur(reference)"</formula>
    </cfRule>
  </conditionalFormatting>
  <conditionalFormatting sqref="I448:I449">
    <cfRule type="expression" dxfId="301" priority="5"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300" priority="139" stopIfTrue="1">
      <formula>"esterreur(reference)"</formula>
    </cfRule>
  </conditionalFormatting>
  <conditionalFormatting sqref="J16 L16:L24">
    <cfRule type="expression" dxfId="299" priority="134" stopIfTrue="1">
      <formula>"esterreur(reference)"</formula>
    </cfRule>
  </conditionalFormatting>
  <conditionalFormatting sqref="J182 J183:L183">
    <cfRule type="expression" dxfId="298" priority="20" stopIfTrue="1">
      <formula>"esterreur(reference)"</formula>
    </cfRule>
  </conditionalFormatting>
  <conditionalFormatting sqref="J326 J327:K327">
    <cfRule type="expression" dxfId="297" priority="13" stopIfTrue="1">
      <formula>"esterreur(reference)"</formula>
    </cfRule>
  </conditionalFormatting>
  <conditionalFormatting sqref="J371:J390">
    <cfRule type="expression" dxfId="296" priority="2" stopIfTrue="1">
      <formula>"esterreur(reference)"</formula>
    </cfRule>
  </conditionalFormatting>
  <conditionalFormatting sqref="J448 J449:K449">
    <cfRule type="expression" dxfId="295" priority="6" stopIfTrue="1">
      <formula>"esterreur(reference)"</formula>
    </cfRule>
  </conditionalFormatting>
  <conditionalFormatting sqref="J54:K54">
    <cfRule type="expression" dxfId="294" priority="95" stopIfTrue="1">
      <formula>"esterreur(reference)"</formula>
    </cfRule>
  </conditionalFormatting>
  <conditionalFormatting sqref="J72:K72">
    <cfRule type="expression" dxfId="293" priority="93" stopIfTrue="1">
      <formula>"esterreur(reference)"</formula>
    </cfRule>
  </conditionalFormatting>
  <conditionalFormatting sqref="J74:K74">
    <cfRule type="expression" dxfId="292" priority="90" stopIfTrue="1">
      <formula>"esterreur(reference)"</formula>
    </cfRule>
  </conditionalFormatting>
  <conditionalFormatting sqref="J85:K85">
    <cfRule type="expression" dxfId="291" priority="26" stopIfTrue="1">
      <formula>"esterreur(reference)"</formula>
    </cfRule>
  </conditionalFormatting>
  <conditionalFormatting sqref="J156:K158">
    <cfRule type="expression" dxfId="290" priority="83" stopIfTrue="1">
      <formula>"esterreur(reference)"</formula>
    </cfRule>
  </conditionalFormatting>
  <conditionalFormatting sqref="J164:K164">
    <cfRule type="expression" dxfId="289" priority="80" stopIfTrue="1">
      <formula>"esterreur(reference)"</formula>
    </cfRule>
  </conditionalFormatting>
  <conditionalFormatting sqref="J166:K166">
    <cfRule type="expression" dxfId="288" priority="29" stopIfTrue="1">
      <formula>"esterreur(reference)"</formula>
    </cfRule>
  </conditionalFormatting>
  <conditionalFormatting sqref="J229:K231">
    <cfRule type="expression" dxfId="287" priority="74" stopIfTrue="1">
      <formula>"esterreur(reference)"</formula>
    </cfRule>
  </conditionalFormatting>
  <conditionalFormatting sqref="J237:K237">
    <cfRule type="expression" dxfId="286" priority="71" stopIfTrue="1">
      <formula>"esterreur(reference)"</formula>
    </cfRule>
  </conditionalFormatting>
  <conditionalFormatting sqref="J239:K239">
    <cfRule type="expression" dxfId="285" priority="32" stopIfTrue="1">
      <formula>"esterreur(reference)"</formula>
    </cfRule>
  </conditionalFormatting>
  <conditionalFormatting sqref="J305:K305">
    <cfRule type="expression" dxfId="284" priority="66" stopIfTrue="1">
      <formula>"esterreur(reference)"</formula>
    </cfRule>
  </conditionalFormatting>
  <conditionalFormatting sqref="J307:K307">
    <cfRule type="expression" dxfId="283" priority="35" stopIfTrue="1">
      <formula>"esterreur(reference)"</formula>
    </cfRule>
  </conditionalFormatting>
  <conditionalFormatting sqref="J363:K363">
    <cfRule type="expression" dxfId="282" priority="60" stopIfTrue="1">
      <formula>"esterreur(reference)"</formula>
    </cfRule>
  </conditionalFormatting>
  <conditionalFormatting sqref="J365:K365">
    <cfRule type="expression" dxfId="281" priority="38" stopIfTrue="1">
      <formula>"esterreur(reference)"</formula>
    </cfRule>
  </conditionalFormatting>
  <conditionalFormatting sqref="J427:K427">
    <cfRule type="expression" dxfId="280" priority="55" stopIfTrue="1">
      <formula>"esterreur(reference)"</formula>
    </cfRule>
  </conditionalFormatting>
  <conditionalFormatting sqref="J429:K431">
    <cfRule type="expression" dxfId="279" priority="41" stopIfTrue="1">
      <formula>"esterreur(reference)"</formula>
    </cfRule>
  </conditionalFormatting>
  <conditionalFormatting sqref="J464:K464">
    <cfRule type="expression" dxfId="278" priority="53" stopIfTrue="1">
      <formula>"esterreur(reference)"</formula>
    </cfRule>
  </conditionalFormatting>
  <conditionalFormatting sqref="J482:K482">
    <cfRule type="expression" dxfId="277" priority="50" stopIfTrue="1">
      <formula>"esterreur(reference)"</formula>
    </cfRule>
  </conditionalFormatting>
  <conditionalFormatting sqref="J484:K484">
    <cfRule type="expression" dxfId="276" priority="47" stopIfTrue="1">
      <formula>"esterreur(reference)"</formula>
    </cfRule>
  </conditionalFormatting>
  <conditionalFormatting sqref="J486:K487">
    <cfRule type="expression" dxfId="275" priority="44" stopIfTrue="1">
      <formula>"esterreur(reference)"</formula>
    </cfRule>
  </conditionalFormatting>
  <conditionalFormatting sqref="J53:L53 J55:L71">
    <cfRule type="expression" dxfId="274" priority="133" stopIfTrue="1">
      <formula>"esterreur(reference)"</formula>
    </cfRule>
  </conditionalFormatting>
  <conditionalFormatting sqref="J465:L481">
    <cfRule type="expression" dxfId="273" priority="147" stopIfTrue="1">
      <formula>"esterreur(reference)"</formula>
    </cfRule>
  </conditionalFormatting>
  <conditionalFormatting sqref="K5">
    <cfRule type="expression" dxfId="272" priority="154" stopIfTrue="1">
      <formula>"esterreur(reference)"</formula>
    </cfRule>
  </conditionalFormatting>
  <conditionalFormatting sqref="K321:L321">
    <cfRule type="expression" dxfId="271" priority="152" stopIfTrue="1">
      <formula>"esterreur(reference)"</formula>
    </cfRule>
  </conditionalFormatting>
  <conditionalFormatting sqref="K437:L437 K439:L440">
    <cfRule type="expression" dxfId="270" priority="107" stopIfTrue="1">
      <formula>"esterreur(reference)"</formula>
    </cfRule>
  </conditionalFormatting>
  <conditionalFormatting sqref="K443:L443">
    <cfRule type="expression" dxfId="269" priority="108" stopIfTrue="1">
      <formula>"esterreur(reference)"</formula>
    </cfRule>
  </conditionalFormatting>
  <conditionalFormatting sqref="L5:L14">
    <cfRule type="expression" dxfId="268" priority="24" stopIfTrue="1">
      <formula>"esterreur(reference)"</formula>
    </cfRule>
  </conditionalFormatting>
  <conditionalFormatting sqref="L75:L82">
    <cfRule type="expression" dxfId="267" priority="141" stopIfTrue="1">
      <formula>"esterreur(reference)"</formula>
    </cfRule>
  </conditionalFormatting>
  <conditionalFormatting sqref="L157:L163">
    <cfRule type="expression" dxfId="266" priority="151" stopIfTrue="1">
      <formula>"esterreur(reference)"</formula>
    </cfRule>
  </conditionalFormatting>
  <conditionalFormatting sqref="L230:L236">
    <cfRule type="expression" dxfId="265" priority="113" stopIfTrue="1">
      <formula>"esterreur(reference)"</formula>
    </cfRule>
  </conditionalFormatting>
  <conditionalFormatting sqref="L272:L283">
    <cfRule type="expression" dxfId="264" priority="149" stopIfTrue="1">
      <formula>"esterreur(reference)"</formula>
    </cfRule>
  </conditionalFormatting>
  <conditionalFormatting sqref="L285:L302">
    <cfRule type="expression" dxfId="263" priority="150" stopIfTrue="1">
      <formula>"esterreur(reference)"</formula>
    </cfRule>
  </conditionalFormatting>
  <conditionalFormatting sqref="L324">
    <cfRule type="expression" dxfId="262" priority="98" stopIfTrue="1">
      <formula>"esterreur(reference)"</formula>
    </cfRule>
  </conditionalFormatting>
  <conditionalFormatting sqref="L330:L341">
    <cfRule type="expression" dxfId="261" priority="153" stopIfTrue="1">
      <formula>"esterreur(reference)"</formula>
    </cfRule>
  </conditionalFormatting>
  <conditionalFormatting sqref="L422:L424">
    <cfRule type="expression" dxfId="260" priority="148" stopIfTrue="1">
      <formula>"esterreur(reference)"</formula>
    </cfRule>
  </conditionalFormatting>
  <conditionalFormatting sqref="M95:M97">
    <cfRule type="expression" dxfId="259" priority="140" stopIfTrue="1">
      <formula>"esterreur(reference)"</formula>
    </cfRule>
  </conditionalFormatting>
  <conditionalFormatting sqref="M177:M179">
    <cfRule type="expression" dxfId="258" priority="112" stopIfTrue="1">
      <formula>"esterreur(reference)"</formula>
    </cfRule>
  </conditionalFormatting>
  <conditionalFormatting sqref="N283">
    <cfRule type="expression" dxfId="257" priority="135" stopIfTrue="1">
      <formula>"esterreur(reference)"</formula>
    </cfRule>
  </conditionalFormatting>
  <conditionalFormatting sqref="N394:N404">
    <cfRule type="expression" dxfId="256" priority="137" stopIfTrue="1">
      <formula>"esterreur(reference)"</formula>
    </cfRule>
  </conditionalFormatting>
  <conditionalFormatting sqref="N271:Q271">
    <cfRule type="expression" dxfId="255" priority="123" stopIfTrue="1">
      <formula>"esterreur(reference)"</formula>
    </cfRule>
  </conditionalFormatting>
  <conditionalFormatting sqref="O16 Q16:Q24">
    <cfRule type="expression" dxfId="254" priority="128" stopIfTrue="1">
      <formula>"esterreur(reference)"</formula>
    </cfRule>
  </conditionalFormatting>
  <conditionalFormatting sqref="O109 O110:Q122">
    <cfRule type="expression" dxfId="253" priority="21" stopIfTrue="1">
      <formula>"esterreur(reference)"</formula>
    </cfRule>
  </conditionalFormatting>
  <conditionalFormatting sqref="O182 O183:Q195">
    <cfRule type="expression" dxfId="252" priority="17"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51" priority="122" stopIfTrue="1">
      <formula>"esterreur(reference)"</formula>
    </cfRule>
  </conditionalFormatting>
  <conditionalFormatting sqref="O266:O268 O269:P269">
    <cfRule type="expression" dxfId="250" priority="14" stopIfTrue="1">
      <formula>"esterreur(reference)"</formula>
    </cfRule>
  </conditionalFormatting>
  <conditionalFormatting sqref="O317">
    <cfRule type="expression" dxfId="249" priority="118" stopIfTrue="1">
      <formula>"esterreur(reference)"</formula>
    </cfRule>
  </conditionalFormatting>
  <conditionalFormatting sqref="O326">
    <cfRule type="expression" dxfId="248" priority="10" stopIfTrue="1">
      <formula>"esterreur(reference)"</formula>
    </cfRule>
  </conditionalFormatting>
  <conditionalFormatting sqref="O390 O391:P391">
    <cfRule type="expression" dxfId="247" priority="7" stopIfTrue="1">
      <formula>"esterreur(reference)"</formula>
    </cfRule>
  </conditionalFormatting>
  <conditionalFormatting sqref="O439">
    <cfRule type="expression" dxfId="246" priority="103" stopIfTrue="1">
      <formula>"esterreur(reference)"</formula>
    </cfRule>
  </conditionalFormatting>
  <conditionalFormatting sqref="O448 O449:P449">
    <cfRule type="expression" dxfId="245" priority="3" stopIfTrue="1">
      <formula>"esterreur(reference)"</formula>
    </cfRule>
  </conditionalFormatting>
  <conditionalFormatting sqref="O54:P54">
    <cfRule type="expression" dxfId="244" priority="94" stopIfTrue="1">
      <formula>"esterreur(reference)"</formula>
    </cfRule>
  </conditionalFormatting>
  <conditionalFormatting sqref="O72:P72">
    <cfRule type="expression" dxfId="243" priority="92" stopIfTrue="1">
      <formula>"esterreur(reference)"</formula>
    </cfRule>
  </conditionalFormatting>
  <conditionalFormatting sqref="O74:P74">
    <cfRule type="expression" dxfId="242" priority="89" stopIfTrue="1">
      <formula>"esterreur(reference)"</formula>
    </cfRule>
  </conditionalFormatting>
  <conditionalFormatting sqref="O85:P85">
    <cfRule type="expression" dxfId="241" priority="25" stopIfTrue="1">
      <formula>"esterreur(reference)"</formula>
    </cfRule>
  </conditionalFormatting>
  <conditionalFormatting sqref="O123:P133">
    <cfRule type="expression" dxfId="240" priority="87" stopIfTrue="1">
      <formula>"esterreur(reference)"</formula>
    </cfRule>
  </conditionalFormatting>
  <conditionalFormatting sqref="O136:P136">
    <cfRule type="expression" dxfId="239" priority="86" stopIfTrue="1">
      <formula>"esterreur(reference)"</formula>
    </cfRule>
  </conditionalFormatting>
  <conditionalFormatting sqref="O154:P154">
    <cfRule type="expression" dxfId="238" priority="85" stopIfTrue="1">
      <formula>"esterreur(reference)"</formula>
    </cfRule>
  </conditionalFormatting>
  <conditionalFormatting sqref="O156:P158">
    <cfRule type="expression" dxfId="237" priority="82" stopIfTrue="1">
      <formula>"esterreur(reference)"</formula>
    </cfRule>
  </conditionalFormatting>
  <conditionalFormatting sqref="O164:P164">
    <cfRule type="expression" dxfId="236" priority="79" stopIfTrue="1">
      <formula>"esterreur(reference)"</formula>
    </cfRule>
  </conditionalFormatting>
  <conditionalFormatting sqref="O166:P166">
    <cfRule type="expression" dxfId="235" priority="28" stopIfTrue="1">
      <formula>"esterreur(reference)"</formula>
    </cfRule>
  </conditionalFormatting>
  <conditionalFormatting sqref="O196:P206">
    <cfRule type="expression" dxfId="234" priority="78" stopIfTrue="1">
      <formula>"esterreur(reference)"</formula>
    </cfRule>
  </conditionalFormatting>
  <conditionalFormatting sqref="O209:P209">
    <cfRule type="expression" dxfId="233" priority="77" stopIfTrue="1">
      <formula>"esterreur(reference)"</formula>
    </cfRule>
  </conditionalFormatting>
  <conditionalFormatting sqref="O227:P227">
    <cfRule type="expression" dxfId="232" priority="76" stopIfTrue="1">
      <formula>"esterreur(reference)"</formula>
    </cfRule>
  </conditionalFormatting>
  <conditionalFormatting sqref="O229:P231">
    <cfRule type="expression" dxfId="231" priority="73" stopIfTrue="1">
      <formula>"esterreur(reference)"</formula>
    </cfRule>
  </conditionalFormatting>
  <conditionalFormatting sqref="O237:P237">
    <cfRule type="expression" dxfId="230" priority="70" stopIfTrue="1">
      <formula>"esterreur(reference)"</formula>
    </cfRule>
  </conditionalFormatting>
  <conditionalFormatting sqref="O239:P239">
    <cfRule type="expression" dxfId="229" priority="31" stopIfTrue="1">
      <formula>"esterreur(reference)"</formula>
    </cfRule>
  </conditionalFormatting>
  <conditionalFormatting sqref="O276:P303">
    <cfRule type="expression" dxfId="228" priority="68" stopIfTrue="1">
      <formula>"esterreur(reference)"</formula>
    </cfRule>
  </conditionalFormatting>
  <conditionalFormatting sqref="O305:P305">
    <cfRule type="expression" dxfId="227" priority="65" stopIfTrue="1">
      <formula>"esterreur(reference)"</formula>
    </cfRule>
  </conditionalFormatting>
  <conditionalFormatting sqref="O307:P307">
    <cfRule type="expression" dxfId="226" priority="34" stopIfTrue="1">
      <formula>"esterreur(reference)"</formula>
    </cfRule>
  </conditionalFormatting>
  <conditionalFormatting sqref="O327:P327">
    <cfRule type="expression" dxfId="225" priority="1" stopIfTrue="1">
      <formula>"esterreur(reference)"</formula>
    </cfRule>
  </conditionalFormatting>
  <conditionalFormatting sqref="O330:P342">
    <cfRule type="expression" dxfId="224" priority="64" stopIfTrue="1">
      <formula>"esterreur(reference)"</formula>
    </cfRule>
  </conditionalFormatting>
  <conditionalFormatting sqref="O361:P361">
    <cfRule type="expression" dxfId="223" priority="62" stopIfTrue="1">
      <formula>"esterreur(reference)"</formula>
    </cfRule>
  </conditionalFormatting>
  <conditionalFormatting sqref="O363:P363">
    <cfRule type="expression" dxfId="222" priority="59" stopIfTrue="1">
      <formula>"esterreur(reference)"</formula>
    </cfRule>
  </conditionalFormatting>
  <conditionalFormatting sqref="O365:P365">
    <cfRule type="expression" dxfId="221" priority="37" stopIfTrue="1">
      <formula>"esterreur(reference)"</formula>
    </cfRule>
  </conditionalFormatting>
  <conditionalFormatting sqref="O371:P379 O380:Q382 O383:P384 O385:Q389 O392:Q405 O428:Q428">
    <cfRule type="expression" dxfId="220" priority="116" stopIfTrue="1">
      <formula>"esterreur(reference)"</formula>
    </cfRule>
  </conditionalFormatting>
  <conditionalFormatting sqref="O406:P425">
    <cfRule type="expression" dxfId="219" priority="57" stopIfTrue="1">
      <formula>"esterreur(reference)"</formula>
    </cfRule>
  </conditionalFormatting>
  <conditionalFormatting sqref="O427:P427">
    <cfRule type="expression" dxfId="218" priority="54" stopIfTrue="1">
      <formula>"esterreur(reference)"</formula>
    </cfRule>
  </conditionalFormatting>
  <conditionalFormatting sqref="O429:P429">
    <cfRule type="expression" dxfId="217" priority="40" stopIfTrue="1">
      <formula>"esterreur(reference)"</formula>
    </cfRule>
  </conditionalFormatting>
  <conditionalFormatting sqref="O464:P464">
    <cfRule type="expression" dxfId="216" priority="52" stopIfTrue="1">
      <formula>"esterreur(reference)"</formula>
    </cfRule>
  </conditionalFormatting>
  <conditionalFormatting sqref="O482:P482">
    <cfRule type="expression" dxfId="215" priority="49" stopIfTrue="1">
      <formula>"esterreur(reference)"</formula>
    </cfRule>
  </conditionalFormatting>
  <conditionalFormatting sqref="O484:P484">
    <cfRule type="expression" dxfId="214" priority="46" stopIfTrue="1">
      <formula>"esterreur(reference)"</formula>
    </cfRule>
  </conditionalFormatting>
  <conditionalFormatting sqref="O486:P486">
    <cfRule type="expression" dxfId="213" priority="43" stopIfTrue="1">
      <formula>"esterreur(reference)"</formula>
    </cfRule>
  </conditionalFormatting>
  <conditionalFormatting sqref="O53:Q53 O55:Q71">
    <cfRule type="expression" dxfId="212" priority="127" stopIfTrue="1">
      <formula>"esterreur(reference)"</formula>
    </cfRule>
  </conditionalFormatting>
  <conditionalFormatting sqref="O180:Q181">
    <cfRule type="expression" dxfId="211" priority="110" stopIfTrue="1">
      <formula>"esterreur(reference)"</formula>
    </cfRule>
  </conditionalFormatting>
  <conditionalFormatting sqref="O436:Q436">
    <cfRule type="expression" dxfId="210" priority="115" stopIfTrue="1">
      <formula>"esterreur(reference)"</formula>
    </cfRule>
  </conditionalFormatting>
  <conditionalFormatting sqref="O447:Q447 O450:Q463 O465:Q481">
    <cfRule type="expression" dxfId="209" priority="100" stopIfTrue="1">
      <formula>"esterreur(reference)"</formula>
    </cfRule>
  </conditionalFormatting>
  <conditionalFormatting sqref="O483:Q483 O485:Q485">
    <cfRule type="expression" dxfId="208" priority="99" stopIfTrue="1">
      <formula>"esterreur(reference)"</formula>
    </cfRule>
  </conditionalFormatting>
  <conditionalFormatting sqref="P5:Q5">
    <cfRule type="expression" dxfId="207" priority="131" stopIfTrue="1">
      <formula>"esterreur(reference)"</formula>
    </cfRule>
  </conditionalFormatting>
  <conditionalFormatting sqref="P315:Q315 P317:Q318 O328:Q329 O343:Q360 O364:Q364">
    <cfRule type="expression" dxfId="206" priority="119" stopIfTrue="1">
      <formula>"esterreur(reference)"</formula>
    </cfRule>
  </conditionalFormatting>
  <conditionalFormatting sqref="P321:Q321">
    <cfRule type="expression" dxfId="205" priority="120" stopIfTrue="1">
      <formula>"esterreur(reference)"</formula>
    </cfRule>
  </conditionalFormatting>
  <conditionalFormatting sqref="P437:Q437 P439:Q440">
    <cfRule type="expression" dxfId="204" priority="104" stopIfTrue="1">
      <formula>"esterreur(reference)"</formula>
    </cfRule>
  </conditionalFormatting>
  <conditionalFormatting sqref="P443:Q443">
    <cfRule type="expression" dxfId="203" priority="105" stopIfTrue="1">
      <formula>"esterreur(reference)"</formula>
    </cfRule>
  </conditionalFormatting>
  <conditionalFormatting sqref="Q6:Q14 O13:O14 O18:O24 O25:Q26 O27 O28:Q30 O31:P36 O37 O38:P52 O83:P83 O84:Q84">
    <cfRule type="expression" dxfId="202" priority="129" stopIfTrue="1">
      <formula>"esterreur(reference)"</formula>
    </cfRule>
  </conditionalFormatting>
  <conditionalFormatting sqref="Q75:Q82">
    <cfRule type="expression" dxfId="201" priority="130" stopIfTrue="1">
      <formula>"esterreur(reference)"</formula>
    </cfRule>
  </conditionalFormatting>
  <conditionalFormatting sqref="Q157:Q163">
    <cfRule type="expression" dxfId="200" priority="126" stopIfTrue="1">
      <formula>"esterreur(reference)"</formula>
    </cfRule>
  </conditionalFormatting>
  <conditionalFormatting sqref="Q230:Q236">
    <cfRule type="expression" dxfId="199" priority="111" stopIfTrue="1">
      <formula>"esterreur(reference)"</formula>
    </cfRule>
  </conditionalFormatting>
  <conditionalFormatting sqref="Q259">
    <cfRule type="expression" dxfId="198" priority="96" stopIfTrue="1">
      <formula>"esterreur(reference)"</formula>
    </cfRule>
  </conditionalFormatting>
  <conditionalFormatting sqref="Q272:Q283">
    <cfRule type="expression" dxfId="197" priority="124" stopIfTrue="1">
      <formula>"esterreur(reference)"</formula>
    </cfRule>
  </conditionalFormatting>
  <conditionalFormatting sqref="Q285:Q302">
    <cfRule type="expression" dxfId="196" priority="125" stopIfTrue="1">
      <formula>"esterreur(reference)"</formula>
    </cfRule>
  </conditionalFormatting>
  <conditionalFormatting sqref="Q324">
    <cfRule type="expression" dxfId="195" priority="97" stopIfTrue="1">
      <formula>"esterreur(reference)"</formula>
    </cfRule>
  </conditionalFormatting>
  <conditionalFormatting sqref="Q330:Q341">
    <cfRule type="expression" dxfId="194" priority="121" stopIfTrue="1">
      <formula>"esterreur(reference)"</formula>
    </cfRule>
  </conditionalFormatting>
  <conditionalFormatting sqref="Q422:Q424">
    <cfRule type="expression" dxfId="193" priority="117" stopIfTrue="1">
      <formula>"esterreur(reference)"</formula>
    </cfRule>
  </conditionalFormatting>
  <conditionalFormatting sqref="R388">
    <cfRule type="expression" dxfId="192" priority="142" stopIfTrue="1">
      <formula>"esterreur(reference)"</formula>
    </cfRule>
  </conditionalFormatting>
  <conditionalFormatting sqref="S260">
    <cfRule type="expression" dxfId="191" priority="156" stopIfTrue="1">
      <formula>"esterreur(reference)"</formula>
    </cfRule>
  </conditionalFormatting>
  <conditionalFormatting sqref="AG496:AI505 AH507:AI519 AH521:AI538 AH540:AI547 AH548:AH549 AH550:AI552 AH554:AI554 AH578:AI584">
    <cfRule type="cellIs" dxfId="190" priority="143" operator="greaterThan">
      <formula>0</formula>
    </cfRule>
  </conditionalFormatting>
  <conditionalFormatting sqref="AH556:AI563 AH567:AI567">
    <cfRule type="cellIs" dxfId="189" priority="144" operator="lessThan">
      <formula>0</formula>
    </cfRule>
  </conditionalFormatting>
  <conditionalFormatting sqref="AH564:AI566">
    <cfRule type="cellIs" dxfId="188" priority="159" operator="greaterThan">
      <formula>0</formula>
    </cfRule>
  </conditionalFormatting>
  <conditionalFormatting sqref="AO496:AO505">
    <cfRule type="cellIs" dxfId="187" priority="157"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A665-4CAC-4818-8BCD-F45F92385204}">
  <sheetPr>
    <tabColor rgb="FFFFC000"/>
  </sheetPr>
  <dimension ref="A1:BJ780"/>
  <sheetViews>
    <sheetView zoomScale="80" zoomScaleNormal="80" workbookViewId="0">
      <selection activeCell="P16" sqref="P16"/>
    </sheetView>
  </sheetViews>
  <sheetFormatPr baseColWidth="10" defaultColWidth="11.59765625" defaultRowHeight="13.8"/>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1105" t="s">
        <v>1161</v>
      </c>
      <c r="D1" s="911"/>
      <c r="E1" s="912"/>
      <c r="F1" s="911"/>
      <c r="G1" s="911"/>
      <c r="H1" s="913"/>
      <c r="I1" s="911"/>
      <c r="J1" s="913"/>
      <c r="K1" s="914" t="s">
        <v>88</v>
      </c>
      <c r="L1" s="911"/>
      <c r="M1" s="911"/>
      <c r="N1" s="915"/>
      <c r="O1" s="1105"/>
      <c r="P1" s="1106"/>
      <c r="Q1" s="1105"/>
      <c r="R1" s="1106"/>
      <c r="S1" s="1107" t="s">
        <v>3385</v>
      </c>
      <c r="T1" s="226" t="s">
        <v>333</v>
      </c>
      <c r="U1" s="33"/>
      <c r="V1" s="1108"/>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t="s">
        <v>334</v>
      </c>
      <c r="H2" s="227" t="s">
        <v>335</v>
      </c>
      <c r="I2" s="227" t="s">
        <v>336</v>
      </c>
      <c r="J2" s="227"/>
      <c r="K2" s="227"/>
      <c r="L2" s="227"/>
      <c r="M2" s="35"/>
      <c r="N2" s="35"/>
      <c r="O2" s="227"/>
      <c r="P2" s="227"/>
      <c r="Q2" s="227"/>
      <c r="R2" s="35"/>
      <c r="S2" s="35"/>
      <c r="T2" s="35"/>
      <c r="U2" s="35"/>
      <c r="V2" s="1109"/>
      <c r="W2" s="1110"/>
    </row>
    <row r="3" spans="1:40" ht="21.6" thickTop="1">
      <c r="B3" s="38"/>
      <c r="C3" s="1111"/>
      <c r="D3" s="1244" t="s">
        <v>339</v>
      </c>
      <c r="E3" s="1245"/>
      <c r="F3" s="1248"/>
      <c r="G3" s="1247" t="s">
        <v>3376</v>
      </c>
      <c r="H3" s="1245"/>
      <c r="I3" s="1248"/>
      <c r="J3" s="1247" t="s">
        <v>340</v>
      </c>
      <c r="K3" s="1245"/>
      <c r="L3" s="1248"/>
      <c r="M3" s="1247" t="s">
        <v>668</v>
      </c>
      <c r="N3" s="1248"/>
      <c r="O3" s="1244" t="s">
        <v>341</v>
      </c>
      <c r="P3" s="1245"/>
      <c r="Q3" s="1248"/>
      <c r="R3" s="1247" t="s">
        <v>670</v>
      </c>
      <c r="S3" s="1248"/>
      <c r="T3" s="38"/>
      <c r="U3" s="38"/>
      <c r="V3" s="1112"/>
      <c r="W3" s="232"/>
      <c r="X3" s="38"/>
      <c r="Y3" s="38"/>
      <c r="Z3" s="38"/>
      <c r="AA3" s="38"/>
      <c r="AB3" s="38"/>
      <c r="AC3" s="38"/>
      <c r="AD3" s="38"/>
      <c r="AE3" s="38"/>
      <c r="AF3" s="38"/>
      <c r="AG3" s="38"/>
      <c r="AH3" s="38"/>
      <c r="AI3" s="38"/>
      <c r="AJ3" s="38"/>
      <c r="AK3" s="38"/>
      <c r="AL3" s="38"/>
      <c r="AM3" s="38"/>
      <c r="AN3" s="38"/>
    </row>
    <row r="4" spans="1:40" ht="20.399999999999999">
      <c r="B4" s="38"/>
      <c r="C4" s="1113"/>
      <c r="D4" s="234" t="s">
        <v>89</v>
      </c>
      <c r="E4" s="235" t="s">
        <v>344</v>
      </c>
      <c r="F4" s="1114" t="s">
        <v>91</v>
      </c>
      <c r="G4" s="1115" t="s">
        <v>89</v>
      </c>
      <c r="H4" s="235" t="s">
        <v>344</v>
      </c>
      <c r="I4" s="1114" t="s">
        <v>91</v>
      </c>
      <c r="J4" s="1115" t="s">
        <v>89</v>
      </c>
      <c r="K4" s="235" t="s">
        <v>90</v>
      </c>
      <c r="L4" s="1114" t="s">
        <v>91</v>
      </c>
      <c r="M4" s="1115" t="s">
        <v>3377</v>
      </c>
      <c r="N4" s="1114" t="s">
        <v>91</v>
      </c>
      <c r="O4" s="1115" t="s">
        <v>89</v>
      </c>
      <c r="P4" s="235" t="s">
        <v>90</v>
      </c>
      <c r="Q4" s="1114" t="s">
        <v>91</v>
      </c>
      <c r="R4" s="1115" t="s">
        <v>89</v>
      </c>
      <c r="S4" s="1114" t="s">
        <v>91</v>
      </c>
      <c r="T4" s="38"/>
      <c r="U4" s="38"/>
      <c r="V4" s="1112"/>
      <c r="W4" s="232"/>
      <c r="X4" s="38"/>
      <c r="Y4" s="38"/>
      <c r="Z4" s="38"/>
      <c r="AA4" s="38"/>
      <c r="AB4" s="38"/>
      <c r="AC4" s="38"/>
      <c r="AD4" s="38"/>
      <c r="AE4" s="38"/>
      <c r="AF4" s="38"/>
      <c r="AG4" s="38"/>
      <c r="AH4" s="38"/>
      <c r="AI4" s="38"/>
      <c r="AJ4" s="38"/>
      <c r="AK4" s="38"/>
      <c r="AL4" s="38"/>
      <c r="AM4" s="38"/>
      <c r="AN4" s="38"/>
    </row>
    <row r="5" spans="1:40" ht="20.399999999999999">
      <c r="A5" s="1116" t="str">
        <f>+B5&amp;C5</f>
        <v>Véhicules neufsVentes nettes</v>
      </c>
      <c r="B5" s="38" t="str">
        <f t="shared" ref="B5:B85" si="0">+$K$1</f>
        <v>Véhicules neufs</v>
      </c>
      <c r="C5" s="238" t="s">
        <v>92</v>
      </c>
      <c r="D5" s="1117"/>
      <c r="E5" s="1117"/>
      <c r="F5" s="1118">
        <v>0</v>
      </c>
      <c r="G5" s="1117"/>
      <c r="H5" s="1117"/>
      <c r="I5" s="1119">
        <v>0</v>
      </c>
      <c r="J5" s="238"/>
      <c r="K5" s="965"/>
      <c r="L5" s="1120">
        <v>41423028.600000001</v>
      </c>
      <c r="M5" s="242"/>
      <c r="N5" s="1121"/>
      <c r="O5" s="238"/>
      <c r="P5" s="965"/>
      <c r="Q5" s="1120">
        <v>53823402.409999996</v>
      </c>
      <c r="R5" s="242"/>
      <c r="S5" s="1122"/>
      <c r="T5" s="38"/>
      <c r="U5" s="38"/>
      <c r="V5" s="1112"/>
      <c r="W5" s="232"/>
      <c r="X5" s="38"/>
      <c r="Y5" s="38"/>
      <c r="Z5" s="38"/>
      <c r="AA5" s="38"/>
      <c r="AB5" s="38"/>
      <c r="AC5" s="38"/>
      <c r="AD5" s="38"/>
      <c r="AE5" s="38"/>
      <c r="AF5" s="38"/>
      <c r="AG5" s="38"/>
      <c r="AH5" s="38"/>
      <c r="AI5" s="38"/>
      <c r="AJ5" s="38"/>
      <c r="AK5" s="38"/>
      <c r="AL5" s="38"/>
      <c r="AM5" s="38"/>
      <c r="AN5" s="38"/>
    </row>
    <row r="6" spans="1:40" ht="20.399999999999999">
      <c r="A6" s="1116" t="str">
        <f t="shared" ref="A6:A85" si="1">+B6&amp;C6</f>
        <v>Véhicules neufsAutos détail</v>
      </c>
      <c r="B6" s="38" t="str">
        <f t="shared" si="0"/>
        <v>Véhicules neufs</v>
      </c>
      <c r="C6" s="681" t="s">
        <v>93</v>
      </c>
      <c r="D6" s="244">
        <v>0</v>
      </c>
      <c r="E6" s="244">
        <f>IF(D6=0,0,F6/D6)</f>
        <v>0</v>
      </c>
      <c r="F6" s="244">
        <v>0</v>
      </c>
      <c r="G6" s="736">
        <v>0</v>
      </c>
      <c r="H6" s="244">
        <f>IF(G6=0,0,I6/G6)</f>
        <v>0</v>
      </c>
      <c r="I6" s="244">
        <v>0</v>
      </c>
      <c r="J6" s="736">
        <v>3</v>
      </c>
      <c r="K6" s="281">
        <f>IF(J6=0,0,L6/J6)</f>
        <v>3529.1700000000033</v>
      </c>
      <c r="L6" s="658">
        <v>10587.510000000009</v>
      </c>
      <c r="M6" s="736">
        <f t="shared" ref="M6:M12" si="2">J6-D6</f>
        <v>3</v>
      </c>
      <c r="N6" s="967">
        <f t="shared" ref="N6:N12" si="3">L6-F6</f>
        <v>10587.510000000009</v>
      </c>
      <c r="O6" s="736">
        <v>4</v>
      </c>
      <c r="P6" s="281">
        <f>IF(O6=0,0,Q6/O6)</f>
        <v>4234.6750000000029</v>
      </c>
      <c r="Q6" s="658">
        <v>16938.700000000012</v>
      </c>
      <c r="R6" s="736">
        <f>J6-O6</f>
        <v>-1</v>
      </c>
      <c r="S6" s="658">
        <f>L6-Q6</f>
        <v>-6351.1900000000023</v>
      </c>
      <c r="T6" s="38"/>
      <c r="U6" s="38"/>
      <c r="V6" s="1112"/>
      <c r="W6" s="232"/>
      <c r="X6" s="38"/>
      <c r="Y6" s="38"/>
      <c r="Z6" s="38"/>
      <c r="AA6" s="38"/>
      <c r="AB6" s="38"/>
      <c r="AC6" s="38"/>
      <c r="AD6" s="38"/>
      <c r="AE6" s="38"/>
      <c r="AF6" s="38"/>
      <c r="AG6" s="38"/>
      <c r="AH6" s="38"/>
      <c r="AI6" s="38"/>
      <c r="AJ6" s="38"/>
      <c r="AK6" s="38"/>
      <c r="AL6" s="38"/>
      <c r="AM6" s="38"/>
      <c r="AN6" s="38"/>
    </row>
    <row r="7" spans="1:40" ht="20.399999999999999">
      <c r="A7" s="1116" t="str">
        <f t="shared" si="1"/>
        <v>Véhicules neufsCamions détail</v>
      </c>
      <c r="B7" s="38" t="str">
        <f t="shared" si="0"/>
        <v>Véhicules neufs</v>
      </c>
      <c r="C7" s="681" t="s">
        <v>94</v>
      </c>
      <c r="D7" s="244">
        <v>0</v>
      </c>
      <c r="E7" s="244">
        <f t="shared" ref="E7:E12" si="4">IF(D7=0,0,F7/D7)</f>
        <v>0</v>
      </c>
      <c r="F7" s="244">
        <v>0</v>
      </c>
      <c r="G7" s="736">
        <v>0</v>
      </c>
      <c r="H7" s="244">
        <f t="shared" ref="H7:H12" si="5">IF(G7=0,0,I7/G7)</f>
        <v>0</v>
      </c>
      <c r="I7" s="244">
        <v>0</v>
      </c>
      <c r="J7" s="736">
        <v>96</v>
      </c>
      <c r="K7" s="281">
        <f t="shared" ref="K7:K12" si="6">IF(J7=0,0,L7/J7)</f>
        <v>2226.6701041666652</v>
      </c>
      <c r="L7" s="658">
        <v>213760.32999999987</v>
      </c>
      <c r="M7" s="736">
        <f t="shared" si="2"/>
        <v>96</v>
      </c>
      <c r="N7" s="967">
        <f t="shared" si="3"/>
        <v>213760.32999999987</v>
      </c>
      <c r="O7" s="736">
        <v>140</v>
      </c>
      <c r="P7" s="281">
        <f t="shared" ref="P7:P12" si="7">IF(O7=0,0,Q7/O7)</f>
        <v>3036.7892142857158</v>
      </c>
      <c r="Q7" s="658">
        <v>425150.49000000022</v>
      </c>
      <c r="R7" s="736">
        <f t="shared" ref="R7:R12" si="8">J7-O7</f>
        <v>-44</v>
      </c>
      <c r="S7" s="658">
        <f t="shared" ref="S7:S12" si="9">L7-Q7</f>
        <v>-211390.16000000035</v>
      </c>
      <c r="T7" s="38"/>
      <c r="U7" s="38"/>
      <c r="V7" s="1112"/>
      <c r="W7" s="232"/>
      <c r="X7" s="38"/>
      <c r="Y7" s="38"/>
      <c r="Z7" s="38"/>
      <c r="AA7" s="38"/>
      <c r="AB7" s="38"/>
      <c r="AC7" s="38"/>
      <c r="AD7" s="38"/>
      <c r="AE7" s="38"/>
      <c r="AF7" s="38"/>
      <c r="AG7" s="38"/>
      <c r="AH7" s="38"/>
      <c r="AI7" s="38"/>
      <c r="AJ7" s="38"/>
      <c r="AK7" s="38"/>
      <c r="AL7" s="38"/>
      <c r="AM7" s="38"/>
      <c r="AN7" s="38"/>
    </row>
    <row r="8" spans="1:40" ht="21" thickBot="1">
      <c r="A8" s="1116" t="str">
        <f t="shared" si="1"/>
        <v>Véhicules neufsSprinter</v>
      </c>
      <c r="B8" s="38" t="str">
        <f t="shared" si="0"/>
        <v>Véhicules neufs</v>
      </c>
      <c r="C8" s="681" t="s">
        <v>95</v>
      </c>
      <c r="D8" s="244">
        <v>0</v>
      </c>
      <c r="E8" s="244">
        <f t="shared" si="4"/>
        <v>0</v>
      </c>
      <c r="F8" s="244">
        <v>0</v>
      </c>
      <c r="G8" s="736">
        <v>0</v>
      </c>
      <c r="H8" s="244">
        <f t="shared" si="5"/>
        <v>0</v>
      </c>
      <c r="I8" s="244">
        <v>0</v>
      </c>
      <c r="J8" s="736">
        <v>0</v>
      </c>
      <c r="K8" s="281">
        <f t="shared" si="6"/>
        <v>0</v>
      </c>
      <c r="L8" s="658">
        <v>0</v>
      </c>
      <c r="M8" s="736">
        <f t="shared" si="2"/>
        <v>0</v>
      </c>
      <c r="N8" s="967">
        <f t="shared" si="3"/>
        <v>0</v>
      </c>
      <c r="O8" s="736">
        <v>0</v>
      </c>
      <c r="P8" s="281">
        <f t="shared" si="7"/>
        <v>0</v>
      </c>
      <c r="Q8" s="658">
        <v>0</v>
      </c>
      <c r="R8" s="736">
        <f t="shared" si="8"/>
        <v>0</v>
      </c>
      <c r="S8" s="658">
        <f t="shared" si="9"/>
        <v>0</v>
      </c>
      <c r="T8" s="38"/>
      <c r="U8" s="38"/>
      <c r="V8" s="1123"/>
      <c r="W8" s="248"/>
      <c r="X8" s="38"/>
      <c r="Y8" s="38"/>
      <c r="Z8" s="38"/>
      <c r="AA8" s="38"/>
      <c r="AB8" s="38"/>
      <c r="AC8" s="38"/>
      <c r="AD8" s="38"/>
      <c r="AE8" s="38"/>
      <c r="AF8" s="38"/>
      <c r="AG8" s="38"/>
      <c r="AH8" s="38"/>
      <c r="AI8" s="38"/>
      <c r="AJ8" s="38"/>
      <c r="AK8" s="38"/>
      <c r="AL8" s="38"/>
      <c r="AM8" s="38"/>
      <c r="AN8" s="38"/>
    </row>
    <row r="9" spans="1:40" ht="21" thickTop="1">
      <c r="A9" s="1116" t="str">
        <f t="shared" si="1"/>
        <v>Véhicules neufsMoto détail</v>
      </c>
      <c r="B9" s="38" t="str">
        <f t="shared" si="0"/>
        <v>Véhicules neufs</v>
      </c>
      <c r="C9" s="681" t="s">
        <v>96</v>
      </c>
      <c r="D9" s="244">
        <v>0</v>
      </c>
      <c r="E9" s="244">
        <f t="shared" si="4"/>
        <v>0</v>
      </c>
      <c r="F9" s="244">
        <v>0</v>
      </c>
      <c r="G9" s="736">
        <v>0</v>
      </c>
      <c r="H9" s="244">
        <f t="shared" si="5"/>
        <v>0</v>
      </c>
      <c r="I9" s="244">
        <v>0</v>
      </c>
      <c r="J9" s="736">
        <v>52</v>
      </c>
      <c r="K9" s="281">
        <f t="shared" si="6"/>
        <v>1347.0598076923052</v>
      </c>
      <c r="L9" s="658">
        <v>70047.10999999987</v>
      </c>
      <c r="M9" s="736">
        <f t="shared" si="2"/>
        <v>52</v>
      </c>
      <c r="N9" s="967">
        <f t="shared" si="3"/>
        <v>70047.10999999987</v>
      </c>
      <c r="O9" s="736">
        <v>77</v>
      </c>
      <c r="P9" s="281">
        <f t="shared" si="7"/>
        <v>950.00025974026221</v>
      </c>
      <c r="Q9" s="658">
        <v>73150.020000000193</v>
      </c>
      <c r="R9" s="736">
        <f t="shared" si="8"/>
        <v>-25</v>
      </c>
      <c r="S9" s="658">
        <f t="shared" si="9"/>
        <v>-3102.9100000003236</v>
      </c>
      <c r="T9" s="38"/>
      <c r="U9" s="38"/>
      <c r="V9" s="680"/>
      <c r="W9" s="38"/>
      <c r="X9" s="38"/>
      <c r="Y9" s="38"/>
      <c r="Z9" s="38"/>
      <c r="AA9" s="38"/>
      <c r="AB9" s="38"/>
      <c r="AC9" s="38"/>
      <c r="AD9" s="38"/>
      <c r="AE9" s="38"/>
      <c r="AF9" s="38"/>
      <c r="AG9" s="38"/>
      <c r="AH9" s="38"/>
      <c r="AI9" s="38"/>
      <c r="AJ9" s="38"/>
      <c r="AK9" s="38"/>
      <c r="AL9" s="38"/>
      <c r="AM9" s="38"/>
      <c r="AN9" s="38"/>
    </row>
    <row r="10" spans="1:40" ht="20.399999999999999" hidden="1" customHeight="1">
      <c r="A10" s="1116" t="str">
        <f t="shared" si="1"/>
        <v>Véhicules neufs[...]</v>
      </c>
      <c r="B10" s="38" t="str">
        <f t="shared" si="0"/>
        <v>Véhicules neufs</v>
      </c>
      <c r="C10" s="681" t="s">
        <v>55</v>
      </c>
      <c r="D10" s="244">
        <v>0</v>
      </c>
      <c r="E10" s="244">
        <f t="shared" si="4"/>
        <v>0</v>
      </c>
      <c r="F10" s="244">
        <v>0</v>
      </c>
      <c r="G10" s="736">
        <v>0</v>
      </c>
      <c r="H10" s="244">
        <f t="shared" si="5"/>
        <v>0</v>
      </c>
      <c r="I10" s="244">
        <v>0</v>
      </c>
      <c r="J10" s="736">
        <v>0</v>
      </c>
      <c r="K10" s="281">
        <f t="shared" si="6"/>
        <v>0</v>
      </c>
      <c r="L10" s="658">
        <v>0</v>
      </c>
      <c r="M10" s="736">
        <f t="shared" si="2"/>
        <v>0</v>
      </c>
      <c r="N10" s="967">
        <f t="shared" si="3"/>
        <v>0</v>
      </c>
      <c r="O10" s="736">
        <v>0</v>
      </c>
      <c r="P10" s="281">
        <f t="shared" si="7"/>
        <v>0</v>
      </c>
      <c r="Q10" s="658">
        <v>0</v>
      </c>
      <c r="R10" s="736">
        <f t="shared" si="8"/>
        <v>0</v>
      </c>
      <c r="S10" s="658">
        <f t="shared" si="9"/>
        <v>0</v>
      </c>
      <c r="T10" s="38"/>
      <c r="U10" s="38"/>
      <c r="V10" s="680"/>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1116" t="str">
        <f t="shared" si="1"/>
        <v>Véhicules neufs[...]</v>
      </c>
      <c r="B11" s="38" t="str">
        <f t="shared" si="0"/>
        <v>Véhicules neufs</v>
      </c>
      <c r="C11" s="681" t="s">
        <v>55</v>
      </c>
      <c r="D11" s="244">
        <v>0</v>
      </c>
      <c r="E11" s="244">
        <f t="shared" si="4"/>
        <v>0</v>
      </c>
      <c r="F11" s="244">
        <v>0</v>
      </c>
      <c r="G11" s="736">
        <v>0</v>
      </c>
      <c r="H11" s="244">
        <f t="shared" si="5"/>
        <v>0</v>
      </c>
      <c r="I11" s="244">
        <v>0</v>
      </c>
      <c r="J11" s="736">
        <v>0</v>
      </c>
      <c r="K11" s="281">
        <f t="shared" si="6"/>
        <v>0</v>
      </c>
      <c r="L11" s="658">
        <v>0</v>
      </c>
      <c r="M11" s="736">
        <f t="shared" si="2"/>
        <v>0</v>
      </c>
      <c r="N11" s="967">
        <f t="shared" si="3"/>
        <v>0</v>
      </c>
      <c r="O11" s="736">
        <v>0</v>
      </c>
      <c r="P11" s="281">
        <f t="shared" si="7"/>
        <v>0</v>
      </c>
      <c r="Q11" s="658">
        <v>0</v>
      </c>
      <c r="R11" s="736">
        <f t="shared" si="8"/>
        <v>0</v>
      </c>
      <c r="S11" s="658">
        <f t="shared" si="9"/>
        <v>0</v>
      </c>
      <c r="T11" s="38"/>
      <c r="U11" s="38"/>
      <c r="V11" s="680"/>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1116" t="str">
        <f t="shared" si="1"/>
        <v>Véhicules neufs[...]</v>
      </c>
      <c r="B12" s="38" t="str">
        <f t="shared" si="0"/>
        <v>Véhicules neufs</v>
      </c>
      <c r="C12" s="681" t="s">
        <v>55</v>
      </c>
      <c r="D12" s="244">
        <v>0</v>
      </c>
      <c r="E12" s="244">
        <f t="shared" si="4"/>
        <v>0</v>
      </c>
      <c r="F12" s="244">
        <v>0</v>
      </c>
      <c r="G12" s="736">
        <v>0</v>
      </c>
      <c r="H12" s="244">
        <f t="shared" si="5"/>
        <v>0</v>
      </c>
      <c r="I12" s="244">
        <v>0</v>
      </c>
      <c r="J12" s="736">
        <v>0</v>
      </c>
      <c r="K12" s="281">
        <f t="shared" si="6"/>
        <v>0</v>
      </c>
      <c r="L12" s="658">
        <v>0</v>
      </c>
      <c r="M12" s="736">
        <f t="shared" si="2"/>
        <v>0</v>
      </c>
      <c r="N12" s="967">
        <f t="shared" si="3"/>
        <v>0</v>
      </c>
      <c r="O12" s="736">
        <v>0</v>
      </c>
      <c r="P12" s="281">
        <f t="shared" si="7"/>
        <v>0</v>
      </c>
      <c r="Q12" s="658">
        <v>0</v>
      </c>
      <c r="R12" s="736">
        <f t="shared" si="8"/>
        <v>0</v>
      </c>
      <c r="S12" s="658">
        <f t="shared" si="9"/>
        <v>0</v>
      </c>
      <c r="T12" s="38"/>
      <c r="U12" s="38"/>
      <c r="V12" s="680"/>
      <c r="W12" s="38"/>
      <c r="X12" s="38"/>
      <c r="Y12" s="38"/>
      <c r="Z12" s="38"/>
      <c r="AA12" s="38"/>
      <c r="AB12" s="38"/>
      <c r="AC12" s="38"/>
      <c r="AD12" s="38"/>
      <c r="AE12" s="38"/>
      <c r="AF12" s="38"/>
      <c r="AG12" s="38"/>
      <c r="AH12" s="38"/>
      <c r="AI12" s="38"/>
      <c r="AJ12" s="38"/>
      <c r="AK12" s="38"/>
      <c r="AL12" s="38"/>
      <c r="AM12" s="38"/>
      <c r="AN12" s="38"/>
    </row>
    <row r="13" spans="1:40" ht="21">
      <c r="A13" s="1116" t="str">
        <f t="shared" si="1"/>
        <v>Véhicules neufsTotal Neufs</v>
      </c>
      <c r="B13" s="38" t="str">
        <f t="shared" si="0"/>
        <v>Véhicules neufs</v>
      </c>
      <c r="C13" s="1124" t="s">
        <v>97</v>
      </c>
      <c r="D13" s="250">
        <f>+SUM(D6:D12)</f>
        <v>0</v>
      </c>
      <c r="E13" s="250">
        <f>IF(D13&lt;=0,0,F13/D13)</f>
        <v>0</v>
      </c>
      <c r="F13" s="1125">
        <f>+SUM(F6:F12)</f>
        <v>0</v>
      </c>
      <c r="G13" s="1126">
        <f>+SUM(G6:G12)</f>
        <v>0</v>
      </c>
      <c r="H13" s="250">
        <f>IF(G13&lt;=0,0,I13/G13)</f>
        <v>0</v>
      </c>
      <c r="I13" s="1125">
        <f>+SUM(I6:I12)</f>
        <v>0</v>
      </c>
      <c r="J13" s="1126">
        <f>+SUM(J6:J12)</f>
        <v>151</v>
      </c>
      <c r="K13" s="355">
        <f>IF(J13&lt;=0,0,L13/J13)</f>
        <v>1949.6354304635743</v>
      </c>
      <c r="L13" s="1127">
        <f>+SUM(L6:L12)</f>
        <v>294394.94999999972</v>
      </c>
      <c r="M13" s="1126">
        <f>+SUM(M6:M12)</f>
        <v>151</v>
      </c>
      <c r="N13" s="1125">
        <f>+SUM(N6:N12)</f>
        <v>294394.94999999972</v>
      </c>
      <c r="O13" s="1126">
        <f>+SUM(O6:O12)</f>
        <v>221</v>
      </c>
      <c r="P13" s="355">
        <f>IF(O13&lt;=0,0,Q13/O13)</f>
        <v>2331.3991402714951</v>
      </c>
      <c r="Q13" s="1127">
        <f>+SUM(Q6:Q12)</f>
        <v>515239.21000000043</v>
      </c>
      <c r="R13" s="1126">
        <f>+SUM(R6:R12)</f>
        <v>-70</v>
      </c>
      <c r="S13" s="1127">
        <f>+SUM(S6:S12)</f>
        <v>-220844.26000000068</v>
      </c>
      <c r="T13" s="38"/>
      <c r="U13" s="38"/>
      <c r="V13" s="680"/>
      <c r="W13" s="38"/>
      <c r="X13" s="38"/>
      <c r="Y13" s="38"/>
      <c r="Z13" s="38"/>
      <c r="AA13" s="38"/>
      <c r="AB13" s="38"/>
      <c r="AC13" s="38"/>
      <c r="AD13" s="38"/>
      <c r="AE13" s="38"/>
      <c r="AF13" s="38"/>
      <c r="AG13" s="38"/>
      <c r="AH13" s="38"/>
      <c r="AI13" s="38"/>
      <c r="AJ13" s="38"/>
      <c r="AK13" s="38"/>
      <c r="AL13" s="38"/>
      <c r="AM13" s="38"/>
      <c r="AN13" s="38"/>
    </row>
    <row r="14" spans="1:40" ht="21">
      <c r="A14" s="1116" t="str">
        <f t="shared" si="1"/>
        <v>Véhicules neufs</v>
      </c>
      <c r="B14" s="38" t="str">
        <f t="shared" si="0"/>
        <v>Véhicules neufs</v>
      </c>
      <c r="C14" s="970"/>
      <c r="D14" s="11"/>
      <c r="E14" s="711"/>
      <c r="F14" s="1128"/>
      <c r="G14" s="970"/>
      <c r="H14" s="711"/>
      <c r="I14" s="1128"/>
      <c r="J14" s="970"/>
      <c r="K14" s="305"/>
      <c r="L14" s="1129"/>
      <c r="M14" s="1130">
        <f>IF(D13=0,0,M13/D13)</f>
        <v>0</v>
      </c>
      <c r="N14" s="1131">
        <f>IF(F13=0,0,N13/F13)</f>
        <v>0</v>
      </c>
      <c r="O14" s="970"/>
      <c r="P14" s="305"/>
      <c r="Q14" s="1129"/>
      <c r="R14" s="1130">
        <f>R13/O13</f>
        <v>-0.31674208144796379</v>
      </c>
      <c r="S14" s="929">
        <f>IF(Q13=0,0,(S13/Q13))</f>
        <v>-0.42862471588682177</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1116" t="str">
        <f t="shared" si="1"/>
        <v>Véhicules neufsEx-Démos et courtoisies</v>
      </c>
      <c r="B15" s="38" t="str">
        <f t="shared" si="0"/>
        <v>Véhicules neufs</v>
      </c>
      <c r="C15" s="256" t="s">
        <v>98</v>
      </c>
      <c r="D15" s="1132">
        <v>0</v>
      </c>
      <c r="E15" s="1132">
        <f>IF(D15=0,0,F15/D15)</f>
        <v>0</v>
      </c>
      <c r="F15" s="1133">
        <v>0</v>
      </c>
      <c r="G15" s="258">
        <v>0</v>
      </c>
      <c r="H15" s="1132">
        <f>IF(G15=0,0,I15/G15)</f>
        <v>0</v>
      </c>
      <c r="I15" s="1133">
        <v>0</v>
      </c>
      <c r="J15" s="257">
        <v>0</v>
      </c>
      <c r="K15" s="966">
        <f>IF(J15=0,0,L15/J15)</f>
        <v>0</v>
      </c>
      <c r="L15" s="966">
        <v>0</v>
      </c>
      <c r="M15" s="257">
        <f>J15-D15</f>
        <v>0</v>
      </c>
      <c r="N15" s="1118">
        <f>L15-F15</f>
        <v>0</v>
      </c>
      <c r="O15" s="257">
        <v>0</v>
      </c>
      <c r="P15" s="966">
        <f>IF(O15=0,0,Q15/O15)</f>
        <v>0</v>
      </c>
      <c r="Q15" s="966">
        <v>0</v>
      </c>
      <c r="R15" s="257">
        <f>J15-O15</f>
        <v>0</v>
      </c>
      <c r="S15" s="1120">
        <f>L15-Q15</f>
        <v>0</v>
      </c>
      <c r="T15" s="38"/>
      <c r="U15" s="1116"/>
      <c r="V15" s="244"/>
      <c r="W15" s="38"/>
      <c r="X15" s="38"/>
      <c r="Y15" s="38"/>
      <c r="Z15" s="38"/>
      <c r="AA15" s="38"/>
      <c r="AB15" s="38"/>
      <c r="AC15" s="38"/>
      <c r="AD15" s="38"/>
      <c r="AE15" s="38"/>
      <c r="AF15" s="38"/>
      <c r="AG15" s="38"/>
      <c r="AH15" s="38"/>
      <c r="AI15" s="38"/>
      <c r="AJ15" s="38"/>
      <c r="AK15" s="38"/>
      <c r="AL15" s="38"/>
      <c r="AM15" s="38"/>
      <c r="AN15" s="38"/>
    </row>
    <row r="16" spans="1:40" ht="20.399999999999999">
      <c r="A16" s="1116" t="str">
        <f t="shared" si="1"/>
        <v>Véhicules neufs</v>
      </c>
      <c r="B16" s="38" t="str">
        <f t="shared" si="0"/>
        <v>Véhicules neufs</v>
      </c>
      <c r="C16" s="681"/>
      <c r="D16" s="38"/>
      <c r="E16" s="244"/>
      <c r="F16" s="1134"/>
      <c r="G16" s="681"/>
      <c r="H16" s="244"/>
      <c r="I16" s="1134"/>
      <c r="J16" s="681"/>
      <c r="K16" s="281"/>
      <c r="L16" s="658"/>
      <c r="M16" s="925"/>
      <c r="N16" s="927"/>
      <c r="O16" s="681"/>
      <c r="P16" s="281"/>
      <c r="Q16" s="658"/>
      <c r="R16" s="925"/>
      <c r="S16" s="658"/>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1116" t="str">
        <f t="shared" si="1"/>
        <v>Véhicules neufsFlottes</v>
      </c>
      <c r="B17" s="38" t="str">
        <f t="shared" si="0"/>
        <v>Véhicules neufs</v>
      </c>
      <c r="C17" s="970" t="s">
        <v>99</v>
      </c>
      <c r="D17" s="711">
        <v>0</v>
      </c>
      <c r="E17" s="711">
        <f>IF(D17=0,0,F17/D17)</f>
        <v>0</v>
      </c>
      <c r="F17" s="711">
        <v>0</v>
      </c>
      <c r="G17" s="1135">
        <v>0</v>
      </c>
      <c r="H17" s="711">
        <f>IF(G17=0,0,I17/G17)</f>
        <v>0</v>
      </c>
      <c r="I17" s="711">
        <v>0</v>
      </c>
      <c r="J17" s="257">
        <v>453</v>
      </c>
      <c r="K17" s="281">
        <f>IF(J17=0,0,L17/J17)</f>
        <v>514.85139072847619</v>
      </c>
      <c r="L17" s="658">
        <v>233227.6799999997</v>
      </c>
      <c r="M17" s="257">
        <f>J17-D17</f>
        <v>453</v>
      </c>
      <c r="N17" s="967">
        <f>L17-F17</f>
        <v>233227.6799999997</v>
      </c>
      <c r="O17" s="257">
        <v>665</v>
      </c>
      <c r="P17" s="281">
        <f>IF(O17=0,0,Q17/O17)</f>
        <v>626.94368421052184</v>
      </c>
      <c r="Q17" s="658">
        <v>416917.54999999702</v>
      </c>
      <c r="R17" s="736">
        <f>J17-O17</f>
        <v>-212</v>
      </c>
      <c r="S17" s="658">
        <f>L17-Q17</f>
        <v>-183689.86999999732</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1116" t="str">
        <f t="shared" si="1"/>
        <v>Véhicules neufs</v>
      </c>
      <c r="B18" s="38" t="str">
        <f t="shared" si="0"/>
        <v>Véhicules neufs</v>
      </c>
      <c r="C18" s="1124"/>
      <c r="D18" s="261"/>
      <c r="E18" s="261"/>
      <c r="F18" s="1136"/>
      <c r="G18" s="1137"/>
      <c r="H18" s="261"/>
      <c r="I18" s="1136"/>
      <c r="J18" s="736"/>
      <c r="K18" s="336"/>
      <c r="L18" s="1138"/>
      <c r="M18" s="736"/>
      <c r="N18" s="1136"/>
      <c r="O18" s="736"/>
      <c r="P18" s="336"/>
      <c r="Q18" s="1138"/>
      <c r="R18" s="1137"/>
      <c r="S18" s="1138"/>
      <c r="T18" s="38"/>
      <c r="U18" s="38"/>
      <c r="W18" s="38"/>
      <c r="X18" s="38"/>
      <c r="Y18" s="38"/>
      <c r="Z18" s="38"/>
      <c r="AA18" s="38"/>
      <c r="AB18" s="38"/>
      <c r="AC18" s="38"/>
      <c r="AD18" s="38"/>
      <c r="AE18" s="38"/>
      <c r="AF18" s="38"/>
      <c r="AG18" s="38"/>
      <c r="AH18" s="38"/>
      <c r="AI18" s="38"/>
      <c r="AJ18" s="38"/>
      <c r="AK18" s="38"/>
      <c r="AL18" s="38"/>
      <c r="AM18" s="38"/>
      <c r="AN18" s="38"/>
    </row>
    <row r="19" spans="1:40" ht="21" hidden="1">
      <c r="A19" s="1116" t="str">
        <f t="shared" si="1"/>
        <v>Véhicules neufsRachat bail</v>
      </c>
      <c r="B19" s="38" t="str">
        <f t="shared" si="0"/>
        <v>Véhicules neufs</v>
      </c>
      <c r="C19" s="256" t="s">
        <v>100</v>
      </c>
      <c r="D19" s="244"/>
      <c r="E19" s="244"/>
      <c r="F19" s="244">
        <v>0</v>
      </c>
      <c r="G19" s="736"/>
      <c r="H19" s="244"/>
      <c r="I19" s="244">
        <v>0</v>
      </c>
      <c r="J19" s="257"/>
      <c r="K19" s="281"/>
      <c r="L19" s="658">
        <v>0</v>
      </c>
      <c r="M19" s="736"/>
      <c r="N19" s="967">
        <f>L19-F19</f>
        <v>0</v>
      </c>
      <c r="O19" s="257"/>
      <c r="P19" s="281"/>
      <c r="Q19" s="658">
        <v>0</v>
      </c>
      <c r="R19" s="736">
        <f>O19-K19</f>
        <v>0</v>
      </c>
      <c r="S19" s="658">
        <f>L19-Q19</f>
        <v>0</v>
      </c>
      <c r="T19" s="38"/>
      <c r="W19" s="244"/>
      <c r="X19" s="264"/>
      <c r="Y19" s="38"/>
      <c r="Z19" s="38"/>
      <c r="AA19" s="38"/>
      <c r="AB19" s="38"/>
      <c r="AC19" s="38"/>
      <c r="AD19" s="38"/>
      <c r="AE19" s="38"/>
      <c r="AF19" s="38"/>
      <c r="AG19" s="38"/>
      <c r="AH19" s="38"/>
      <c r="AI19" s="38"/>
      <c r="AJ19" s="38"/>
      <c r="AK19" s="38"/>
      <c r="AL19" s="38"/>
      <c r="AM19" s="38"/>
      <c r="AN19" s="38"/>
    </row>
    <row r="20" spans="1:40" ht="21">
      <c r="A20" s="1116" t="str">
        <f t="shared" si="1"/>
        <v>Véhicules neufs</v>
      </c>
      <c r="B20" s="38" t="str">
        <f t="shared" si="0"/>
        <v>Véhicules neufs</v>
      </c>
      <c r="C20" s="1124"/>
      <c r="D20" s="261"/>
      <c r="E20" s="261"/>
      <c r="F20" s="1136"/>
      <c r="G20" s="1137"/>
      <c r="H20" s="261"/>
      <c r="I20" s="1136"/>
      <c r="J20" s="736"/>
      <c r="K20" s="336"/>
      <c r="L20" s="1138"/>
      <c r="M20" s="1137"/>
      <c r="N20" s="1136"/>
      <c r="O20" s="736"/>
      <c r="P20" s="336"/>
      <c r="Q20" s="1138"/>
      <c r="R20" s="1137"/>
      <c r="S20" s="1138"/>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1116" t="str">
        <f t="shared" si="1"/>
        <v>Véhicules neufsRev. Finances</v>
      </c>
      <c r="B21" s="38" t="str">
        <f t="shared" si="0"/>
        <v>Véhicules neufs</v>
      </c>
      <c r="C21" s="681" t="s">
        <v>101</v>
      </c>
      <c r="D21" s="244">
        <v>0</v>
      </c>
      <c r="E21" s="244">
        <f>IF(D21=0,0,F21/D21)</f>
        <v>0</v>
      </c>
      <c r="F21" s="244">
        <v>0</v>
      </c>
      <c r="G21" s="736">
        <v>0</v>
      </c>
      <c r="H21" s="244">
        <f>IF(G21=0,0,I21/G21)</f>
        <v>0</v>
      </c>
      <c r="I21" s="244">
        <v>0</v>
      </c>
      <c r="J21" s="736"/>
      <c r="K21" s="281">
        <f>IF(J13=0,0,L21/(J13+J15))</f>
        <v>65.998675496688747</v>
      </c>
      <c r="L21" s="658">
        <v>9965.8000000000011</v>
      </c>
      <c r="M21" s="736"/>
      <c r="N21" s="967">
        <f>L21-F21</f>
        <v>9965.8000000000011</v>
      </c>
      <c r="O21" s="736"/>
      <c r="P21" s="281">
        <f>IF(O13=0,0,Q21/(O13+O15))</f>
        <v>6.4372850678733027</v>
      </c>
      <c r="Q21" s="658">
        <v>1422.6399999999999</v>
      </c>
      <c r="R21" s="924">
        <f>O21-K21</f>
        <v>-65.998675496688747</v>
      </c>
      <c r="S21" s="658">
        <f>L21-Q21</f>
        <v>8543.1600000000017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1116" t="str">
        <f t="shared" si="1"/>
        <v>Véhicules neufsRev. Protections</v>
      </c>
      <c r="B22" s="38" t="str">
        <f t="shared" si="0"/>
        <v>Véhicules neufs</v>
      </c>
      <c r="C22" s="681" t="s">
        <v>102</v>
      </c>
      <c r="D22" s="244">
        <v>0</v>
      </c>
      <c r="E22" s="244">
        <f>IF(D22=0,0,F22/D22)</f>
        <v>0</v>
      </c>
      <c r="F22" s="244">
        <v>0</v>
      </c>
      <c r="G22" s="736">
        <v>0</v>
      </c>
      <c r="H22" s="244">
        <f>IF(G22=0,0,I22/G22)</f>
        <v>0</v>
      </c>
      <c r="I22" s="244">
        <v>0</v>
      </c>
      <c r="J22" s="736"/>
      <c r="K22" s="281">
        <f>IF(J13=0,0,L22/(J13+J15))</f>
        <v>892.12947019867545</v>
      </c>
      <c r="L22" s="658">
        <v>134711.54999999999</v>
      </c>
      <c r="M22" s="736"/>
      <c r="N22" s="967">
        <f>L22-F22</f>
        <v>134711.54999999999</v>
      </c>
      <c r="O22" s="736"/>
      <c r="P22" s="281">
        <f>IF(O13=0,0,Q22/(O13+O15))</f>
        <v>507.35416289592763</v>
      </c>
      <c r="Q22" s="658">
        <v>112125.27</v>
      </c>
      <c r="R22" s="924">
        <f>O22-K22</f>
        <v>-892.12947019867545</v>
      </c>
      <c r="S22" s="658">
        <f>L22-Q22</f>
        <v>22586.279999999984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1116" t="str">
        <f t="shared" si="1"/>
        <v>Véhicules neufsRev. Autres</v>
      </c>
      <c r="B23" s="38" t="str">
        <f t="shared" si="0"/>
        <v>Véhicules neufs</v>
      </c>
      <c r="C23" s="681" t="s">
        <v>103</v>
      </c>
      <c r="D23" s="244">
        <v>0</v>
      </c>
      <c r="E23" s="244">
        <f>IF(D23=0,0,F23/D23)</f>
        <v>0</v>
      </c>
      <c r="F23" s="244">
        <v>0</v>
      </c>
      <c r="G23" s="736">
        <v>0</v>
      </c>
      <c r="H23" s="244">
        <f>IF(G23=0,0,I23/G23)</f>
        <v>0</v>
      </c>
      <c r="I23" s="244">
        <v>0</v>
      </c>
      <c r="J23" s="736"/>
      <c r="K23" s="281">
        <f>IF(J13=0,0,L23/(J13+J15))</f>
        <v>115.74218543046358</v>
      </c>
      <c r="L23" s="658">
        <v>17477.07</v>
      </c>
      <c r="M23" s="257"/>
      <c r="N23" s="967">
        <f>L23-F23</f>
        <v>17477.07</v>
      </c>
      <c r="O23" s="736"/>
      <c r="P23" s="281">
        <f>IF(O13=0,0,Q23/(O13+O15))</f>
        <v>31.76787330316742</v>
      </c>
      <c r="Q23" s="658">
        <v>7020.7</v>
      </c>
      <c r="R23" s="924">
        <f>O23-K23</f>
        <v>-115.74218543046358</v>
      </c>
      <c r="S23" s="658">
        <f>L23-Q23</f>
        <v>10456.369999999999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1116" t="str">
        <f t="shared" si="1"/>
        <v>Véhicules neufsTotal F&amp;I</v>
      </c>
      <c r="B24" s="38" t="str">
        <f t="shared" si="0"/>
        <v>Véhicules neufs</v>
      </c>
      <c r="C24" s="1124" t="s">
        <v>104</v>
      </c>
      <c r="D24" s="250">
        <f>+D15+D13</f>
        <v>0</v>
      </c>
      <c r="E24" s="250">
        <f>IF(D24&lt;=0,0,F24/D24)</f>
        <v>0</v>
      </c>
      <c r="F24" s="1125">
        <f>F21+F22+F23</f>
        <v>0</v>
      </c>
      <c r="G24" s="1126">
        <f>+G15+G13</f>
        <v>0</v>
      </c>
      <c r="H24" s="250">
        <f>IF(G24&lt;=0,0,I24/G24)</f>
        <v>0</v>
      </c>
      <c r="I24" s="1125">
        <f>I21+I22+I23</f>
        <v>0</v>
      </c>
      <c r="J24" s="1126">
        <f>+J15+J13</f>
        <v>151</v>
      </c>
      <c r="K24" s="355">
        <f>IF(J24&lt;=0,0,L24/J24)</f>
        <v>1073.8703311258278</v>
      </c>
      <c r="L24" s="1127">
        <f>L21+L22+L23</f>
        <v>162154.41999999998</v>
      </c>
      <c r="M24" s="1135">
        <f>J24-D24</f>
        <v>151</v>
      </c>
      <c r="N24" s="1125">
        <f>L24-F24</f>
        <v>162154.41999999998</v>
      </c>
      <c r="O24" s="1126">
        <f>+O15+O13</f>
        <v>221</v>
      </c>
      <c r="P24" s="355">
        <f>IF(O24&lt;=0,0,Q24/O24)</f>
        <v>545.55932126696837</v>
      </c>
      <c r="Q24" s="1127">
        <f>Q21+Q22+Q23</f>
        <v>120568.61</v>
      </c>
      <c r="R24" s="1139"/>
      <c r="S24" s="1127">
        <f>L24-Q24</f>
        <v>41585.809999999983</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1116" t="str">
        <f t="shared" si="1"/>
        <v>Véhicules neufs</v>
      </c>
      <c r="B25" s="38" t="str">
        <f t="shared" si="0"/>
        <v>Véhicules neufs</v>
      </c>
      <c r="C25" s="681"/>
      <c r="D25" s="38"/>
      <c r="E25" s="38"/>
      <c r="F25" s="658"/>
      <c r="G25" s="681"/>
      <c r="H25" s="38"/>
      <c r="I25" s="658"/>
      <c r="J25" s="681"/>
      <c r="K25" s="281"/>
      <c r="L25" s="658"/>
      <c r="M25" s="928"/>
      <c r="N25" s="929" t="e">
        <f>IF(N24=0,0,N24/F24)</f>
        <v>#DIV/0!</v>
      </c>
      <c r="O25" s="681"/>
      <c r="P25" s="281"/>
      <c r="Q25" s="658"/>
      <c r="R25" s="924"/>
      <c r="S25" s="929">
        <f>IF(Q24=0,0,(S24/Q24))</f>
        <v>0.34491407008839187</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1116" t="str">
        <f t="shared" si="1"/>
        <v>Véhicules neufs</v>
      </c>
      <c r="B26" s="38" t="str">
        <f t="shared" si="0"/>
        <v>Véhicules neufs</v>
      </c>
      <c r="C26" s="681"/>
      <c r="D26" s="38"/>
      <c r="E26" s="38"/>
      <c r="F26" s="1134"/>
      <c r="G26" s="681"/>
      <c r="H26" s="38"/>
      <c r="I26" s="1134"/>
      <c r="J26" s="681"/>
      <c r="K26" s="281"/>
      <c r="L26" s="658"/>
      <c r="M26" s="681"/>
      <c r="N26" s="1134"/>
      <c r="O26" s="681"/>
      <c r="P26" s="281"/>
      <c r="Q26" s="658"/>
      <c r="R26" s="924"/>
      <c r="S26" s="658"/>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1116" t="str">
        <f t="shared" si="1"/>
        <v>Véhicules neufsTotal Dépt. Neufs</v>
      </c>
      <c r="B27" s="38" t="str">
        <f t="shared" si="0"/>
        <v>Véhicules neufs</v>
      </c>
      <c r="C27" s="268" t="s">
        <v>105</v>
      </c>
      <c r="D27" s="269">
        <f>+D13+D15+D17</f>
        <v>0</v>
      </c>
      <c r="E27" s="270">
        <f>IF(D27&lt;=0,0,F27/D27)</f>
        <v>0</v>
      </c>
      <c r="F27" s="1140">
        <f>F13+F17+F24+F19+F15</f>
        <v>0</v>
      </c>
      <c r="G27" s="272">
        <f>+G13+G15+G17</f>
        <v>0</v>
      </c>
      <c r="H27" s="270">
        <f>IF(G27&lt;=0,0,I27/G27)</f>
        <v>0</v>
      </c>
      <c r="I27" s="1140">
        <f>I13+I17+I24+I19+I15</f>
        <v>0</v>
      </c>
      <c r="J27" s="272">
        <f>+J13+J15+J17</f>
        <v>604</v>
      </c>
      <c r="K27" s="269">
        <f>IF(J27&lt;=0,0,L27/J27)</f>
        <v>1142.0149834437075</v>
      </c>
      <c r="L27" s="1140">
        <f>L13+L17+L24+L19+L15</f>
        <v>689777.04999999935</v>
      </c>
      <c r="M27" s="272">
        <f>J27-D27</f>
        <v>604</v>
      </c>
      <c r="N27" s="1140">
        <f>L27-F27</f>
        <v>689777.04999999935</v>
      </c>
      <c r="O27" s="272">
        <f>+O13+O15+O17</f>
        <v>886</v>
      </c>
      <c r="P27" s="269">
        <f>IF(O27&lt;=0,0,Q27/O27)</f>
        <v>1188.1776185101553</v>
      </c>
      <c r="Q27" s="1140">
        <f>Q13+Q17+Q24+Q19+Q15</f>
        <v>1052725.3699999976</v>
      </c>
      <c r="R27" s="272">
        <f>J27-O27</f>
        <v>-282</v>
      </c>
      <c r="S27" s="1140">
        <f>L27-Q27</f>
        <v>-362948.3199999982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1116" t="str">
        <f t="shared" si="1"/>
        <v>Véhicules neufs</v>
      </c>
      <c r="B28" s="38" t="str">
        <f t="shared" si="0"/>
        <v>Véhicules neufs</v>
      </c>
      <c r="C28" s="273"/>
      <c r="D28" s="274"/>
      <c r="E28" s="274"/>
      <c r="F28" s="275"/>
      <c r="G28" s="273"/>
      <c r="H28" s="274"/>
      <c r="I28" s="275"/>
      <c r="J28" s="273"/>
      <c r="K28" s="945"/>
      <c r="L28" s="960"/>
      <c r="M28" s="276" t="e">
        <f>M27/D27</f>
        <v>#DIV/0!</v>
      </c>
      <c r="N28" s="277" t="e">
        <f>N27/F27</f>
        <v>#DIV/0!</v>
      </c>
      <c r="O28" s="273"/>
      <c r="P28" s="945"/>
      <c r="Q28" s="960"/>
      <c r="R28" s="276">
        <f>R27/O27</f>
        <v>-0.31828442437923249</v>
      </c>
      <c r="S28" s="326">
        <f>IF(Q27=0,0,S27/Q27)</f>
        <v>-0.34477018445940849</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1116" t="str">
        <f t="shared" si="1"/>
        <v>Véhicules neufs</v>
      </c>
      <c r="B29" s="38" t="str">
        <f t="shared" si="0"/>
        <v>Véhicules neufs</v>
      </c>
      <c r="C29" s="970"/>
      <c r="D29" s="11"/>
      <c r="E29" s="11"/>
      <c r="F29" s="1128"/>
      <c r="G29" s="970"/>
      <c r="H29" s="11"/>
      <c r="I29" s="1128"/>
      <c r="J29" s="970"/>
      <c r="K29" s="305"/>
      <c r="L29" s="1129"/>
      <c r="M29" s="928"/>
      <c r="N29" s="929"/>
      <c r="O29" s="970"/>
      <c r="P29" s="305"/>
      <c r="Q29" s="1129"/>
      <c r="R29" s="928"/>
      <c r="S29" s="1129"/>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1116" t="str">
        <f t="shared" si="1"/>
        <v>Véhicules neufsDEPENSES</v>
      </c>
      <c r="B30" s="38" t="str">
        <f t="shared" si="0"/>
        <v>Véhicules neufs</v>
      </c>
      <c r="C30" s="1141" t="s">
        <v>106</v>
      </c>
      <c r="D30" s="38"/>
      <c r="E30" s="36"/>
      <c r="F30" s="658"/>
      <c r="G30" s="681"/>
      <c r="H30" s="36"/>
      <c r="I30" s="658"/>
      <c r="J30" s="681"/>
      <c r="K30" s="364"/>
      <c r="L30" s="658"/>
      <c r="M30" s="681"/>
      <c r="N30" s="1134"/>
      <c r="O30" s="681"/>
      <c r="P30" s="364"/>
      <c r="Q30" s="658"/>
      <c r="R30" s="681"/>
      <c r="S30" s="658"/>
      <c r="T30" s="38"/>
      <c r="U30" s="38"/>
      <c r="V30" s="38"/>
      <c r="W30" s="38"/>
      <c r="X30" s="38"/>
      <c r="Y30" s="38"/>
      <c r="Z30" s="38"/>
      <c r="AA30" s="38"/>
      <c r="AB30" s="38"/>
      <c r="AC30" s="38"/>
      <c r="AD30" s="38"/>
      <c r="AE30" s="38"/>
      <c r="AF30" s="38"/>
      <c r="AG30" s="38"/>
      <c r="AH30" s="38"/>
      <c r="AI30" s="38"/>
      <c r="AJ30" s="38"/>
      <c r="AK30" s="38"/>
      <c r="AL30" s="38"/>
      <c r="AM30" s="38"/>
      <c r="AN30" s="38"/>
    </row>
    <row r="31" spans="1:40" ht="20.399999999999999">
      <c r="A31" s="1116" t="str">
        <f t="shared" si="1"/>
        <v>Véhicules neufsComm. vendeurs</v>
      </c>
      <c r="B31" s="38" t="str">
        <f t="shared" si="0"/>
        <v>Véhicules neufs</v>
      </c>
      <c r="C31" s="681" t="s">
        <v>107</v>
      </c>
      <c r="D31" s="280" t="e">
        <f>F31/(F13+F15)</f>
        <v>#DIV/0!</v>
      </c>
      <c r="E31" s="281" t="e">
        <f t="shared" ref="E31:E40" si="10">F31/D$24</f>
        <v>#DIV/0!</v>
      </c>
      <c r="F31" s="244">
        <v>0</v>
      </c>
      <c r="G31" s="925"/>
      <c r="H31" s="281" t="e">
        <f t="shared" ref="H31:H40" si="11">I31/G$24</f>
        <v>#DIV/0!</v>
      </c>
      <c r="I31" s="244">
        <v>0</v>
      </c>
      <c r="J31" s="925">
        <f>L31/(L13+L15)</f>
        <v>0.41049695315765472</v>
      </c>
      <c r="K31" s="281">
        <f t="shared" ref="K31:K40" si="12">IF(L31=0,0,L31/J$24)</f>
        <v>800.31940397350979</v>
      </c>
      <c r="L31" s="658">
        <v>120848.22999999998</v>
      </c>
      <c r="M31" s="681"/>
      <c r="N31" s="658">
        <f t="shared" ref="N31:N53" si="13">L31-F31</f>
        <v>120848.22999999998</v>
      </c>
      <c r="O31" s="925">
        <f>Q31/(Q13+Q15+Q17)</f>
        <v>0.20449249330123456</v>
      </c>
      <c r="P31" s="281">
        <f t="shared" ref="P31:P40" si="14">IF(Q31=0,0,Q31/O$24)</f>
        <v>862.52968325791858</v>
      </c>
      <c r="Q31" s="658">
        <v>190619.06</v>
      </c>
      <c r="R31" s="681"/>
      <c r="S31" s="658">
        <f t="shared" ref="S31:S53" si="15">L31-Q31</f>
        <v>-69770.830000000016</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1116" t="str">
        <f t="shared" si="1"/>
        <v>Véhicules neufsComm. F&amp;I</v>
      </c>
      <c r="B32" s="38" t="str">
        <f t="shared" si="0"/>
        <v>Véhicules neufs</v>
      </c>
      <c r="C32" s="238" t="s">
        <v>108</v>
      </c>
      <c r="D32" s="1142" t="e">
        <f>F32/F24</f>
        <v>#DIV/0!</v>
      </c>
      <c r="E32" s="966" t="e">
        <f t="shared" si="10"/>
        <v>#DIV/0!</v>
      </c>
      <c r="F32" s="1118">
        <v>0</v>
      </c>
      <c r="G32" s="285"/>
      <c r="H32" s="966" t="e">
        <f t="shared" si="11"/>
        <v>#DIV/0!</v>
      </c>
      <c r="I32" s="1118">
        <v>0</v>
      </c>
      <c r="J32" s="285">
        <f>L32/L24</f>
        <v>0.31387833893149508</v>
      </c>
      <c r="K32" s="966">
        <f t="shared" si="12"/>
        <v>337.06463576158944</v>
      </c>
      <c r="L32" s="658">
        <v>50896.76</v>
      </c>
      <c r="M32" s="238"/>
      <c r="N32" s="1120">
        <f t="shared" si="13"/>
        <v>50896.76</v>
      </c>
      <c r="O32" s="285">
        <f>Q32/Q24</f>
        <v>0.28387579486899611</v>
      </c>
      <c r="P32" s="966">
        <f t="shared" si="14"/>
        <v>154.87108597285066</v>
      </c>
      <c r="Q32" s="1120">
        <v>34226.509999999995</v>
      </c>
      <c r="R32" s="238"/>
      <c r="S32" s="1120">
        <f t="shared" si="15"/>
        <v>16670.250000000007</v>
      </c>
      <c r="T32" s="38"/>
      <c r="Z32" s="38"/>
      <c r="AA32" s="38"/>
      <c r="AB32" s="38"/>
      <c r="AC32" s="38"/>
      <c r="AD32" s="38"/>
      <c r="AE32" s="38"/>
      <c r="AF32" s="38"/>
      <c r="AG32" s="38"/>
      <c r="AH32" s="38"/>
      <c r="AI32" s="38"/>
      <c r="AJ32" s="38"/>
      <c r="AK32" s="38"/>
      <c r="AL32" s="38"/>
      <c r="AM32" s="38"/>
      <c r="AN32" s="38"/>
    </row>
    <row r="33" spans="1:40" ht="15.75" customHeight="1">
      <c r="A33" s="1116" t="str">
        <f t="shared" si="1"/>
        <v>Véhicules neufsFrais de livraison</v>
      </c>
      <c r="B33" s="38" t="str">
        <f t="shared" si="0"/>
        <v>Véhicules neufs</v>
      </c>
      <c r="C33" s="681" t="s">
        <v>109</v>
      </c>
      <c r="D33" s="287"/>
      <c r="E33" s="281" t="e">
        <f t="shared" si="10"/>
        <v>#DIV/0!</v>
      </c>
      <c r="F33" s="244">
        <v>0</v>
      </c>
      <c r="G33" s="1143"/>
      <c r="H33" s="281" t="e">
        <f t="shared" si="11"/>
        <v>#DIV/0!</v>
      </c>
      <c r="I33" s="244">
        <v>0</v>
      </c>
      <c r="J33" s="681"/>
      <c r="K33" s="281">
        <f t="shared" si="12"/>
        <v>426.04807947019856</v>
      </c>
      <c r="L33" s="1144">
        <v>64333.25999999998</v>
      </c>
      <c r="M33" s="681"/>
      <c r="N33" s="658">
        <f t="shared" si="13"/>
        <v>64333.25999999998</v>
      </c>
      <c r="O33" s="681"/>
      <c r="P33" s="281">
        <f t="shared" si="14"/>
        <v>-69.217647058823516</v>
      </c>
      <c r="Q33" s="658">
        <v>-15297.099999999999</v>
      </c>
      <c r="R33" s="681"/>
      <c r="S33" s="658">
        <f t="shared" si="15"/>
        <v>79630.359999999986</v>
      </c>
      <c r="T33" s="38"/>
      <c r="U33" s="1145"/>
      <c r="Z33" s="38"/>
      <c r="AA33" s="38"/>
      <c r="AB33" s="38"/>
      <c r="AC33" s="38"/>
      <c r="AD33" s="38"/>
      <c r="AE33" s="38"/>
      <c r="AF33" s="38"/>
      <c r="AG33" s="38"/>
      <c r="AH33" s="38"/>
      <c r="AI33" s="38"/>
      <c r="AJ33" s="38"/>
      <c r="AK33" s="38"/>
      <c r="AL33" s="38"/>
      <c r="AM33" s="38"/>
      <c r="AN33" s="38"/>
    </row>
    <row r="34" spans="1:40" ht="15.75" customHeight="1">
      <c r="A34" s="1116" t="str">
        <f t="shared" si="1"/>
        <v>Véhicules neufsService gratuit 1</v>
      </c>
      <c r="B34" s="38" t="str">
        <f t="shared" si="0"/>
        <v>Véhicules neufs</v>
      </c>
      <c r="C34" s="681" t="s">
        <v>110</v>
      </c>
      <c r="D34" s="287"/>
      <c r="E34" s="281" t="e">
        <f t="shared" si="10"/>
        <v>#DIV/0!</v>
      </c>
      <c r="F34" s="244">
        <v>0</v>
      </c>
      <c r="G34" s="1143"/>
      <c r="H34" s="281" t="e">
        <f t="shared" si="11"/>
        <v>#DIV/0!</v>
      </c>
      <c r="I34" s="244">
        <v>0</v>
      </c>
      <c r="J34" s="681"/>
      <c r="K34" s="281">
        <f t="shared" si="12"/>
        <v>46.864635761589405</v>
      </c>
      <c r="L34" s="658">
        <v>7076.56</v>
      </c>
      <c r="M34" s="681"/>
      <c r="N34" s="658">
        <f t="shared" si="13"/>
        <v>7076.56</v>
      </c>
      <c r="O34" s="681"/>
      <c r="P34" s="281">
        <f t="shared" si="14"/>
        <v>10.221357466063349</v>
      </c>
      <c r="Q34" s="658">
        <v>2258.92</v>
      </c>
      <c r="R34" s="681"/>
      <c r="S34" s="658">
        <f t="shared" si="15"/>
        <v>4817.6400000000003</v>
      </c>
      <c r="T34" s="38"/>
      <c r="Z34" s="38"/>
      <c r="AA34" s="38"/>
      <c r="AB34" s="38"/>
      <c r="AC34" s="38"/>
      <c r="AD34" s="38"/>
      <c r="AE34" s="38"/>
      <c r="AF34" s="38"/>
      <c r="AG34" s="38"/>
      <c r="AH34" s="38"/>
      <c r="AI34" s="38"/>
      <c r="AJ34" s="38"/>
      <c r="AK34" s="38"/>
      <c r="AL34" s="38"/>
      <c r="AM34" s="38"/>
      <c r="AN34" s="38"/>
    </row>
    <row r="35" spans="1:40" ht="15.75" customHeight="1">
      <c r="A35" s="1116" t="str">
        <f t="shared" si="1"/>
        <v>Véhicules neufsEntretien stock</v>
      </c>
      <c r="B35" s="38" t="str">
        <f t="shared" si="0"/>
        <v>Véhicules neufs</v>
      </c>
      <c r="C35" s="238" t="s">
        <v>111</v>
      </c>
      <c r="D35" s="1146"/>
      <c r="E35" s="966" t="e">
        <f t="shared" si="10"/>
        <v>#DIV/0!</v>
      </c>
      <c r="F35" s="1118">
        <v>0</v>
      </c>
      <c r="G35" s="290"/>
      <c r="H35" s="966" t="e">
        <f t="shared" si="11"/>
        <v>#DIV/0!</v>
      </c>
      <c r="I35" s="1118">
        <v>0</v>
      </c>
      <c r="J35" s="238"/>
      <c r="K35" s="966">
        <f t="shared" si="12"/>
        <v>15.262384105960264</v>
      </c>
      <c r="L35" s="658">
        <v>2304.62</v>
      </c>
      <c r="M35" s="238"/>
      <c r="N35" s="1120">
        <f t="shared" si="13"/>
        <v>2304.62</v>
      </c>
      <c r="O35" s="238"/>
      <c r="P35" s="966">
        <f t="shared" si="14"/>
        <v>0</v>
      </c>
      <c r="Q35" s="1120">
        <v>0</v>
      </c>
      <c r="R35" s="238"/>
      <c r="S35" s="1120">
        <f t="shared" si="15"/>
        <v>2304.62</v>
      </c>
      <c r="T35" s="38"/>
      <c r="Z35" s="38"/>
      <c r="AA35" s="38"/>
      <c r="AB35" s="38"/>
      <c r="AC35" s="38"/>
      <c r="AD35" s="38"/>
      <c r="AE35" s="38"/>
      <c r="AF35" s="38"/>
      <c r="AG35" s="38"/>
      <c r="AH35" s="38"/>
      <c r="AI35" s="38"/>
      <c r="AJ35" s="38"/>
      <c r="AK35" s="38"/>
      <c r="AL35" s="38"/>
      <c r="AM35" s="38"/>
      <c r="AN35" s="38"/>
    </row>
    <row r="36" spans="1:40" ht="15.75" customHeight="1">
      <c r="A36" s="1116" t="str">
        <f t="shared" si="1"/>
        <v>Véhicules neufsPublicité 1</v>
      </c>
      <c r="B36" s="38" t="str">
        <f t="shared" si="0"/>
        <v>Véhicules neufs</v>
      </c>
      <c r="C36" s="681" t="s">
        <v>112</v>
      </c>
      <c r="D36" s="287"/>
      <c r="E36" s="281" t="e">
        <f t="shared" si="10"/>
        <v>#DIV/0!</v>
      </c>
      <c r="F36" s="244">
        <v>0</v>
      </c>
      <c r="G36" s="1143"/>
      <c r="H36" s="281" t="e">
        <f t="shared" si="11"/>
        <v>#DIV/0!</v>
      </c>
      <c r="I36" s="244">
        <v>0</v>
      </c>
      <c r="J36" s="681"/>
      <c r="K36" s="281">
        <f t="shared" si="12"/>
        <v>-447.89821192052983</v>
      </c>
      <c r="L36" s="1144">
        <v>-67632.63</v>
      </c>
      <c r="M36" s="681"/>
      <c r="N36" s="658">
        <f t="shared" si="13"/>
        <v>-67632.63</v>
      </c>
      <c r="O36" s="681"/>
      <c r="P36" s="281">
        <f t="shared" si="14"/>
        <v>-427.72714932126689</v>
      </c>
      <c r="Q36" s="658">
        <v>-94527.699999999983</v>
      </c>
      <c r="R36" s="681"/>
      <c r="S36" s="658">
        <f t="shared" si="15"/>
        <v>26895.069999999978</v>
      </c>
      <c r="T36" s="38"/>
      <c r="U36" s="1116"/>
      <c r="Z36" s="38"/>
      <c r="AA36" s="38"/>
      <c r="AB36" s="38"/>
      <c r="AC36" s="38"/>
      <c r="AD36" s="38"/>
      <c r="AE36" s="38"/>
      <c r="AF36" s="38"/>
      <c r="AG36" s="38"/>
      <c r="AH36" s="38"/>
      <c r="AI36" s="38"/>
      <c r="AJ36" s="38"/>
      <c r="AK36" s="38"/>
      <c r="AL36" s="38"/>
      <c r="AM36" s="38"/>
      <c r="AN36" s="38"/>
    </row>
    <row r="37" spans="1:40" ht="15.75" customHeight="1">
      <c r="A37" s="1116" t="str">
        <f t="shared" si="1"/>
        <v>Véhicules neufsIntérêt de gros</v>
      </c>
      <c r="B37" s="38" t="str">
        <f t="shared" si="0"/>
        <v>Véhicules neufs</v>
      </c>
      <c r="C37" s="681" t="s">
        <v>113</v>
      </c>
      <c r="D37" s="287"/>
      <c r="E37" s="281" t="e">
        <f t="shared" si="10"/>
        <v>#DIV/0!</v>
      </c>
      <c r="F37" s="244">
        <v>0</v>
      </c>
      <c r="G37" s="1143"/>
      <c r="H37" s="281" t="e">
        <f t="shared" si="11"/>
        <v>#DIV/0!</v>
      </c>
      <c r="I37" s="244">
        <v>0</v>
      </c>
      <c r="J37" s="681"/>
      <c r="K37" s="281">
        <f t="shared" si="12"/>
        <v>816.63622516556291</v>
      </c>
      <c r="L37" s="658">
        <v>123312.07</v>
      </c>
      <c r="M37" s="681"/>
      <c r="N37" s="658">
        <f t="shared" si="13"/>
        <v>123312.07</v>
      </c>
      <c r="O37" s="681"/>
      <c r="P37" s="281">
        <f t="shared" si="14"/>
        <v>1746.7253846153849</v>
      </c>
      <c r="Q37" s="658">
        <v>386026.31000000006</v>
      </c>
      <c r="R37" s="681"/>
      <c r="S37" s="658">
        <f>L37-Q37</f>
        <v>-262714.24000000005</v>
      </c>
      <c r="T37" s="38"/>
      <c r="Z37" s="38"/>
      <c r="AA37" s="38"/>
      <c r="AB37" s="38"/>
      <c r="AC37" s="38"/>
      <c r="AD37" s="38"/>
      <c r="AE37" s="38"/>
      <c r="AF37" s="38"/>
      <c r="AG37" s="38"/>
      <c r="AH37" s="38"/>
      <c r="AI37" s="38"/>
      <c r="AJ37" s="38"/>
      <c r="AK37" s="38"/>
      <c r="AL37" s="38"/>
      <c r="AM37" s="38"/>
      <c r="AN37" s="38"/>
    </row>
    <row r="38" spans="1:40" ht="15.75" customHeight="1">
      <c r="A38" s="1116" t="str">
        <f t="shared" si="1"/>
        <v>Véhicules neufsCrédit Intérêts Floor Plan</v>
      </c>
      <c r="B38" s="38" t="str">
        <f t="shared" si="0"/>
        <v>Véhicules neufs</v>
      </c>
      <c r="C38" s="681" t="s">
        <v>3134</v>
      </c>
      <c r="D38" s="287"/>
      <c r="E38" s="281" t="e">
        <f t="shared" si="10"/>
        <v>#DIV/0!</v>
      </c>
      <c r="F38" s="244">
        <v>0</v>
      </c>
      <c r="G38" s="1143"/>
      <c r="H38" s="281" t="e">
        <f t="shared" si="11"/>
        <v>#DIV/0!</v>
      </c>
      <c r="I38" s="244">
        <v>0</v>
      </c>
      <c r="J38" s="681"/>
      <c r="K38" s="281">
        <f t="shared" si="12"/>
        <v>-3301.8766225165568</v>
      </c>
      <c r="L38" s="658">
        <v>-498583.37000000011</v>
      </c>
      <c r="M38" s="38"/>
      <c r="N38" s="658">
        <f t="shared" si="13"/>
        <v>-498583.37000000011</v>
      </c>
      <c r="O38" s="681"/>
      <c r="P38" s="281">
        <f t="shared" si="14"/>
        <v>-3361.0945248868775</v>
      </c>
      <c r="Q38" s="658">
        <v>-742801.8899999999</v>
      </c>
      <c r="R38" s="681"/>
      <c r="S38" s="658">
        <f>L38-Q38</f>
        <v>244218.51999999979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1116" t="str">
        <f t="shared" si="1"/>
        <v>Véhicules neufsCrédit Boni TD</v>
      </c>
      <c r="B39" s="38" t="str">
        <f t="shared" si="0"/>
        <v>Véhicules neufs</v>
      </c>
      <c r="C39" s="681" t="s">
        <v>3135</v>
      </c>
      <c r="D39" s="287"/>
      <c r="E39" s="281" t="e">
        <f t="shared" si="10"/>
        <v>#DIV/0!</v>
      </c>
      <c r="F39" s="244">
        <v>0</v>
      </c>
      <c r="G39" s="1143"/>
      <c r="H39" s="281" t="e">
        <f t="shared" si="11"/>
        <v>#DIV/0!</v>
      </c>
      <c r="I39" s="244">
        <v>0</v>
      </c>
      <c r="J39" s="681"/>
      <c r="K39" s="281">
        <f t="shared" si="12"/>
        <v>-183.64</v>
      </c>
      <c r="L39" s="658">
        <v>-27729.64</v>
      </c>
      <c r="M39" s="38"/>
      <c r="N39" s="658">
        <f t="shared" si="13"/>
        <v>-27729.64</v>
      </c>
      <c r="O39" s="681"/>
      <c r="P39" s="281">
        <f t="shared" si="14"/>
        <v>0</v>
      </c>
      <c r="Q39" s="658">
        <v>0</v>
      </c>
      <c r="R39" s="681"/>
      <c r="S39" s="658">
        <f>L39-Q39</f>
        <v>-27729.64</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1116" t="str">
        <f t="shared" si="1"/>
        <v>Véhicules neufs[...]</v>
      </c>
      <c r="B40" s="38" t="str">
        <f t="shared" si="0"/>
        <v>Véhicules neufs</v>
      </c>
      <c r="C40" s="681" t="s">
        <v>55</v>
      </c>
      <c r="D40" s="287"/>
      <c r="E40" s="281" t="e">
        <f t="shared" si="10"/>
        <v>#DIV/0!</v>
      </c>
      <c r="F40" s="244">
        <v>0</v>
      </c>
      <c r="G40" s="1143"/>
      <c r="H40" s="281" t="e">
        <f t="shared" si="11"/>
        <v>#DIV/0!</v>
      </c>
      <c r="I40" s="244">
        <v>0</v>
      </c>
      <c r="J40" s="681"/>
      <c r="K40" s="281">
        <f t="shared" si="12"/>
        <v>0</v>
      </c>
      <c r="L40" s="961">
        <v>0</v>
      </c>
      <c r="M40" s="38"/>
      <c r="N40" s="658">
        <f t="shared" si="13"/>
        <v>0</v>
      </c>
      <c r="O40" s="681"/>
      <c r="P40" s="281">
        <f t="shared" si="14"/>
        <v>0</v>
      </c>
      <c r="Q40" s="961">
        <v>0</v>
      </c>
      <c r="R40" s="681"/>
      <c r="S40" s="658">
        <f>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1116" t="str">
        <f t="shared" si="1"/>
        <v>Véhicules neufsTOTAL VARIABLES</v>
      </c>
      <c r="B41" s="38" t="str">
        <f t="shared" si="0"/>
        <v>Véhicules neufs</v>
      </c>
      <c r="C41" s="291" t="s">
        <v>114</v>
      </c>
      <c r="D41" s="1147" t="s">
        <v>115</v>
      </c>
      <c r="E41" s="1148" t="e">
        <f>F41/F$27</f>
        <v>#DIV/0!</v>
      </c>
      <c r="F41" s="1149">
        <f>SUM(F31:F40)</f>
        <v>0</v>
      </c>
      <c r="G41" s="295" t="s">
        <v>115</v>
      </c>
      <c r="H41" s="1148" t="e">
        <f>I41/I$27</f>
        <v>#DIV/0!</v>
      </c>
      <c r="I41" s="1149">
        <f>SUM(I31:I40)</f>
        <v>0</v>
      </c>
      <c r="J41" s="295" t="s">
        <v>115</v>
      </c>
      <c r="K41" s="1148">
        <f>L41/L$27</f>
        <v>-0.32644481285656046</v>
      </c>
      <c r="L41" s="1149">
        <f>SUM(L31:L40)</f>
        <v>-225174.14000000013</v>
      </c>
      <c r="M41" s="296"/>
      <c r="N41" s="1149">
        <f t="shared" si="13"/>
        <v>-225174.14000000013</v>
      </c>
      <c r="O41" s="295" t="s">
        <v>115</v>
      </c>
      <c r="P41" s="1148">
        <f>Q41/Q$27</f>
        <v>-0.22750082483525627</v>
      </c>
      <c r="Q41" s="1149">
        <f>SUM(Q31:Q40)</f>
        <v>-239495.88999999978</v>
      </c>
      <c r="R41" s="297"/>
      <c r="S41" s="1149">
        <f t="shared" si="15"/>
        <v>14321.749999999651</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1116" t="str">
        <f t="shared" si="1"/>
        <v>Véhicules neufsSalaires cadres</v>
      </c>
      <c r="B42" s="38" t="str">
        <f t="shared" si="0"/>
        <v>Véhicules neufs</v>
      </c>
      <c r="C42" s="992" t="s">
        <v>116</v>
      </c>
      <c r="D42" s="38"/>
      <c r="E42" s="38"/>
      <c r="F42" s="244">
        <v>0</v>
      </c>
      <c r="G42" s="681"/>
      <c r="H42" s="38"/>
      <c r="I42" s="244">
        <v>0</v>
      </c>
      <c r="J42" s="681"/>
      <c r="K42" s="38"/>
      <c r="L42" s="281">
        <v>32715.519999999997</v>
      </c>
      <c r="M42" s="681"/>
      <c r="N42" s="658">
        <f t="shared" si="13"/>
        <v>32715.519999999997</v>
      </c>
      <c r="O42" s="681"/>
      <c r="P42" s="38"/>
      <c r="Q42" s="281">
        <v>49681.57</v>
      </c>
      <c r="R42" s="681"/>
      <c r="S42" s="658">
        <f t="shared" si="15"/>
        <v>-16966.050000000003</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1116" t="str">
        <f t="shared" si="1"/>
        <v>Véhicules neufsSalaires commis</v>
      </c>
      <c r="B43" s="38" t="str">
        <f t="shared" si="0"/>
        <v>Véhicules neufs</v>
      </c>
      <c r="C43" s="299" t="s">
        <v>117</v>
      </c>
      <c r="D43" s="287"/>
      <c r="E43" s="38"/>
      <c r="F43" s="1118">
        <v>0</v>
      </c>
      <c r="G43" s="1143"/>
      <c r="H43" s="38"/>
      <c r="I43" s="1118">
        <v>0</v>
      </c>
      <c r="J43" s="681"/>
      <c r="K43" s="38"/>
      <c r="L43" s="1120">
        <v>58410.86</v>
      </c>
      <c r="M43" s="681"/>
      <c r="N43" s="658">
        <f t="shared" si="13"/>
        <v>58410.86</v>
      </c>
      <c r="O43" s="681"/>
      <c r="P43" s="38"/>
      <c r="Q43" s="1120">
        <v>81357.58</v>
      </c>
      <c r="R43" s="681"/>
      <c r="S43" s="658">
        <f t="shared" si="15"/>
        <v>-22946.720000000001</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1116" t="str">
        <f t="shared" si="1"/>
        <v>Véhicules neufsSalaires autres</v>
      </c>
      <c r="B44" s="38" t="str">
        <f t="shared" si="0"/>
        <v>Véhicules neufs</v>
      </c>
      <c r="C44" s="992" t="s">
        <v>118</v>
      </c>
      <c r="D44" s="300"/>
      <c r="E44" s="301"/>
      <c r="F44" s="244">
        <v>0</v>
      </c>
      <c r="G44" s="1150"/>
      <c r="H44" s="301"/>
      <c r="I44" s="244">
        <v>0</v>
      </c>
      <c r="J44" s="1113"/>
      <c r="K44" s="301"/>
      <c r="L44" s="281">
        <v>17345.650000000001</v>
      </c>
      <c r="M44" s="1113"/>
      <c r="N44" s="1138">
        <f t="shared" si="13"/>
        <v>17345.650000000001</v>
      </c>
      <c r="O44" s="1113"/>
      <c r="P44" s="301"/>
      <c r="Q44" s="281">
        <v>4473.3299999999981</v>
      </c>
      <c r="R44" s="1113"/>
      <c r="S44" s="1138">
        <f t="shared" si="15"/>
        <v>12872.320000000003</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1116" t="str">
        <f t="shared" si="1"/>
        <v>Véhicules neufsSalaires spécialistes</v>
      </c>
      <c r="B45" s="38" t="str">
        <f t="shared" si="0"/>
        <v>Véhicules neufs</v>
      </c>
      <c r="C45" s="992" t="s">
        <v>119</v>
      </c>
      <c r="D45" s="287"/>
      <c r="E45" s="38"/>
      <c r="F45" s="244">
        <v>0</v>
      </c>
      <c r="G45" s="1143"/>
      <c r="H45" s="38"/>
      <c r="I45" s="244">
        <v>0</v>
      </c>
      <c r="J45" s="681"/>
      <c r="K45" s="38"/>
      <c r="L45" s="281">
        <v>0</v>
      </c>
      <c r="M45" s="681"/>
      <c r="N45" s="658">
        <f t="shared" si="13"/>
        <v>0</v>
      </c>
      <c r="O45" s="681"/>
      <c r="P45" s="38"/>
      <c r="Q45" s="281">
        <v>0</v>
      </c>
      <c r="R45" s="681"/>
      <c r="S45" s="658">
        <f t="shared" si="15"/>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1116" t="str">
        <f t="shared" si="1"/>
        <v>Véhicules neufs[...]</v>
      </c>
      <c r="B46" s="38" t="str">
        <f t="shared" si="0"/>
        <v>Véhicules neufs</v>
      </c>
      <c r="C46" s="992" t="s">
        <v>55</v>
      </c>
      <c r="D46" s="287"/>
      <c r="E46" s="38"/>
      <c r="F46" s="244">
        <v>0</v>
      </c>
      <c r="G46" s="1143"/>
      <c r="H46" s="38"/>
      <c r="I46" s="244">
        <v>0</v>
      </c>
      <c r="J46" s="681"/>
      <c r="K46" s="38"/>
      <c r="L46" s="281">
        <v>0</v>
      </c>
      <c r="M46" s="681"/>
      <c r="N46" s="658">
        <f t="shared" si="13"/>
        <v>0</v>
      </c>
      <c r="O46" s="681"/>
      <c r="P46" s="38"/>
      <c r="Q46" s="281">
        <v>0</v>
      </c>
      <c r="R46" s="681"/>
      <c r="S46" s="658">
        <f>L46-Q46</f>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1116" t="str">
        <f t="shared" si="1"/>
        <v>Véhicules neufs[...]</v>
      </c>
      <c r="B47" s="38" t="str">
        <f t="shared" si="0"/>
        <v>Véhicules neufs</v>
      </c>
      <c r="C47" s="992" t="s">
        <v>55</v>
      </c>
      <c r="D47" s="287"/>
      <c r="E47" s="38"/>
      <c r="F47" s="244">
        <v>0</v>
      </c>
      <c r="G47" s="1143"/>
      <c r="H47" s="38"/>
      <c r="I47" s="244">
        <v>0</v>
      </c>
      <c r="J47" s="681"/>
      <c r="K47" s="38"/>
      <c r="L47" s="281">
        <v>0</v>
      </c>
      <c r="M47" s="681"/>
      <c r="N47" s="658">
        <f t="shared" si="13"/>
        <v>0</v>
      </c>
      <c r="O47" s="681"/>
      <c r="P47" s="38"/>
      <c r="Q47" s="281">
        <v>0</v>
      </c>
      <c r="R47" s="681"/>
      <c r="S47" s="658">
        <f>L47-Q47</f>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1116" t="str">
        <f t="shared" si="1"/>
        <v>Véhicules neufs[...]</v>
      </c>
      <c r="B48" s="38" t="str">
        <f t="shared" si="0"/>
        <v>Véhicules neufs</v>
      </c>
      <c r="C48" s="992" t="s">
        <v>55</v>
      </c>
      <c r="D48" s="287"/>
      <c r="E48" s="38"/>
      <c r="F48" s="244">
        <v>0</v>
      </c>
      <c r="G48" s="1143"/>
      <c r="H48" s="38"/>
      <c r="I48" s="244">
        <v>0</v>
      </c>
      <c r="J48" s="681"/>
      <c r="K48" s="38"/>
      <c r="L48" s="281">
        <v>0</v>
      </c>
      <c r="M48" s="681"/>
      <c r="N48" s="658">
        <f t="shared" si="13"/>
        <v>0</v>
      </c>
      <c r="O48" s="681"/>
      <c r="P48" s="38"/>
      <c r="Q48" s="281">
        <v>0</v>
      </c>
      <c r="R48" s="681"/>
      <c r="S48" s="658">
        <f>L48-Q48</f>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1116" t="str">
        <f t="shared" si="1"/>
        <v>Véhicules neufsSalaires en absences</v>
      </c>
      <c r="B49" s="38" t="str">
        <f t="shared" si="0"/>
        <v>Véhicules neufs</v>
      </c>
      <c r="C49" s="299" t="s">
        <v>120</v>
      </c>
      <c r="D49" s="287"/>
      <c r="E49" s="38"/>
      <c r="F49" s="1118">
        <v>0</v>
      </c>
      <c r="G49" s="1143"/>
      <c r="H49" s="38"/>
      <c r="I49" s="1118">
        <v>0</v>
      </c>
      <c r="J49" s="681"/>
      <c r="K49" s="38"/>
      <c r="L49" s="1120">
        <v>25034.799999999999</v>
      </c>
      <c r="M49" s="681"/>
      <c r="N49" s="658">
        <f t="shared" si="13"/>
        <v>25034.799999999999</v>
      </c>
      <c r="O49" s="681"/>
      <c r="P49" s="38"/>
      <c r="Q49" s="1120">
        <v>41718.759999999995</v>
      </c>
      <c r="R49" s="681"/>
      <c r="S49" s="658">
        <f t="shared" si="15"/>
        <v>-16683.959999999995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1116" t="str">
        <f t="shared" si="1"/>
        <v>Véhicules neufsDéduction à la source</v>
      </c>
      <c r="B50" s="38" t="str">
        <f t="shared" si="0"/>
        <v>Véhicules neufs</v>
      </c>
      <c r="C50" s="992" t="s">
        <v>121</v>
      </c>
      <c r="D50" s="300"/>
      <c r="E50" s="301"/>
      <c r="F50" s="244">
        <v>0</v>
      </c>
      <c r="G50" s="1150"/>
      <c r="H50" s="301"/>
      <c r="I50" s="244">
        <v>0</v>
      </c>
      <c r="J50" s="1113"/>
      <c r="K50" s="301"/>
      <c r="L50" s="281">
        <v>46478.34</v>
      </c>
      <c r="M50" s="1113"/>
      <c r="N50" s="1138">
        <f t="shared" si="13"/>
        <v>46478.34</v>
      </c>
      <c r="O50" s="1113"/>
      <c r="P50" s="301"/>
      <c r="Q50" s="281">
        <v>64873.120000000003</v>
      </c>
      <c r="R50" s="1113"/>
      <c r="S50" s="1138">
        <f t="shared" si="15"/>
        <v>-18394.780000000006</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1116" t="str">
        <f t="shared" si="1"/>
        <v>Véhicules neufsBénéfices marginaux</v>
      </c>
      <c r="B51" s="38" t="str">
        <f t="shared" si="0"/>
        <v>Véhicules neufs</v>
      </c>
      <c r="C51" s="992" t="s">
        <v>122</v>
      </c>
      <c r="D51" s="287"/>
      <c r="E51" s="38"/>
      <c r="F51" s="244">
        <v>0</v>
      </c>
      <c r="G51" s="1143"/>
      <c r="H51" s="38"/>
      <c r="I51" s="244">
        <v>0</v>
      </c>
      <c r="J51" s="681"/>
      <c r="K51" s="38"/>
      <c r="L51" s="281">
        <v>8125.0499999999993</v>
      </c>
      <c r="M51" s="681"/>
      <c r="N51" s="658">
        <f t="shared" si="13"/>
        <v>8125.0499999999993</v>
      </c>
      <c r="O51" s="681"/>
      <c r="P51" s="38"/>
      <c r="Q51" s="281">
        <v>17993.96</v>
      </c>
      <c r="R51" s="681"/>
      <c r="S51" s="658">
        <f t="shared" si="15"/>
        <v>-9868.91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1116" t="str">
        <f t="shared" si="1"/>
        <v>Véhicules neufsCsst</v>
      </c>
      <c r="B52" s="38" t="str">
        <f t="shared" si="0"/>
        <v>Véhicules neufs</v>
      </c>
      <c r="C52" s="992" t="s">
        <v>123</v>
      </c>
      <c r="D52" s="287"/>
      <c r="E52" s="38"/>
      <c r="F52" s="244">
        <v>0</v>
      </c>
      <c r="G52" s="1143"/>
      <c r="H52" s="38"/>
      <c r="I52" s="244">
        <v>0</v>
      </c>
      <c r="J52" s="681"/>
      <c r="K52" s="38"/>
      <c r="L52" s="281">
        <v>9253.0500000000011</v>
      </c>
      <c r="M52" s="681"/>
      <c r="N52" s="658">
        <f t="shared" si="13"/>
        <v>9253.0500000000011</v>
      </c>
      <c r="O52" s="681"/>
      <c r="P52" s="38"/>
      <c r="Q52" s="281">
        <v>18.420000000000073</v>
      </c>
      <c r="R52" s="681"/>
      <c r="S52" s="658">
        <f t="shared" si="15"/>
        <v>9234.630000000001</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1116" t="str">
        <f t="shared" si="1"/>
        <v>Véhicules neufs[...]</v>
      </c>
      <c r="B53" s="38" t="str">
        <f t="shared" si="0"/>
        <v>Véhicules neufs</v>
      </c>
      <c r="C53" s="681" t="s">
        <v>55</v>
      </c>
      <c r="D53" s="1146"/>
      <c r="E53" s="1151"/>
      <c r="F53" s="244">
        <v>0</v>
      </c>
      <c r="G53" s="290"/>
      <c r="H53" s="1151"/>
      <c r="I53" s="244">
        <v>0</v>
      </c>
      <c r="J53" s="238"/>
      <c r="K53" s="1151"/>
      <c r="L53" s="658">
        <v>0</v>
      </c>
      <c r="M53" s="238"/>
      <c r="N53" s="1120">
        <f t="shared" si="13"/>
        <v>0</v>
      </c>
      <c r="O53" s="238"/>
      <c r="P53" s="1151"/>
      <c r="Q53" s="658">
        <v>0</v>
      </c>
      <c r="R53" s="238"/>
      <c r="S53" s="1120">
        <f t="shared" si="15"/>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1116" t="str">
        <f t="shared" si="1"/>
        <v>Véhicules neufsTOTAL PERSONNEL</v>
      </c>
      <c r="B54" s="38" t="str">
        <f t="shared" si="0"/>
        <v>Véhicules neufs</v>
      </c>
      <c r="C54" s="291" t="s">
        <v>124</v>
      </c>
      <c r="D54" s="1147" t="s">
        <v>115</v>
      </c>
      <c r="E54" s="1148" t="e">
        <f>F54/F$27</f>
        <v>#DIV/0!</v>
      </c>
      <c r="F54" s="1149">
        <f>+SUM(F42:F53)</f>
        <v>0</v>
      </c>
      <c r="G54" s="295" t="s">
        <v>115</v>
      </c>
      <c r="H54" s="1148" t="e">
        <f>I54/I$27</f>
        <v>#DIV/0!</v>
      </c>
      <c r="I54" s="1149">
        <f>+SUM(I42:I53)</f>
        <v>0</v>
      </c>
      <c r="J54" s="295" t="s">
        <v>115</v>
      </c>
      <c r="K54" s="1148">
        <f>L54/L$27</f>
        <v>0.28612617656676187</v>
      </c>
      <c r="L54" s="1149">
        <f>+SUM(L42:L53)</f>
        <v>197363.26999999996</v>
      </c>
      <c r="M54" s="296"/>
      <c r="N54" s="1149">
        <f>+SUM(N42:N53)</f>
        <v>197363.26999999996</v>
      </c>
      <c r="O54" s="295" t="s">
        <v>115</v>
      </c>
      <c r="P54" s="1148">
        <f>Q54/Q$27</f>
        <v>0.24708888700953469</v>
      </c>
      <c r="Q54" s="1149">
        <f>+SUM(Q42:Q53)</f>
        <v>260116.74</v>
      </c>
      <c r="R54" s="297"/>
      <c r="S54" s="1149">
        <f>+SUM(S42:S53)</f>
        <v>-62753.47</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1116" t="str">
        <f t="shared" si="1"/>
        <v>Véhicules neufsPublicité 2</v>
      </c>
      <c r="B55" s="38" t="str">
        <f t="shared" si="0"/>
        <v>Véhicules neufs</v>
      </c>
      <c r="C55" s="681" t="s">
        <v>125</v>
      </c>
      <c r="D55" s="287"/>
      <c r="E55" s="38"/>
      <c r="F55" s="244">
        <v>0</v>
      </c>
      <c r="G55" s="1143"/>
      <c r="H55" s="38"/>
      <c r="I55" s="244">
        <v>0</v>
      </c>
      <c r="J55" s="681"/>
      <c r="K55" s="38"/>
      <c r="L55" s="658">
        <v>0</v>
      </c>
      <c r="M55" s="681"/>
      <c r="N55" s="658">
        <f t="shared" ref="N55:N71" si="16">L55-F55</f>
        <v>0</v>
      </c>
      <c r="O55" s="681"/>
      <c r="P55" s="38"/>
      <c r="Q55" s="658">
        <v>0</v>
      </c>
      <c r="R55" s="681"/>
      <c r="S55" s="658">
        <f t="shared" ref="S55:S71" si="17">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1116" t="str">
        <f t="shared" si="1"/>
        <v>Véhicules neufsService gratuit 2</v>
      </c>
      <c r="B56" s="38" t="str">
        <f t="shared" si="0"/>
        <v>Véhicules neufs</v>
      </c>
      <c r="C56" s="681" t="s">
        <v>126</v>
      </c>
      <c r="D56" s="287"/>
      <c r="E56" s="38"/>
      <c r="F56" s="244">
        <v>0</v>
      </c>
      <c r="G56" s="1143"/>
      <c r="H56" s="38"/>
      <c r="I56" s="244">
        <v>0</v>
      </c>
      <c r="J56" s="681"/>
      <c r="K56" s="38"/>
      <c r="L56" s="658">
        <v>0</v>
      </c>
      <c r="M56" s="681"/>
      <c r="N56" s="658">
        <f t="shared" si="16"/>
        <v>0</v>
      </c>
      <c r="O56" s="681"/>
      <c r="P56" s="38"/>
      <c r="Q56" s="658">
        <v>0</v>
      </c>
      <c r="R56" s="681"/>
      <c r="S56" s="658">
        <f t="shared" si="17"/>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1116" t="str">
        <f t="shared" si="1"/>
        <v>Véhicules neufsFrais véhicules de cie</v>
      </c>
      <c r="B57" s="38" t="str">
        <f t="shared" si="0"/>
        <v>Véhicules neufs</v>
      </c>
      <c r="C57" s="238" t="s">
        <v>127</v>
      </c>
      <c r="D57" s="1146"/>
      <c r="E57" s="1151"/>
      <c r="F57" s="1118">
        <v>0</v>
      </c>
      <c r="G57" s="290"/>
      <c r="H57" s="1151"/>
      <c r="I57" s="1118">
        <v>0</v>
      </c>
      <c r="J57" s="238"/>
      <c r="K57" s="1151"/>
      <c r="L57" s="1120">
        <v>31666.980000000003</v>
      </c>
      <c r="M57" s="238"/>
      <c r="N57" s="1120">
        <f t="shared" si="16"/>
        <v>31666.980000000003</v>
      </c>
      <c r="O57" s="238"/>
      <c r="P57" s="1151"/>
      <c r="Q57" s="1120">
        <v>48032.110000000008</v>
      </c>
      <c r="R57" s="238"/>
      <c r="S57" s="1120">
        <f t="shared" si="17"/>
        <v>-16365.130000000005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1116" t="str">
        <f t="shared" si="1"/>
        <v>Véhicules neufsInformatique</v>
      </c>
      <c r="B58" s="38" t="str">
        <f t="shared" si="0"/>
        <v>Véhicules neufs</v>
      </c>
      <c r="C58" s="681" t="s">
        <v>128</v>
      </c>
      <c r="D58" s="287"/>
      <c r="E58" s="38"/>
      <c r="F58" s="244">
        <v>0</v>
      </c>
      <c r="G58" s="1143"/>
      <c r="H58" s="38"/>
      <c r="I58" s="244">
        <v>0</v>
      </c>
      <c r="J58" s="681"/>
      <c r="K58" s="38"/>
      <c r="L58" s="658">
        <v>9504.5499999999993</v>
      </c>
      <c r="M58" s="681"/>
      <c r="N58" s="658">
        <f t="shared" si="16"/>
        <v>9504.5499999999993</v>
      </c>
      <c r="O58" s="681"/>
      <c r="P58" s="38"/>
      <c r="Q58" s="658">
        <v>13725.680000000002</v>
      </c>
      <c r="R58" s="681"/>
      <c r="S58" s="658">
        <f t="shared" si="17"/>
        <v>-4221.1300000000028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1116" t="str">
        <f t="shared" si="1"/>
        <v>Véhicules neufsFrais de déplacement</v>
      </c>
      <c r="B59" s="38" t="str">
        <f t="shared" si="0"/>
        <v>Véhicules neufs</v>
      </c>
      <c r="C59" s="681" t="s">
        <v>129</v>
      </c>
      <c r="D59" s="287"/>
      <c r="E59" s="38"/>
      <c r="F59" s="244">
        <v>0</v>
      </c>
      <c r="G59" s="1143"/>
      <c r="H59" s="38"/>
      <c r="I59" s="244">
        <v>0</v>
      </c>
      <c r="J59" s="681"/>
      <c r="K59" s="38"/>
      <c r="L59" s="658">
        <v>12979.92</v>
      </c>
      <c r="M59" s="681"/>
      <c r="N59" s="658">
        <f t="shared" si="16"/>
        <v>12979.92</v>
      </c>
      <c r="O59" s="681"/>
      <c r="P59" s="38"/>
      <c r="Q59" s="658">
        <v>21199.94</v>
      </c>
      <c r="R59" s="681"/>
      <c r="S59" s="658">
        <f t="shared" si="17"/>
        <v>-8220.0199999999986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1116" t="str">
        <f t="shared" si="1"/>
        <v>Véhicules neufsServices extérieurs</v>
      </c>
      <c r="B60" s="38" t="str">
        <f t="shared" si="0"/>
        <v>Véhicules neufs</v>
      </c>
      <c r="C60" s="238" t="s">
        <v>130</v>
      </c>
      <c r="D60" s="1146"/>
      <c r="E60" s="1151"/>
      <c r="F60" s="1118">
        <v>0</v>
      </c>
      <c r="G60" s="290"/>
      <c r="H60" s="1151"/>
      <c r="I60" s="1118">
        <v>0</v>
      </c>
      <c r="J60" s="238"/>
      <c r="K60" s="1151"/>
      <c r="L60" s="1120">
        <v>20718.25</v>
      </c>
      <c r="M60" s="238"/>
      <c r="N60" s="1120">
        <f t="shared" si="16"/>
        <v>20718.25</v>
      </c>
      <c r="O60" s="238"/>
      <c r="P60" s="1151"/>
      <c r="Q60" s="1120">
        <v>22058.52</v>
      </c>
      <c r="R60" s="238"/>
      <c r="S60" s="1120">
        <f t="shared" si="17"/>
        <v>-1340.2700000000004</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1116" t="str">
        <f t="shared" si="1"/>
        <v>Véhicules neufsFournitures autres</v>
      </c>
      <c r="B61" s="38" t="str">
        <f t="shared" si="0"/>
        <v>Véhicules neufs</v>
      </c>
      <c r="C61" s="681" t="s">
        <v>131</v>
      </c>
      <c r="D61" s="287"/>
      <c r="E61" s="38"/>
      <c r="F61" s="244">
        <v>0</v>
      </c>
      <c r="G61" s="1143"/>
      <c r="H61" s="38"/>
      <c r="I61" s="244">
        <v>0</v>
      </c>
      <c r="J61" s="681"/>
      <c r="K61" s="38"/>
      <c r="L61" s="658">
        <v>1447.7399999999998</v>
      </c>
      <c r="M61" s="681"/>
      <c r="N61" s="658">
        <f t="shared" si="16"/>
        <v>1447.7399999999998</v>
      </c>
      <c r="O61" s="681"/>
      <c r="P61" s="38"/>
      <c r="Q61" s="658">
        <v>2730.39</v>
      </c>
      <c r="R61" s="681"/>
      <c r="S61" s="658">
        <f t="shared" si="17"/>
        <v>-1282.6500000000001</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1116" t="str">
        <f t="shared" si="1"/>
        <v>Véhicules neufsUniformes</v>
      </c>
      <c r="B62" s="38" t="str">
        <f t="shared" si="0"/>
        <v>Véhicules neufs</v>
      </c>
      <c r="C62" s="681" t="s">
        <v>132</v>
      </c>
      <c r="D62" s="287"/>
      <c r="E62" s="38"/>
      <c r="F62" s="244">
        <v>0</v>
      </c>
      <c r="G62" s="1143"/>
      <c r="H62" s="38"/>
      <c r="I62" s="244">
        <v>0</v>
      </c>
      <c r="J62" s="681"/>
      <c r="K62" s="38"/>
      <c r="L62" s="658">
        <v>0</v>
      </c>
      <c r="M62" s="681"/>
      <c r="N62" s="658">
        <f t="shared" si="16"/>
        <v>0</v>
      </c>
      <c r="O62" s="681"/>
      <c r="P62" s="38"/>
      <c r="Q62" s="658">
        <v>0</v>
      </c>
      <c r="R62" s="681"/>
      <c r="S62" s="658">
        <f t="shared" si="17"/>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1116" t="str">
        <f t="shared" si="1"/>
        <v>Véhicules neufsPapeterie</v>
      </c>
      <c r="B63" s="38" t="str">
        <f t="shared" si="0"/>
        <v>Véhicules neufs</v>
      </c>
      <c r="C63" s="681" t="s">
        <v>133</v>
      </c>
      <c r="D63" s="287"/>
      <c r="E63" s="38"/>
      <c r="F63" s="244">
        <v>0</v>
      </c>
      <c r="G63" s="1143"/>
      <c r="H63" s="38"/>
      <c r="I63" s="244">
        <v>0</v>
      </c>
      <c r="J63" s="681"/>
      <c r="K63" s="38"/>
      <c r="L63" s="658">
        <v>6154.18</v>
      </c>
      <c r="M63" s="681"/>
      <c r="N63" s="658">
        <f t="shared" si="16"/>
        <v>6154.18</v>
      </c>
      <c r="O63" s="681"/>
      <c r="P63" s="38"/>
      <c r="Q63" s="658">
        <v>7824.02</v>
      </c>
      <c r="R63" s="681"/>
      <c r="S63" s="658">
        <f t="shared" si="17"/>
        <v>-1669.8400000000001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1116" t="str">
        <f t="shared" si="1"/>
        <v>Véhicules neufsTéléphone</v>
      </c>
      <c r="B64" s="38" t="str">
        <f t="shared" si="0"/>
        <v>Véhicules neufs</v>
      </c>
      <c r="C64" s="681" t="s">
        <v>134</v>
      </c>
      <c r="D64" s="287"/>
      <c r="E64" s="38"/>
      <c r="F64" s="244">
        <v>0</v>
      </c>
      <c r="G64" s="1143"/>
      <c r="H64" s="38"/>
      <c r="I64" s="244">
        <v>0</v>
      </c>
      <c r="J64" s="681"/>
      <c r="K64" s="38"/>
      <c r="L64" s="658">
        <v>2283.7399999999998</v>
      </c>
      <c r="M64" s="681"/>
      <c r="N64" s="658">
        <f t="shared" si="16"/>
        <v>2283.7399999999998</v>
      </c>
      <c r="O64" s="681"/>
      <c r="P64" s="38"/>
      <c r="Q64" s="658">
        <v>3700.4599999999996</v>
      </c>
      <c r="R64" s="681"/>
      <c r="S64" s="658">
        <f t="shared" si="17"/>
        <v>-1416.7199999999998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1116" t="str">
        <f t="shared" si="1"/>
        <v>Véhicules neufsFrais postaux</v>
      </c>
      <c r="B65" s="38" t="str">
        <f t="shared" si="0"/>
        <v>Véhicules neufs</v>
      </c>
      <c r="C65" s="681" t="s">
        <v>135</v>
      </c>
      <c r="D65" s="287"/>
      <c r="E65" s="38"/>
      <c r="F65" s="244">
        <v>0</v>
      </c>
      <c r="G65" s="1143"/>
      <c r="H65" s="38"/>
      <c r="I65" s="244">
        <v>0</v>
      </c>
      <c r="J65" s="681"/>
      <c r="K65" s="38"/>
      <c r="L65" s="658">
        <v>6230.0199999999995</v>
      </c>
      <c r="M65" s="681"/>
      <c r="N65" s="658">
        <f t="shared" si="16"/>
        <v>6230.0199999999995</v>
      </c>
      <c r="O65" s="681"/>
      <c r="P65" s="38"/>
      <c r="Q65" s="658">
        <v>3892.86</v>
      </c>
      <c r="R65" s="681"/>
      <c r="S65" s="658">
        <f t="shared" si="17"/>
        <v>2337.1599999999994</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1116" t="str">
        <f t="shared" si="1"/>
        <v>Véhicules neufsDivers</v>
      </c>
      <c r="B66" s="38" t="str">
        <f t="shared" si="0"/>
        <v>Véhicules neufs</v>
      </c>
      <c r="C66" s="681" t="s">
        <v>136</v>
      </c>
      <c r="D66" s="287"/>
      <c r="E66" s="38"/>
      <c r="F66" s="244">
        <v>0</v>
      </c>
      <c r="G66" s="1143"/>
      <c r="H66" s="38"/>
      <c r="I66" s="244">
        <v>0</v>
      </c>
      <c r="J66" s="681"/>
      <c r="K66" s="38"/>
      <c r="L66" s="658">
        <v>8205.8700000000008</v>
      </c>
      <c r="M66" s="681"/>
      <c r="N66" s="658">
        <f t="shared" si="16"/>
        <v>8205.8700000000008</v>
      </c>
      <c r="O66" s="681"/>
      <c r="P66" s="38"/>
      <c r="Q66" s="658">
        <v>11825.919999999998</v>
      </c>
      <c r="R66" s="681"/>
      <c r="S66" s="658">
        <f t="shared" si="17"/>
        <v>-3620.0499999999975</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1116" t="str">
        <f t="shared" si="1"/>
        <v>Véhicules neufsFormation</v>
      </c>
      <c r="B67" s="38" t="str">
        <f t="shared" si="0"/>
        <v>Véhicules neufs</v>
      </c>
      <c r="C67" s="681" t="s">
        <v>137</v>
      </c>
      <c r="D67" s="287"/>
      <c r="E67" s="38"/>
      <c r="F67" s="244">
        <v>0</v>
      </c>
      <c r="G67" s="1143"/>
      <c r="H67" s="38"/>
      <c r="I67" s="244">
        <v>0</v>
      </c>
      <c r="J67" s="681"/>
      <c r="K67" s="38"/>
      <c r="L67" s="658">
        <v>7230.9999999999991</v>
      </c>
      <c r="M67" s="681"/>
      <c r="N67" s="658">
        <f t="shared" si="16"/>
        <v>7230.9999999999991</v>
      </c>
      <c r="O67" s="681"/>
      <c r="P67" s="38"/>
      <c r="Q67" s="658">
        <v>1995.0299999999997</v>
      </c>
      <c r="R67" s="681"/>
      <c r="S67" s="658">
        <f>L67-Q67</f>
        <v>5235.9699999999993</v>
      </c>
      <c r="T67" s="38"/>
      <c r="U67" s="1116"/>
      <c r="X67" s="38"/>
      <c r="Y67" s="38"/>
      <c r="Z67" s="38"/>
      <c r="AA67" s="38"/>
      <c r="AB67" s="38"/>
      <c r="AC67" s="38"/>
      <c r="AD67" s="38"/>
      <c r="AE67" s="38"/>
      <c r="AF67" s="38"/>
      <c r="AG67" s="38"/>
      <c r="AH67" s="38"/>
      <c r="AI67" s="38"/>
      <c r="AJ67" s="38"/>
      <c r="AK67" s="38"/>
      <c r="AL67" s="38"/>
      <c r="AM67" s="38"/>
      <c r="AN67" s="38"/>
    </row>
    <row r="68" spans="1:40" ht="15.75" customHeight="1">
      <c r="A68" s="1116" t="str">
        <f t="shared" si="1"/>
        <v>Véhicules neufsFrais bancaires</v>
      </c>
      <c r="B68" s="38" t="str">
        <f t="shared" si="0"/>
        <v>Véhicules neufs</v>
      </c>
      <c r="C68" s="681" t="s">
        <v>138</v>
      </c>
      <c r="D68" s="287"/>
      <c r="E68" s="38"/>
      <c r="F68" s="244">
        <v>0</v>
      </c>
      <c r="G68" s="1143"/>
      <c r="H68" s="38"/>
      <c r="I68" s="244">
        <v>0</v>
      </c>
      <c r="J68" s="681"/>
      <c r="K68" s="38"/>
      <c r="L68" s="658">
        <v>5397.880000000001</v>
      </c>
      <c r="M68" s="681"/>
      <c r="N68" s="658">
        <f t="shared" si="16"/>
        <v>5397.880000000001</v>
      </c>
      <c r="O68" s="681"/>
      <c r="P68" s="38"/>
      <c r="Q68" s="658">
        <v>986.92000000000007</v>
      </c>
      <c r="R68" s="681"/>
      <c r="S68" s="658">
        <f>L68-Q68</f>
        <v>4410.9600000000009</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1116" t="str">
        <f t="shared" si="1"/>
        <v>Véhicules neufs[...]</v>
      </c>
      <c r="B69" s="38" t="str">
        <f t="shared" si="0"/>
        <v>Véhicules neufs</v>
      </c>
      <c r="C69" s="681" t="s">
        <v>55</v>
      </c>
      <c r="D69" s="287"/>
      <c r="E69" s="38"/>
      <c r="F69" s="244">
        <v>0</v>
      </c>
      <c r="G69" s="1143"/>
      <c r="H69" s="38"/>
      <c r="I69" s="244">
        <v>0</v>
      </c>
      <c r="J69" s="681"/>
      <c r="K69" s="38"/>
      <c r="L69" s="658">
        <v>0</v>
      </c>
      <c r="M69" s="681"/>
      <c r="N69" s="658">
        <f t="shared" si="16"/>
        <v>0</v>
      </c>
      <c r="O69" s="681"/>
      <c r="P69" s="38"/>
      <c r="Q69" s="658">
        <v>0</v>
      </c>
      <c r="R69" s="681"/>
      <c r="S69" s="658">
        <f>L69-Q69</f>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1116" t="str">
        <f t="shared" si="1"/>
        <v>Véhicules neufs[...]</v>
      </c>
      <c r="B70" s="38" t="str">
        <f t="shared" si="0"/>
        <v>Véhicules neufs</v>
      </c>
      <c r="C70" s="681" t="s">
        <v>55</v>
      </c>
      <c r="D70" s="287"/>
      <c r="E70" s="38"/>
      <c r="F70" s="244">
        <v>0</v>
      </c>
      <c r="G70" s="1143"/>
      <c r="H70" s="38"/>
      <c r="I70" s="244">
        <v>0</v>
      </c>
      <c r="J70" s="681"/>
      <c r="K70" s="38"/>
      <c r="L70" s="658">
        <v>0</v>
      </c>
      <c r="M70" s="681"/>
      <c r="N70" s="658">
        <f t="shared" si="16"/>
        <v>0</v>
      </c>
      <c r="O70" s="681"/>
      <c r="P70" s="38"/>
      <c r="Q70" s="658">
        <v>0</v>
      </c>
      <c r="R70" s="681"/>
      <c r="S70" s="658">
        <f t="shared" si="17"/>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1116" t="str">
        <f t="shared" si="1"/>
        <v>Véhicules neufs[...]</v>
      </c>
      <c r="B71" s="38" t="str">
        <f t="shared" si="0"/>
        <v>Véhicules neufs</v>
      </c>
      <c r="C71" s="681" t="s">
        <v>55</v>
      </c>
      <c r="D71" s="287"/>
      <c r="E71" s="38"/>
      <c r="F71" s="244">
        <v>0</v>
      </c>
      <c r="G71" s="1143"/>
      <c r="H71" s="38"/>
      <c r="I71" s="244">
        <v>0</v>
      </c>
      <c r="J71" s="681"/>
      <c r="K71" s="38"/>
      <c r="L71" s="658">
        <v>0</v>
      </c>
      <c r="M71" s="681"/>
      <c r="N71" s="658">
        <f t="shared" si="16"/>
        <v>0</v>
      </c>
      <c r="O71" s="681"/>
      <c r="P71" s="38"/>
      <c r="Q71" s="658">
        <v>0</v>
      </c>
      <c r="R71" s="681"/>
      <c r="S71" s="658">
        <f t="shared" si="17"/>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1116" t="str">
        <f t="shared" si="1"/>
        <v>Véhicules neufsTOTAL SEMI-FIXES</v>
      </c>
      <c r="B72" s="38" t="str">
        <f t="shared" si="0"/>
        <v>Véhicules neufs</v>
      </c>
      <c r="C72" s="291" t="s">
        <v>139</v>
      </c>
      <c r="D72" s="1147" t="s">
        <v>115</v>
      </c>
      <c r="E72" s="1148" t="e">
        <f>F72/F$27</f>
        <v>#DIV/0!</v>
      </c>
      <c r="F72" s="1149">
        <f>+SUM(F55:F71)</f>
        <v>0</v>
      </c>
      <c r="G72" s="295" t="s">
        <v>115</v>
      </c>
      <c r="H72" s="1148" t="e">
        <f>I72/I$27</f>
        <v>#DIV/0!</v>
      </c>
      <c r="I72" s="1149">
        <f>+SUM(I55:I71)</f>
        <v>0</v>
      </c>
      <c r="J72" s="295" t="s">
        <v>115</v>
      </c>
      <c r="K72" s="1148">
        <f>L72/L$27</f>
        <v>0.16211053992010913</v>
      </c>
      <c r="L72" s="1149">
        <f>+SUM(L55:L71)</f>
        <v>111820.13</v>
      </c>
      <c r="M72" s="296"/>
      <c r="N72" s="1149">
        <f>+SUM(N55:N71)</f>
        <v>111820.13</v>
      </c>
      <c r="O72" s="295" t="s">
        <v>115</v>
      </c>
      <c r="P72" s="1148">
        <f>Q72/Q$27</f>
        <v>0.13106157971665522</v>
      </c>
      <c r="Q72" s="1149">
        <f>+SUM(Q55:Q71)</f>
        <v>137971.85000000003</v>
      </c>
      <c r="R72" s="297"/>
      <c r="S72" s="1149">
        <f>+SUM(S55:S71)</f>
        <v>-26151.720000000008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1116" t="str">
        <f t="shared" si="1"/>
        <v>Véhicules neufs</v>
      </c>
      <c r="B73" s="38" t="str">
        <f t="shared" si="0"/>
        <v>Véhicules neufs</v>
      </c>
      <c r="C73" s="238"/>
      <c r="D73" s="1146"/>
      <c r="E73" s="1151"/>
      <c r="F73" s="658"/>
      <c r="G73" s="290"/>
      <c r="H73" s="1151"/>
      <c r="I73" s="658"/>
      <c r="J73" s="238"/>
      <c r="K73" s="1151"/>
      <c r="L73" s="1120"/>
      <c r="M73" s="238"/>
      <c r="N73" s="1120"/>
      <c r="O73" s="238"/>
      <c r="P73" s="1151"/>
      <c r="Q73" s="1120"/>
      <c r="R73" s="238"/>
      <c r="S73" s="1120"/>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1116" t="str">
        <f t="shared" si="1"/>
        <v>Véhicules neufsTOTAL DES DÉPENSES</v>
      </c>
      <c r="B74" s="38" t="str">
        <f t="shared" si="0"/>
        <v>Véhicules neufs</v>
      </c>
      <c r="C74" s="291" t="s">
        <v>140</v>
      </c>
      <c r="D74" s="1147" t="s">
        <v>115</v>
      </c>
      <c r="E74" s="1148" t="e">
        <f>F74/F$27</f>
        <v>#DIV/0!</v>
      </c>
      <c r="F74" s="1149">
        <f>F41+F54+F72</f>
        <v>0</v>
      </c>
      <c r="G74" s="295" t="s">
        <v>115</v>
      </c>
      <c r="H74" s="1148" t="e">
        <f>I74/I$27</f>
        <v>#DIV/0!</v>
      </c>
      <c r="I74" s="1149">
        <f>I41+I54+I72</f>
        <v>0</v>
      </c>
      <c r="J74" s="295" t="s">
        <v>115</v>
      </c>
      <c r="K74" s="1148">
        <f>L74/L$27</f>
        <v>0.12179190363031057</v>
      </c>
      <c r="L74" s="1149">
        <f>L41+L54+L72</f>
        <v>84009.259999999835</v>
      </c>
      <c r="M74" s="296"/>
      <c r="N74" s="1149">
        <f t="shared" ref="N74:N82" si="18">L74-F74</f>
        <v>84009.259999999835</v>
      </c>
      <c r="O74" s="295" t="s">
        <v>115</v>
      </c>
      <c r="P74" s="1148">
        <f>Q74/Q$27</f>
        <v>0.15064964189093363</v>
      </c>
      <c r="Q74" s="1149">
        <f>Q41+Q54+Q72</f>
        <v>158592.70000000024</v>
      </c>
      <c r="R74" s="297"/>
      <c r="S74" s="1149">
        <f>L74-Q74</f>
        <v>-74583.44000000041</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1116" t="str">
        <f t="shared" si="1"/>
        <v>Véhicules neufsRBSC neuf</v>
      </c>
      <c r="B75" s="38" t="str">
        <f t="shared" si="0"/>
        <v>Véhicules neufs</v>
      </c>
      <c r="C75" s="681" t="s">
        <v>3378</v>
      </c>
      <c r="D75" s="287"/>
      <c r="E75" s="38"/>
      <c r="F75" s="244">
        <v>0</v>
      </c>
      <c r="G75" s="1143"/>
      <c r="H75" s="38"/>
      <c r="I75" s="244">
        <v>0</v>
      </c>
      <c r="J75" s="681"/>
      <c r="K75" s="38"/>
      <c r="L75" s="658">
        <v>64325.369999999995</v>
      </c>
      <c r="M75" s="681"/>
      <c r="N75" s="658">
        <f t="shared" si="18"/>
        <v>64325.369999999995</v>
      </c>
      <c r="O75" s="681"/>
      <c r="P75" s="38"/>
      <c r="Q75" s="658">
        <v>107656.29999999999</v>
      </c>
      <c r="R75" s="681"/>
      <c r="S75" s="658">
        <f>L75-Q75</f>
        <v>-43330.929999999993</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1116" t="str">
        <f t="shared" si="1"/>
        <v>Véhicules neufsProgramme neuf 2</v>
      </c>
      <c r="B76" s="38" t="str">
        <f t="shared" si="0"/>
        <v>Véhicules neufs</v>
      </c>
      <c r="C76" s="1152" t="s">
        <v>142</v>
      </c>
      <c r="D76" s="287"/>
      <c r="E76" s="38"/>
      <c r="F76" s="244">
        <v>0</v>
      </c>
      <c r="G76" s="1143"/>
      <c r="H76" s="38"/>
      <c r="I76" s="244">
        <v>0</v>
      </c>
      <c r="J76" s="681"/>
      <c r="K76" s="38"/>
      <c r="L76" s="658">
        <v>0</v>
      </c>
      <c r="M76" s="681"/>
      <c r="N76" s="658">
        <f t="shared" si="18"/>
        <v>0</v>
      </c>
      <c r="O76" s="681"/>
      <c r="P76" s="38"/>
      <c r="Q76" s="658">
        <v>0</v>
      </c>
      <c r="R76" s="681"/>
      <c r="S76" s="658">
        <f>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1116" t="str">
        <f t="shared" si="1"/>
        <v>Véhicules neufsProgramme neuf 3</v>
      </c>
      <c r="B77" s="38" t="str">
        <f t="shared" si="0"/>
        <v>Véhicules neufs</v>
      </c>
      <c r="C77" s="1152" t="s">
        <v>143</v>
      </c>
      <c r="D77" s="287"/>
      <c r="E77" s="38"/>
      <c r="F77" s="244">
        <v>0</v>
      </c>
      <c r="G77" s="1143"/>
      <c r="H77" s="38"/>
      <c r="I77" s="244">
        <v>0</v>
      </c>
      <c r="J77" s="681"/>
      <c r="K77" s="38"/>
      <c r="L77" s="658">
        <v>0</v>
      </c>
      <c r="M77" s="681"/>
      <c r="N77" s="658">
        <f t="shared" si="18"/>
        <v>0</v>
      </c>
      <c r="O77" s="681"/>
      <c r="P77" s="38"/>
      <c r="Q77" s="658">
        <v>0</v>
      </c>
      <c r="R77" s="681"/>
      <c r="S77" s="658">
        <f t="shared" ref="S77:S82" si="19">L77-Q77</f>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1116" t="str">
        <f t="shared" si="1"/>
        <v>Véhicules neufsHoldbacks</v>
      </c>
      <c r="B78" s="38" t="str">
        <f t="shared" si="0"/>
        <v>Véhicules neufs</v>
      </c>
      <c r="C78" s="1152" t="s">
        <v>144</v>
      </c>
      <c r="D78" s="287"/>
      <c r="E78" s="705"/>
      <c r="F78" s="244">
        <v>0</v>
      </c>
      <c r="G78" s="1143"/>
      <c r="H78" s="38"/>
      <c r="I78" s="244">
        <v>0</v>
      </c>
      <c r="J78" s="1153"/>
      <c r="K78" s="705"/>
      <c r="L78" s="658">
        <v>0</v>
      </c>
      <c r="M78" s="681"/>
      <c r="N78" s="658">
        <f t="shared" si="18"/>
        <v>0</v>
      </c>
      <c r="O78" s="1153"/>
      <c r="P78" s="705"/>
      <c r="Q78" s="658">
        <v>0</v>
      </c>
      <c r="R78" s="681"/>
      <c r="S78" s="658">
        <f t="shared" si="19"/>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1116" t="str">
        <f t="shared" si="1"/>
        <v>Véhicules neufs[...]</v>
      </c>
      <c r="B79" s="38" t="str">
        <f t="shared" si="0"/>
        <v>Véhicules neufs</v>
      </c>
      <c r="C79" s="1152" t="s">
        <v>55</v>
      </c>
      <c r="D79" s="287"/>
      <c r="E79" s="38"/>
      <c r="F79" s="244">
        <v>0</v>
      </c>
      <c r="G79" s="1143"/>
      <c r="H79" s="38"/>
      <c r="I79" s="244">
        <v>0</v>
      </c>
      <c r="J79" s="681"/>
      <c r="K79" s="38"/>
      <c r="L79" s="658">
        <v>0</v>
      </c>
      <c r="M79" s="681"/>
      <c r="N79" s="658">
        <f t="shared" si="18"/>
        <v>0</v>
      </c>
      <c r="O79" s="681"/>
      <c r="P79" s="38"/>
      <c r="Q79" s="658">
        <v>0</v>
      </c>
      <c r="R79" s="681"/>
      <c r="S79" s="658">
        <f>L79-Q79</f>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1116" t="str">
        <f t="shared" si="1"/>
        <v>Véhicules neufs[...]</v>
      </c>
      <c r="B80" s="38" t="str">
        <f t="shared" si="0"/>
        <v>Véhicules neufs</v>
      </c>
      <c r="C80" s="1152" t="s">
        <v>55</v>
      </c>
      <c r="D80" s="287"/>
      <c r="E80" s="38"/>
      <c r="F80" s="244">
        <v>0</v>
      </c>
      <c r="G80" s="1143"/>
      <c r="H80" s="38"/>
      <c r="I80" s="244">
        <v>0</v>
      </c>
      <c r="J80" s="681"/>
      <c r="K80" s="38"/>
      <c r="L80" s="658">
        <v>0</v>
      </c>
      <c r="M80" s="681"/>
      <c r="N80" s="658">
        <f t="shared" si="18"/>
        <v>0</v>
      </c>
      <c r="O80" s="681"/>
      <c r="P80" s="38"/>
      <c r="Q80" s="658">
        <v>0</v>
      </c>
      <c r="R80" s="681"/>
      <c r="S80" s="658">
        <f>L80-Q80</f>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1116" t="str">
        <f t="shared" si="1"/>
        <v>Véhicules neufs[...]</v>
      </c>
      <c r="B81" s="38" t="str">
        <f t="shared" si="0"/>
        <v>Véhicules neufs</v>
      </c>
      <c r="C81" s="1152" t="s">
        <v>55</v>
      </c>
      <c r="D81" s="287"/>
      <c r="E81" s="38"/>
      <c r="F81" s="244">
        <v>0</v>
      </c>
      <c r="G81" s="1143"/>
      <c r="H81" s="38"/>
      <c r="I81" s="244">
        <v>0</v>
      </c>
      <c r="J81" s="681"/>
      <c r="K81" s="38"/>
      <c r="L81" s="658">
        <v>0</v>
      </c>
      <c r="M81" s="681"/>
      <c r="N81" s="658">
        <f t="shared" si="18"/>
        <v>0</v>
      </c>
      <c r="O81" s="681"/>
      <c r="P81" s="38"/>
      <c r="Q81" s="658">
        <v>0</v>
      </c>
      <c r="R81" s="681"/>
      <c r="S81" s="658">
        <f>L81-Q81</f>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135" t="str">
        <f t="shared" si="1"/>
        <v>Véhicules neufsFrais administration</v>
      </c>
      <c r="B82" s="38" t="str">
        <f t="shared" si="0"/>
        <v>Véhicules neufs</v>
      </c>
      <c r="C82" s="681" t="s">
        <v>145</v>
      </c>
      <c r="D82" s="742"/>
      <c r="E82" s="307"/>
      <c r="F82" s="244">
        <v>0</v>
      </c>
      <c r="G82" s="1143"/>
      <c r="H82" s="38"/>
      <c r="I82" s="244">
        <v>0</v>
      </c>
      <c r="J82" s="1154"/>
      <c r="K82" s="307"/>
      <c r="L82" s="658">
        <v>57318</v>
      </c>
      <c r="M82" s="681"/>
      <c r="N82" s="658">
        <f t="shared" si="18"/>
        <v>57318</v>
      </c>
      <c r="O82" s="1154"/>
      <c r="P82" s="307"/>
      <c r="Q82" s="658">
        <v>0</v>
      </c>
      <c r="R82" s="681"/>
      <c r="S82" s="658">
        <f t="shared" si="19"/>
        <v>57318</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1116" t="str">
        <f t="shared" si="1"/>
        <v>Véhicules neufsAUTRES REVENUS</v>
      </c>
      <c r="B83" s="38" t="str">
        <f t="shared" si="0"/>
        <v>Véhicules neufs</v>
      </c>
      <c r="C83" s="291" t="s">
        <v>146</v>
      </c>
      <c r="D83" s="1147"/>
      <c r="E83" s="1148"/>
      <c r="F83" s="1149">
        <f>+SUM(F75:F82)</f>
        <v>0</v>
      </c>
      <c r="G83" s="295"/>
      <c r="H83" s="1148"/>
      <c r="I83" s="1149">
        <f>+SUM(I75:I82)</f>
        <v>0</v>
      </c>
      <c r="J83" s="295"/>
      <c r="K83" s="1148"/>
      <c r="L83" s="1149">
        <f>+SUM(L75:L82)</f>
        <v>121643.37</v>
      </c>
      <c r="M83" s="296"/>
      <c r="N83" s="1149">
        <f>+SUM(N75:N82)</f>
        <v>121643.37</v>
      </c>
      <c r="O83" s="295"/>
      <c r="P83" s="1148"/>
      <c r="Q83" s="1149">
        <f>+SUM(Q75:Q82)</f>
        <v>107656.29999999999</v>
      </c>
      <c r="R83" s="297"/>
      <c r="S83" s="1149">
        <f>+SUM(S75:S82)</f>
        <v>13987.070000000007</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1116" t="str">
        <f t="shared" si="1"/>
        <v>Véhicules neufs</v>
      </c>
      <c r="B84" s="38" t="str">
        <f t="shared" si="0"/>
        <v>Véhicules neufs</v>
      </c>
      <c r="C84" s="308"/>
      <c r="D84" s="1155"/>
      <c r="E84" s="1156"/>
      <c r="F84" s="311"/>
      <c r="G84" s="312"/>
      <c r="H84" s="1156"/>
      <c r="I84" s="311"/>
      <c r="J84" s="1157"/>
      <c r="K84" s="314"/>
      <c r="L84" s="311"/>
      <c r="M84" s="1157"/>
      <c r="N84" s="315"/>
      <c r="O84" s="1157"/>
      <c r="P84" s="314"/>
      <c r="Q84" s="311"/>
      <c r="R84" s="1157"/>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1116" t="str">
        <f t="shared" si="1"/>
        <v>Véhicules neufsPROFIT DÉPARTEMENTAL</v>
      </c>
      <c r="B85" s="38" t="str">
        <f t="shared" si="0"/>
        <v>Véhicules neufs</v>
      </c>
      <c r="C85" s="953" t="s">
        <v>147</v>
      </c>
      <c r="D85" s="954"/>
      <c r="E85" s="955"/>
      <c r="F85" s="956">
        <f>F27-F74+F83</f>
        <v>0</v>
      </c>
      <c r="G85" s="957"/>
      <c r="H85" s="955"/>
      <c r="I85" s="956">
        <f>I27-I74+I83</f>
        <v>0</v>
      </c>
      <c r="J85" s="957"/>
      <c r="K85" s="955"/>
      <c r="L85" s="956">
        <f>L27-L74+L83</f>
        <v>727411.15999999957</v>
      </c>
      <c r="M85" s="958"/>
      <c r="N85" s="956">
        <f>N27-N41-N54-N72+N83</f>
        <v>727411.15999999945</v>
      </c>
      <c r="O85" s="957"/>
      <c r="P85" s="955"/>
      <c r="Q85" s="956">
        <f>Q27-Q74+Q83</f>
        <v>1001788.9699999974</v>
      </c>
      <c r="R85" s="959"/>
      <c r="S85" s="956">
        <f>S27-S41-S54-S72+S83</f>
        <v>-274377.80999999784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1105" t="str">
        <f>C1</f>
        <v>Ste-Marie Auto</v>
      </c>
      <c r="D89" s="911"/>
      <c r="E89" s="912"/>
      <c r="F89" s="911"/>
      <c r="G89" s="911"/>
      <c r="H89" s="913"/>
      <c r="I89" s="911"/>
      <c r="J89" s="913"/>
      <c r="K89" s="914" t="s">
        <v>148</v>
      </c>
      <c r="L89" s="911"/>
      <c r="M89" s="911"/>
      <c r="N89" s="915"/>
      <c r="O89" s="1105"/>
      <c r="P89" s="1106"/>
      <c r="Q89" s="1105"/>
      <c r="R89" s="1106"/>
      <c r="S89" s="1107" t="str">
        <f>$S$1</f>
        <v>Réalisé  Q2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1111"/>
      <c r="D91" s="1244" t="s">
        <v>339</v>
      </c>
      <c r="E91" s="1245"/>
      <c r="F91" s="1248"/>
      <c r="G91" s="1247" t="s">
        <v>3379</v>
      </c>
      <c r="H91" s="1245"/>
      <c r="I91" s="1248"/>
      <c r="J91" s="1247" t="s">
        <v>340</v>
      </c>
      <c r="K91" s="1245"/>
      <c r="L91" s="1248"/>
      <c r="M91" s="1247" t="s">
        <v>668</v>
      </c>
      <c r="N91" s="1248"/>
      <c r="O91" s="1244" t="s">
        <v>341</v>
      </c>
      <c r="P91" s="1245"/>
      <c r="Q91" s="1248"/>
      <c r="R91" s="1247" t="s">
        <v>670</v>
      </c>
      <c r="S91" s="124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681"/>
      <c r="D92" s="234" t="s">
        <v>89</v>
      </c>
      <c r="E92" s="235" t="s">
        <v>344</v>
      </c>
      <c r="F92" s="1114" t="s">
        <v>91</v>
      </c>
      <c r="G92" s="1115" t="s">
        <v>89</v>
      </c>
      <c r="H92" s="235" t="s">
        <v>344</v>
      </c>
      <c r="I92" s="1114" t="s">
        <v>91</v>
      </c>
      <c r="J92" s="1115" t="s">
        <v>89</v>
      </c>
      <c r="K92" s="235" t="s">
        <v>90</v>
      </c>
      <c r="L92" s="1114" t="s">
        <v>91</v>
      </c>
      <c r="M92" s="1115" t="s">
        <v>3377</v>
      </c>
      <c r="N92" s="1114" t="s">
        <v>669</v>
      </c>
      <c r="O92" s="235" t="s">
        <v>89</v>
      </c>
      <c r="P92" s="235" t="s">
        <v>90</v>
      </c>
      <c r="Q92" s="1114" t="s">
        <v>91</v>
      </c>
      <c r="R92" s="1115" t="s">
        <v>89</v>
      </c>
      <c r="S92" s="1114"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1116" t="str">
        <f t="shared" ref="A93:A156" si="20">+B93&amp;C93</f>
        <v>Véhicules usagésVentes nettes</v>
      </c>
      <c r="B93" s="38" t="s">
        <v>148</v>
      </c>
      <c r="C93" s="238" t="s">
        <v>92</v>
      </c>
      <c r="D93" s="965"/>
      <c r="E93" s="965"/>
      <c r="F93" s="1118">
        <v>0</v>
      </c>
      <c r="G93" s="257"/>
      <c r="H93" s="965"/>
      <c r="I93" s="1118">
        <v>0</v>
      </c>
      <c r="J93" s="238"/>
      <c r="K93" s="966"/>
      <c r="L93" s="1120">
        <v>1419525.9300000013</v>
      </c>
      <c r="M93" s="320"/>
      <c r="N93" s="1158"/>
      <c r="O93" s="238"/>
      <c r="P93" s="966"/>
      <c r="Q93" s="1120">
        <v>9875086.3000000007</v>
      </c>
      <c r="R93" s="963"/>
      <c r="S93" s="112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1116" t="str">
        <f t="shared" si="20"/>
        <v>Véhicules usagésCertifié</v>
      </c>
      <c r="B94" s="38" t="s">
        <v>148</v>
      </c>
      <c r="C94" s="681" t="s">
        <v>149</v>
      </c>
      <c r="D94" s="244">
        <v>0</v>
      </c>
      <c r="E94" s="244">
        <f>IF(D94=0,0,F94/D94)</f>
        <v>0</v>
      </c>
      <c r="F94" s="244">
        <v>0</v>
      </c>
      <c r="G94" s="736">
        <v>0</v>
      </c>
      <c r="H94" s="244">
        <f t="shared" ref="H94:H98" si="21">IF(G94=0,0,I94/G94)</f>
        <v>0</v>
      </c>
      <c r="I94" s="244">
        <v>0</v>
      </c>
      <c r="J94" s="736">
        <v>0</v>
      </c>
      <c r="K94" s="281">
        <f>IF(J94=0,0,L94/J94)</f>
        <v>0</v>
      </c>
      <c r="L94" s="658">
        <v>0</v>
      </c>
      <c r="M94" s="736">
        <f>J94-D94</f>
        <v>0</v>
      </c>
      <c r="N94" s="967">
        <f>L94-F94</f>
        <v>0</v>
      </c>
      <c r="O94" s="736">
        <v>0</v>
      </c>
      <c r="P94" s="281">
        <f>IF(O94=0,0,Q94/O94)</f>
        <v>0</v>
      </c>
      <c r="Q94" s="658">
        <v>0</v>
      </c>
      <c r="R94" s="736">
        <f>J94-O94</f>
        <v>0</v>
      </c>
      <c r="S94" s="658">
        <f>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1116" t="str">
        <f t="shared" si="20"/>
        <v>Véhicules usagésNon Certifié</v>
      </c>
      <c r="B95" s="38" t="s">
        <v>148</v>
      </c>
      <c r="C95" s="681" t="s">
        <v>150</v>
      </c>
      <c r="D95" s="244">
        <v>0</v>
      </c>
      <c r="E95" s="244">
        <f>IF(D95=0,0,F95/D95)</f>
        <v>0</v>
      </c>
      <c r="F95" s="244">
        <v>0</v>
      </c>
      <c r="G95" s="736">
        <v>0</v>
      </c>
      <c r="H95" s="244">
        <f t="shared" si="21"/>
        <v>0</v>
      </c>
      <c r="I95" s="244">
        <v>0</v>
      </c>
      <c r="J95" s="736">
        <v>78</v>
      </c>
      <c r="K95" s="281">
        <f>IF(J95=0,0,L95/J95)</f>
        <v>1529.6248717948731</v>
      </c>
      <c r="L95" s="658">
        <v>119310.74000000011</v>
      </c>
      <c r="M95" s="736">
        <f>J95-D95</f>
        <v>78</v>
      </c>
      <c r="N95" s="967">
        <f>L95-F95</f>
        <v>119310.74000000011</v>
      </c>
      <c r="O95" s="736">
        <v>25</v>
      </c>
      <c r="P95" s="281">
        <f>IF(O95=0,0,Q95/O95)</f>
        <v>-785.56599999999742</v>
      </c>
      <c r="Q95" s="658">
        <v>-19639.149999999936</v>
      </c>
      <c r="R95" s="736">
        <f>J95-O95</f>
        <v>53</v>
      </c>
      <c r="S95" s="658">
        <f>L95-Q95</f>
        <v>138949.89000000004</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1116" t="str">
        <f>+B96&amp;C96</f>
        <v>Véhicules usagésAutres marques</v>
      </c>
      <c r="B96" s="38" t="s">
        <v>148</v>
      </c>
      <c r="C96" s="681" t="s">
        <v>1080</v>
      </c>
      <c r="D96" s="244">
        <v>0</v>
      </c>
      <c r="E96" s="965">
        <f>IF(D96=0,0,F96/D96)</f>
        <v>0</v>
      </c>
      <c r="F96" s="244">
        <v>0</v>
      </c>
      <c r="G96" s="736">
        <v>0</v>
      </c>
      <c r="H96" s="244">
        <f t="shared" si="21"/>
        <v>0</v>
      </c>
      <c r="I96" s="244">
        <v>0</v>
      </c>
      <c r="J96" s="736">
        <v>0</v>
      </c>
      <c r="K96" s="966">
        <f>IF(J96=0,0,L96/J96)</f>
        <v>0</v>
      </c>
      <c r="L96" s="658">
        <v>0</v>
      </c>
      <c r="M96" s="736">
        <f>J96-D96</f>
        <v>0</v>
      </c>
      <c r="N96" s="967">
        <f>L96-F96</f>
        <v>0</v>
      </c>
      <c r="O96" s="736">
        <v>0</v>
      </c>
      <c r="P96" s="966">
        <f>IF(O96=0,0,Q96/O96)</f>
        <v>0</v>
      </c>
      <c r="Q96" s="658">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1116" t="str">
        <f t="shared" si="20"/>
        <v>Véhicules usagésTotal Usagés</v>
      </c>
      <c r="B97" s="38" t="s">
        <v>148</v>
      </c>
      <c r="C97" s="1124" t="s">
        <v>151</v>
      </c>
      <c r="D97" s="250">
        <f>+D95+D94+D96</f>
        <v>0</v>
      </c>
      <c r="E97" s="711">
        <f>IF(D97=0,0,F97/D97)</f>
        <v>0</v>
      </c>
      <c r="F97" s="1125">
        <f>+F94+F95+F96</f>
        <v>0</v>
      </c>
      <c r="G97" s="1126">
        <f>+G95+G94+G96</f>
        <v>0</v>
      </c>
      <c r="H97" s="250">
        <f t="shared" si="21"/>
        <v>0</v>
      </c>
      <c r="I97" s="1125">
        <f>+I94+I95+I96</f>
        <v>0</v>
      </c>
      <c r="J97" s="1126">
        <f>+J95+J94+J96</f>
        <v>78</v>
      </c>
      <c r="K97" s="305">
        <f>IF(J97=0,0,L97/J97)</f>
        <v>1529.6248717948731</v>
      </c>
      <c r="L97" s="1127">
        <f>+L94+L95+L96</f>
        <v>119310.74000000011</v>
      </c>
      <c r="M97" s="1126">
        <f>J97-D97</f>
        <v>78</v>
      </c>
      <c r="N97" s="1125">
        <f>L97-F97</f>
        <v>119310.74000000011</v>
      </c>
      <c r="O97" s="250">
        <f>+O95+O94+O96</f>
        <v>25</v>
      </c>
      <c r="P97" s="305">
        <f>IF(O97&lt;=0,0,Q97/O97)</f>
        <v>-785.56599999999742</v>
      </c>
      <c r="Q97" s="1127">
        <f>+Q94+Q95+Q96</f>
        <v>-19639.149999999936</v>
      </c>
      <c r="R97" s="1126">
        <f>J97-O97</f>
        <v>53</v>
      </c>
      <c r="S97" s="1127">
        <f>L97-Q97</f>
        <v>138949.89000000004</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1116" t="str">
        <f t="shared" si="20"/>
        <v>Véhicules usagés</v>
      </c>
      <c r="B98" s="38" t="s">
        <v>148</v>
      </c>
      <c r="C98" s="970"/>
      <c r="D98" s="11"/>
      <c r="E98" s="711"/>
      <c r="F98" s="1128"/>
      <c r="G98" s="970"/>
      <c r="H98" s="11">
        <f t="shared" si="21"/>
        <v>0</v>
      </c>
      <c r="I98" s="1128"/>
      <c r="J98" s="970"/>
      <c r="K98" s="305"/>
      <c r="L98" s="1129"/>
      <c r="M98" s="1013" t="e">
        <f>M97/D97</f>
        <v>#DIV/0!</v>
      </c>
      <c r="N98" s="1014" t="e">
        <f>N97/F97</f>
        <v>#DIV/0!</v>
      </c>
      <c r="O98" s="970"/>
      <c r="P98" s="305"/>
      <c r="Q98" s="1129"/>
      <c r="R98" s="1130">
        <f>R97/O97</f>
        <v>2.12</v>
      </c>
      <c r="S98" s="929">
        <f>IF(Q97=0,0,(S97/Q97))</f>
        <v>-7.0751478551770566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1116" t="str">
        <f t="shared" si="20"/>
        <v>Véhicules neufsRachat bail</v>
      </c>
      <c r="B99" s="38" t="str">
        <f t="shared" ref="B99" si="22">+$K$1</f>
        <v>Véhicules neufs</v>
      </c>
      <c r="C99" s="970" t="s">
        <v>100</v>
      </c>
      <c r="D99" s="244"/>
      <c r="E99" s="244"/>
      <c r="F99" s="244">
        <v>0</v>
      </c>
      <c r="G99" s="736"/>
      <c r="H99" s="244"/>
      <c r="I99" s="244">
        <v>0</v>
      </c>
      <c r="J99" s="736"/>
      <c r="K99" s="281"/>
      <c r="L99" s="658">
        <v>0</v>
      </c>
      <c r="M99" s="736"/>
      <c r="N99" s="967">
        <f>L99-F99</f>
        <v>0</v>
      </c>
      <c r="O99" s="736"/>
      <c r="P99" s="281"/>
      <c r="Q99" s="658">
        <v>0</v>
      </c>
      <c r="R99" s="736">
        <f>O99-K99</f>
        <v>0</v>
      </c>
      <c r="S99" s="658">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1116" t="str">
        <f t="shared" si="20"/>
        <v>Véhicules usagésUS</v>
      </c>
      <c r="B100" s="38" t="s">
        <v>148</v>
      </c>
      <c r="C100" s="970" t="s">
        <v>3380</v>
      </c>
      <c r="D100" s="244">
        <v>0</v>
      </c>
      <c r="E100" s="244">
        <f>IF(D100=0,0,F100/D100)</f>
        <v>0</v>
      </c>
      <c r="F100" s="244">
        <v>0</v>
      </c>
      <c r="G100" s="736">
        <v>0</v>
      </c>
      <c r="H100" s="244">
        <f t="shared" ref="H100:H101" si="23">IF(G100=0,0,I100/G100)</f>
        <v>0</v>
      </c>
      <c r="I100" s="244">
        <v>0</v>
      </c>
      <c r="J100" s="736">
        <v>0</v>
      </c>
      <c r="K100" s="281">
        <f>IF(J100=0,0,L100/J100)</f>
        <v>0</v>
      </c>
      <c r="L100" s="658">
        <v>0</v>
      </c>
      <c r="M100" s="736"/>
      <c r="N100" s="967"/>
      <c r="O100" s="736">
        <v>0</v>
      </c>
      <c r="P100" s="281">
        <f>IF(O100=0,0,Q100/O100)</f>
        <v>0</v>
      </c>
      <c r="Q100" s="658">
        <v>0</v>
      </c>
      <c r="R100" s="736"/>
      <c r="S100" s="658"/>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1116" t="str">
        <f t="shared" si="20"/>
        <v>Véhicules usagésVentes au Gros</v>
      </c>
      <c r="B101" s="38" t="s">
        <v>148</v>
      </c>
      <c r="C101" s="970" t="s">
        <v>152</v>
      </c>
      <c r="D101" s="244">
        <v>0</v>
      </c>
      <c r="E101" s="244">
        <f>IF(D101=0,0,F101/D101)</f>
        <v>0</v>
      </c>
      <c r="F101" s="244">
        <v>0</v>
      </c>
      <c r="G101" s="736">
        <v>0</v>
      </c>
      <c r="H101" s="244">
        <f t="shared" si="23"/>
        <v>0</v>
      </c>
      <c r="I101" s="244">
        <v>0</v>
      </c>
      <c r="J101" s="736">
        <v>-73</v>
      </c>
      <c r="K101" s="281">
        <f>IF(J101=0,0,L101/J101)</f>
        <v>1717.9738356164298</v>
      </c>
      <c r="L101" s="658">
        <v>-125412.08999999939</v>
      </c>
      <c r="M101" s="736">
        <f>J101-D101</f>
        <v>-73</v>
      </c>
      <c r="N101" s="967">
        <f>L101-F101</f>
        <v>-125412.08999999939</v>
      </c>
      <c r="O101" s="736">
        <v>242</v>
      </c>
      <c r="P101" s="281">
        <f>IF(O101=0,0,Q101/O101)</f>
        <v>399.24483471074092</v>
      </c>
      <c r="Q101" s="658">
        <v>96617.249999999302</v>
      </c>
      <c r="R101" s="736">
        <f>J101-O101</f>
        <v>-315</v>
      </c>
      <c r="S101" s="658">
        <f>L101-Q101</f>
        <v>-222029.33999999869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1116" t="str">
        <f t="shared" si="20"/>
        <v>Véhicules usagés</v>
      </c>
      <c r="B102" s="38" t="s">
        <v>148</v>
      </c>
      <c r="C102" s="238"/>
      <c r="D102" s="965"/>
      <c r="E102" s="965"/>
      <c r="F102" s="1118"/>
      <c r="G102" s="257"/>
      <c r="H102" s="965"/>
      <c r="I102" s="1118"/>
      <c r="J102" s="257"/>
      <c r="K102" s="966"/>
      <c r="L102" s="1120"/>
      <c r="M102" s="258"/>
      <c r="N102" s="1133"/>
      <c r="O102" s="257"/>
      <c r="P102" s="966"/>
      <c r="Q102" s="1120"/>
      <c r="R102" s="258"/>
      <c r="S102" s="1159"/>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1116" t="str">
        <f t="shared" si="20"/>
        <v>Véhicules usagésRev. Finances</v>
      </c>
      <c r="B103" s="38" t="s">
        <v>148</v>
      </c>
      <c r="C103" s="681" t="s">
        <v>101</v>
      </c>
      <c r="D103" s="244">
        <v>0</v>
      </c>
      <c r="E103" s="244">
        <f>IF(D103=0,0,F103/D103)</f>
        <v>0</v>
      </c>
      <c r="F103" s="967">
        <v>0</v>
      </c>
      <c r="G103" s="736">
        <v>0</v>
      </c>
      <c r="H103" s="244">
        <f>IF(G103=0,0,I103/G103)</f>
        <v>0</v>
      </c>
      <c r="I103" s="244">
        <v>0</v>
      </c>
      <c r="J103" s="736">
        <v>0</v>
      </c>
      <c r="K103" s="281">
        <f>IF(J103=0,0,L103/J103)</f>
        <v>0</v>
      </c>
      <c r="L103" s="658">
        <v>20271.649999999998</v>
      </c>
      <c r="M103" s="736"/>
      <c r="N103" s="967">
        <f>L103-F103</f>
        <v>20271.649999999998</v>
      </c>
      <c r="O103" s="736">
        <v>0</v>
      </c>
      <c r="P103" s="281">
        <f>IF(O103=0,0,Q103/O103)</f>
        <v>0</v>
      </c>
      <c r="Q103" s="658">
        <v>8650.39</v>
      </c>
      <c r="R103" s="924">
        <f>O103-K103</f>
        <v>0</v>
      </c>
      <c r="S103" s="658">
        <f>L103-Q103</f>
        <v>11621.259999999998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1116" t="str">
        <f t="shared" si="20"/>
        <v>Véhicules usagésRev. Protections</v>
      </c>
      <c r="B104" s="38" t="s">
        <v>148</v>
      </c>
      <c r="C104" s="681" t="s">
        <v>102</v>
      </c>
      <c r="D104" s="244">
        <v>0</v>
      </c>
      <c r="E104" s="244">
        <f>IF(D104=0,0,F104/D104)</f>
        <v>0</v>
      </c>
      <c r="F104" s="967">
        <v>0</v>
      </c>
      <c r="G104" s="736">
        <v>0</v>
      </c>
      <c r="H104" s="244">
        <f>IF(G104=0,0,I104/G104)</f>
        <v>0</v>
      </c>
      <c r="I104" s="244">
        <v>0</v>
      </c>
      <c r="J104" s="736">
        <v>0</v>
      </c>
      <c r="K104" s="281">
        <f>IF(J104=0,0,L104/J104)</f>
        <v>0</v>
      </c>
      <c r="L104" s="658">
        <v>40284.62000000001</v>
      </c>
      <c r="M104" s="736"/>
      <c r="N104" s="967">
        <f>L104-F104</f>
        <v>40284.62000000001</v>
      </c>
      <c r="O104" s="736">
        <v>0</v>
      </c>
      <c r="P104" s="281">
        <f>IF(O104=0,0,Q104/O104)</f>
        <v>0</v>
      </c>
      <c r="Q104" s="658">
        <v>13361</v>
      </c>
      <c r="R104" s="924">
        <f>O104-K104</f>
        <v>0</v>
      </c>
      <c r="S104" s="658">
        <f>L104-Q104</f>
        <v>26923.62000000001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1116" t="str">
        <f t="shared" si="20"/>
        <v>Véhicules usagésRev. Autres</v>
      </c>
      <c r="B105" s="38" t="s">
        <v>148</v>
      </c>
      <c r="C105" s="681" t="s">
        <v>103</v>
      </c>
      <c r="D105" s="244">
        <v>0</v>
      </c>
      <c r="E105" s="965">
        <f>IF(D105=0,0,F105/D105)</f>
        <v>0</v>
      </c>
      <c r="F105" s="967">
        <v>0</v>
      </c>
      <c r="G105" s="736">
        <v>0</v>
      </c>
      <c r="H105" s="965">
        <f>IF(G105=0,0,I105/G105)</f>
        <v>0</v>
      </c>
      <c r="I105" s="244">
        <v>0</v>
      </c>
      <c r="J105" s="736">
        <v>0</v>
      </c>
      <c r="K105" s="966">
        <f>IF(J105=0,0,L105/J105)</f>
        <v>0</v>
      </c>
      <c r="L105" s="658">
        <v>0</v>
      </c>
      <c r="M105" s="257"/>
      <c r="N105" s="967">
        <f>L105-F105</f>
        <v>0</v>
      </c>
      <c r="O105" s="736">
        <v>0</v>
      </c>
      <c r="P105" s="966">
        <f>IF(O105=0,0,Q105/O105)</f>
        <v>0</v>
      </c>
      <c r="Q105" s="658">
        <v>0</v>
      </c>
      <c r="R105" s="924">
        <f>O105-K105</f>
        <v>0</v>
      </c>
      <c r="S105" s="658">
        <f>L105-Q105</f>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1116" t="str">
        <f t="shared" si="20"/>
        <v>Véhicules usagésTotal F&amp;I</v>
      </c>
      <c r="B106" s="38" t="s">
        <v>148</v>
      </c>
      <c r="C106" s="1124" t="s">
        <v>104</v>
      </c>
      <c r="D106" s="250">
        <f>D98</f>
        <v>0</v>
      </c>
      <c r="E106" s="711">
        <f>IF(D106=0,0,F106/D106)</f>
        <v>0</v>
      </c>
      <c r="F106" s="1125">
        <f>F103+F104+F105</f>
        <v>0</v>
      </c>
      <c r="G106" s="1126">
        <f>G98</f>
        <v>0</v>
      </c>
      <c r="H106" s="250">
        <f>IF(G106=0,0,I106/G106)</f>
        <v>0</v>
      </c>
      <c r="I106" s="1125">
        <f>I103+I104+I105</f>
        <v>0</v>
      </c>
      <c r="J106" s="1126">
        <f>J98</f>
        <v>0</v>
      </c>
      <c r="K106" s="355">
        <f>IF(J106&lt;=0,0,L106/J106)</f>
        <v>0</v>
      </c>
      <c r="L106" s="1127">
        <f>L103+L104+L105</f>
        <v>60556.270000000004</v>
      </c>
      <c r="M106" s="1135">
        <f>J106-D106</f>
        <v>0</v>
      </c>
      <c r="N106" s="1125">
        <f>L106-F106</f>
        <v>60556.270000000004</v>
      </c>
      <c r="O106" s="1126">
        <f>O98</f>
        <v>0</v>
      </c>
      <c r="P106" s="355">
        <f>IF(O106&lt;=0,0,Q106/O106)</f>
        <v>0</v>
      </c>
      <c r="Q106" s="1127">
        <f>Q103+Q104+Q105</f>
        <v>22011.39</v>
      </c>
      <c r="R106" s="1160"/>
      <c r="S106" s="1127">
        <f>L106-Q106</f>
        <v>38544.880000000005</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1116" t="str">
        <f t="shared" si="20"/>
        <v>Véhicules usagés</v>
      </c>
      <c r="B107" s="38" t="s">
        <v>148</v>
      </c>
      <c r="C107" s="970"/>
      <c r="D107" s="11"/>
      <c r="E107" s="11"/>
      <c r="F107" s="1129"/>
      <c r="G107" s="970"/>
      <c r="H107" s="341"/>
      <c r="I107" s="1129"/>
      <c r="J107" s="970"/>
      <c r="K107" s="305"/>
      <c r="L107" s="1129"/>
      <c r="M107" s="928"/>
      <c r="N107" s="929" t="e">
        <f>N106/F106</f>
        <v>#DIV/0!</v>
      </c>
      <c r="O107" s="970"/>
      <c r="P107" s="305"/>
      <c r="Q107" s="1129"/>
      <c r="R107" s="1161"/>
      <c r="S107" s="929">
        <f>IF(Q106=0,0,(S106/Q106))</f>
        <v>1.7511333904855626</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1116" t="str">
        <f t="shared" si="20"/>
        <v>Véhicules usagés</v>
      </c>
      <c r="B108" s="38" t="s">
        <v>148</v>
      </c>
      <c r="C108" s="681"/>
      <c r="D108" s="38"/>
      <c r="E108" s="38"/>
      <c r="F108" s="658"/>
      <c r="G108" s="681"/>
      <c r="H108" s="325"/>
      <c r="I108" s="658"/>
      <c r="J108" s="681"/>
      <c r="K108" s="281"/>
      <c r="L108" s="658"/>
      <c r="M108" s="928"/>
      <c r="N108" s="929"/>
      <c r="O108" s="681"/>
      <c r="P108" s="281"/>
      <c r="Q108" s="658"/>
      <c r="R108" s="924"/>
      <c r="S108" s="929"/>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1116" t="str">
        <f t="shared" si="20"/>
        <v>Véhicules usagésTotal Dépt. Usagés</v>
      </c>
      <c r="B109" s="38" t="s">
        <v>148</v>
      </c>
      <c r="C109" s="268" t="s">
        <v>153</v>
      </c>
      <c r="D109" s="269">
        <f>D97+D101</f>
        <v>0</v>
      </c>
      <c r="E109" s="270">
        <f>IF(D109&lt;=0,0,F109/D109)</f>
        <v>0</v>
      </c>
      <c r="F109" s="1140">
        <f>F97+F106+F101+F99</f>
        <v>0</v>
      </c>
      <c r="G109" s="272"/>
      <c r="H109" s="270"/>
      <c r="I109" s="1140"/>
      <c r="J109" s="272">
        <f>J97+J101</f>
        <v>5</v>
      </c>
      <c r="K109" s="269">
        <f>IF(J109&lt;=0,0,L109/J109)</f>
        <v>10890.984000000148</v>
      </c>
      <c r="L109" s="1140">
        <f>L97+L106+L101+L99</f>
        <v>54454.92000000074</v>
      </c>
      <c r="M109" s="272">
        <f>J109-D109</f>
        <v>5</v>
      </c>
      <c r="N109" s="1140">
        <f>L109-F109</f>
        <v>54454.92000000074</v>
      </c>
      <c r="O109" s="272">
        <f>O97+O101</f>
        <v>267</v>
      </c>
      <c r="P109" s="269">
        <f>IF(O109&lt;=0,0,Q109/O109)</f>
        <v>370.74715355805006</v>
      </c>
      <c r="Q109" s="1140">
        <f>Q97+Q106+Q101+Q99</f>
        <v>98989.489999999365</v>
      </c>
      <c r="R109" s="272">
        <f>J109-O109</f>
        <v>-262</v>
      </c>
      <c r="S109" s="1140">
        <f>L109-Q109</f>
        <v>-44534.569999998625</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1116" t="str">
        <f t="shared" si="20"/>
        <v>Véhicules usagés</v>
      </c>
      <c r="B110" s="38" t="s">
        <v>148</v>
      </c>
      <c r="C110" s="273"/>
      <c r="D110" s="274"/>
      <c r="E110" s="274"/>
      <c r="F110" s="275"/>
      <c r="G110" s="273"/>
      <c r="H110" s="274"/>
      <c r="I110" s="275"/>
      <c r="J110" s="273"/>
      <c r="K110" s="945"/>
      <c r="L110" s="960"/>
      <c r="M110" s="276" t="e">
        <f>M109/D109</f>
        <v>#DIV/0!</v>
      </c>
      <c r="N110" s="277" t="e">
        <f>N109/F109</f>
        <v>#DIV/0!</v>
      </c>
      <c r="O110" s="273"/>
      <c r="P110" s="945"/>
      <c r="Q110" s="960"/>
      <c r="R110" s="276">
        <f>O109/R109</f>
        <v>-1.0190839694656488</v>
      </c>
      <c r="S110" s="326">
        <f>IF(Q109=0,0,(S109/Q109))</f>
        <v>-0.44989190266561541</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1116" t="str">
        <f t="shared" si="20"/>
        <v>Véhicules usagés</v>
      </c>
      <c r="B111" s="38" t="s">
        <v>148</v>
      </c>
      <c r="C111" s="970"/>
      <c r="D111" s="11"/>
      <c r="E111" s="11"/>
      <c r="F111" s="1128"/>
      <c r="G111" s="970"/>
      <c r="H111" s="11"/>
      <c r="I111" s="1128"/>
      <c r="J111" s="970"/>
      <c r="K111" s="305"/>
      <c r="L111" s="1129"/>
      <c r="M111" s="928"/>
      <c r="N111" s="929"/>
      <c r="O111" s="970"/>
      <c r="P111" s="305"/>
      <c r="Q111" s="1129"/>
      <c r="R111" s="928"/>
      <c r="S111" s="1129"/>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1116" t="str">
        <f t="shared" si="20"/>
        <v>Véhicules usagésDEPENSES</v>
      </c>
      <c r="B112" s="38" t="s">
        <v>148</v>
      </c>
      <c r="C112" s="1141" t="s">
        <v>106</v>
      </c>
      <c r="D112" s="38"/>
      <c r="E112" s="36"/>
      <c r="F112" s="658"/>
      <c r="G112" s="681"/>
      <c r="H112" s="36"/>
      <c r="I112" s="658"/>
      <c r="J112" s="681"/>
      <c r="K112" s="364"/>
      <c r="L112" s="658"/>
      <c r="M112" s="681"/>
      <c r="N112" s="1134"/>
      <c r="O112" s="681"/>
      <c r="P112" s="364"/>
      <c r="Q112" s="658"/>
      <c r="R112" s="681"/>
      <c r="S112" s="65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1116" t="str">
        <f t="shared" si="20"/>
        <v>Véhicules usagésComm. vendeurs</v>
      </c>
      <c r="B113" s="38" t="s">
        <v>148</v>
      </c>
      <c r="C113" s="681" t="s">
        <v>107</v>
      </c>
      <c r="D113" s="327" t="e">
        <f>F113/(F98+F106)</f>
        <v>#DIV/0!</v>
      </c>
      <c r="E113" s="281" t="e">
        <f>F113/D$97</f>
        <v>#DIV/0!</v>
      </c>
      <c r="F113" s="244">
        <v>0</v>
      </c>
      <c r="G113" s="925" t="e">
        <f>I113/I98</f>
        <v>#DIV/0!</v>
      </c>
      <c r="H113" s="281" t="e">
        <f>I113/G$97</f>
        <v>#DIV/0!</v>
      </c>
      <c r="I113" s="244">
        <v>0</v>
      </c>
      <c r="J113" s="925" t="e">
        <f>L113/L98</f>
        <v>#DIV/0!</v>
      </c>
      <c r="K113" s="281">
        <f>IF($J$97=0,0,L113/(J$94+J$95))</f>
        <v>548.73487179487188</v>
      </c>
      <c r="L113" s="658">
        <v>42801.320000000007</v>
      </c>
      <c r="M113" s="681"/>
      <c r="N113" s="658">
        <f t="shared" ref="N113:N154" si="24">L113-F113</f>
        <v>42801.320000000007</v>
      </c>
      <c r="O113" s="925" t="e">
        <f>Q113/Q98</f>
        <v>#DIV/0!</v>
      </c>
      <c r="P113" s="281">
        <f>IF($J$97=0,0,Q113/(O$94+O$95))</f>
        <v>482.99239999999998</v>
      </c>
      <c r="Q113" s="658">
        <v>12074.81</v>
      </c>
      <c r="R113" s="681"/>
      <c r="S113" s="658">
        <f t="shared" ref="S113:S118" si="25">L113-Q113</f>
        <v>30726.510000000009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1116" t="str">
        <f t="shared" si="20"/>
        <v>Véhicules usagésComm. F&amp;I</v>
      </c>
      <c r="B114" s="38" t="s">
        <v>148</v>
      </c>
      <c r="C114" s="238" t="s">
        <v>108</v>
      </c>
      <c r="D114" s="1162" t="e">
        <f>F114/(F106+F20)</f>
        <v>#DIV/0!</v>
      </c>
      <c r="E114" s="966" t="e">
        <f>F114/D$97</f>
        <v>#DIV/0!</v>
      </c>
      <c r="F114" s="1118">
        <v>0</v>
      </c>
      <c r="G114" s="285" t="e">
        <f>I114/I99</f>
        <v>#DIV/0!</v>
      </c>
      <c r="H114" s="966" t="e">
        <f>I114/G$97</f>
        <v>#DIV/0!</v>
      </c>
      <c r="I114" s="1118">
        <v>0</v>
      </c>
      <c r="J114" s="285">
        <f>L114/L106</f>
        <v>0.29662394992293944</v>
      </c>
      <c r="K114" s="966">
        <f>IF($J$97=0,0,L114/(J$94+J$95))</f>
        <v>230.28769230769234</v>
      </c>
      <c r="L114" s="658">
        <v>17962.440000000002</v>
      </c>
      <c r="M114" s="238"/>
      <c r="N114" s="1120">
        <f t="shared" si="24"/>
        <v>17962.440000000002</v>
      </c>
      <c r="O114" s="285">
        <f>Q114/(Q106+Q20)</f>
        <v>0.15912761529371844</v>
      </c>
      <c r="P114" s="966">
        <f>IF($J$97=0,0,Q114/(O$94+O$95))</f>
        <v>140.10480000000004</v>
      </c>
      <c r="Q114" s="658">
        <v>3502.6200000000008</v>
      </c>
      <c r="R114" s="238"/>
      <c r="S114" s="1120">
        <f t="shared" si="25"/>
        <v>14459.820000000002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1116" t="str">
        <f t="shared" si="20"/>
        <v>Véhicules usagésFrais de livraison</v>
      </c>
      <c r="B115" s="38" t="s">
        <v>148</v>
      </c>
      <c r="C115" s="681" t="s">
        <v>109</v>
      </c>
      <c r="D115" s="287"/>
      <c r="E115" s="281" t="e">
        <f>F115/D$97</f>
        <v>#DIV/0!</v>
      </c>
      <c r="F115" s="244">
        <v>0</v>
      </c>
      <c r="G115" s="1143"/>
      <c r="H115" s="281" t="e">
        <f>I115/G$97</f>
        <v>#DIV/0!</v>
      </c>
      <c r="I115" s="244">
        <v>0</v>
      </c>
      <c r="J115" s="681"/>
      <c r="K115" s="281">
        <f>IF($J$97=0,0,L115/(J$94+J$95))</f>
        <v>-316.05525641025639</v>
      </c>
      <c r="L115" s="1138">
        <v>-24652.309999999998</v>
      </c>
      <c r="M115" s="681"/>
      <c r="N115" s="658">
        <f t="shared" si="24"/>
        <v>-24652.309999999998</v>
      </c>
      <c r="O115" s="681"/>
      <c r="P115" s="281">
        <f>IF($J$97=0,0,Q115/(O$94+O$95))</f>
        <v>240.15519999999998</v>
      </c>
      <c r="Q115" s="1138">
        <v>6003.8799999999992</v>
      </c>
      <c r="R115" s="681"/>
      <c r="S115" s="658">
        <f t="shared" si="25"/>
        <v>-30656.189999999995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1116" t="str">
        <f t="shared" si="20"/>
        <v>Véhicules usagésService gratuit 1</v>
      </c>
      <c r="B116" s="38" t="s">
        <v>148</v>
      </c>
      <c r="C116" s="681" t="s">
        <v>110</v>
      </c>
      <c r="D116" s="287"/>
      <c r="E116" s="281" t="e">
        <f t="shared" ref="E116:E122" si="26">F116/D$97</f>
        <v>#DIV/0!</v>
      </c>
      <c r="F116" s="244">
        <v>0</v>
      </c>
      <c r="G116" s="1143"/>
      <c r="H116" s="281" t="e">
        <f t="shared" ref="H116:H122" si="27">I116/G$97</f>
        <v>#DIV/0!</v>
      </c>
      <c r="I116" s="244">
        <v>0</v>
      </c>
      <c r="J116" s="681"/>
      <c r="K116" s="281">
        <f t="shared" ref="K116:K122" si="28">IF($J$97=0,0,L116/(J$94+J$95))</f>
        <v>98.78</v>
      </c>
      <c r="L116" s="658">
        <v>7704.84</v>
      </c>
      <c r="M116" s="681"/>
      <c r="N116" s="658">
        <f t="shared" si="24"/>
        <v>7704.84</v>
      </c>
      <c r="O116" s="681"/>
      <c r="P116" s="281">
        <f t="shared" ref="P116:P122" si="29">IF($J$97=0,0,Q116/(O$94+O$95))</f>
        <v>21.224800000000002</v>
      </c>
      <c r="Q116" s="658">
        <v>530.62</v>
      </c>
      <c r="R116" s="681"/>
      <c r="S116" s="658">
        <f t="shared" si="25"/>
        <v>7174.22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1116" t="str">
        <f t="shared" si="20"/>
        <v>Véhicules usagésEntretien stock</v>
      </c>
      <c r="B117" s="38" t="s">
        <v>148</v>
      </c>
      <c r="C117" s="238" t="s">
        <v>111</v>
      </c>
      <c r="D117" s="1146"/>
      <c r="E117" s="966" t="e">
        <f t="shared" si="26"/>
        <v>#DIV/0!</v>
      </c>
      <c r="F117" s="1118">
        <v>0</v>
      </c>
      <c r="G117" s="290"/>
      <c r="H117" s="966" t="e">
        <f t="shared" si="27"/>
        <v>#DIV/0!</v>
      </c>
      <c r="I117" s="1118">
        <v>0</v>
      </c>
      <c r="J117" s="238"/>
      <c r="K117" s="966">
        <f t="shared" si="28"/>
        <v>0</v>
      </c>
      <c r="L117" s="1120">
        <v>0</v>
      </c>
      <c r="M117" s="238"/>
      <c r="N117" s="1120">
        <f t="shared" si="24"/>
        <v>0</v>
      </c>
      <c r="O117" s="238"/>
      <c r="P117" s="966">
        <f t="shared" si="29"/>
        <v>0</v>
      </c>
      <c r="Q117" s="1120">
        <v>0</v>
      </c>
      <c r="R117" s="238"/>
      <c r="S117" s="1120">
        <f t="shared" si="2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1116" t="str">
        <f t="shared" si="20"/>
        <v>Véhicules usagésPublicité 1</v>
      </c>
      <c r="B118" s="38" t="s">
        <v>148</v>
      </c>
      <c r="C118" s="681" t="s">
        <v>112</v>
      </c>
      <c r="D118" s="287"/>
      <c r="E118" s="281" t="e">
        <f t="shared" si="26"/>
        <v>#DIV/0!</v>
      </c>
      <c r="F118" s="244">
        <v>0</v>
      </c>
      <c r="G118" s="1143"/>
      <c r="H118" s="281" t="e">
        <f t="shared" si="27"/>
        <v>#DIV/0!</v>
      </c>
      <c r="I118" s="244">
        <v>0</v>
      </c>
      <c r="J118" s="681"/>
      <c r="K118" s="281">
        <f t="shared" si="28"/>
        <v>340.82782051282055</v>
      </c>
      <c r="L118" s="658">
        <v>26584.570000000003</v>
      </c>
      <c r="M118" s="681"/>
      <c r="N118" s="658">
        <f t="shared" si="24"/>
        <v>26584.570000000003</v>
      </c>
      <c r="O118" s="681"/>
      <c r="P118" s="281">
        <f t="shared" si="29"/>
        <v>217.38840000000008</v>
      </c>
      <c r="Q118" s="658">
        <v>5434.7100000000019</v>
      </c>
      <c r="R118" s="681"/>
      <c r="S118" s="658">
        <f t="shared" si="25"/>
        <v>21149.86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1116" t="str">
        <f t="shared" si="20"/>
        <v>Véhicules usagésIntérêt de gros</v>
      </c>
      <c r="B119" s="38" t="s">
        <v>148</v>
      </c>
      <c r="C119" s="681" t="s">
        <v>113</v>
      </c>
      <c r="D119" s="287"/>
      <c r="E119" s="281" t="e">
        <f t="shared" si="26"/>
        <v>#DIV/0!</v>
      </c>
      <c r="F119" s="244">
        <v>0</v>
      </c>
      <c r="G119" s="1143"/>
      <c r="H119" s="281" t="e">
        <f t="shared" si="27"/>
        <v>#DIV/0!</v>
      </c>
      <c r="I119" s="244">
        <v>0</v>
      </c>
      <c r="J119" s="681"/>
      <c r="K119" s="281">
        <f t="shared" si="28"/>
        <v>611.48923076923086</v>
      </c>
      <c r="L119" s="658">
        <v>47696.160000000003</v>
      </c>
      <c r="M119" s="681"/>
      <c r="N119" s="658">
        <f t="shared" si="24"/>
        <v>47696.160000000003</v>
      </c>
      <c r="O119" s="681"/>
      <c r="P119" s="281">
        <f t="shared" si="29"/>
        <v>3248.7256000000007</v>
      </c>
      <c r="Q119" s="658">
        <v>81218.140000000014</v>
      </c>
      <c r="R119" s="681"/>
      <c r="S119" s="658">
        <f>L119-Q119</f>
        <v>-33521.98000000001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1116" t="str">
        <f t="shared" si="20"/>
        <v>Véhicules usagésCrédit Intérêts Floor Plan</v>
      </c>
      <c r="B120" s="38" t="s">
        <v>148</v>
      </c>
      <c r="C120" s="681" t="s">
        <v>3134</v>
      </c>
      <c r="D120" s="287"/>
      <c r="E120" s="281" t="e">
        <f t="shared" si="26"/>
        <v>#DIV/0!</v>
      </c>
      <c r="F120" s="244">
        <v>0</v>
      </c>
      <c r="G120" s="1143"/>
      <c r="H120" s="281" t="e">
        <f t="shared" si="27"/>
        <v>#DIV/0!</v>
      </c>
      <c r="I120" s="244">
        <v>0</v>
      </c>
      <c r="J120" s="681"/>
      <c r="K120" s="281">
        <f t="shared" si="28"/>
        <v>0</v>
      </c>
      <c r="L120" s="658">
        <v>0</v>
      </c>
      <c r="M120" s="681"/>
      <c r="N120" s="658">
        <f t="shared" si="24"/>
        <v>0</v>
      </c>
      <c r="O120" s="681"/>
      <c r="P120" s="281">
        <f t="shared" si="29"/>
        <v>0</v>
      </c>
      <c r="Q120" s="658">
        <v>0</v>
      </c>
      <c r="R120" s="681"/>
      <c r="S120" s="658">
        <f>L120-Q120</f>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1116" t="str">
        <f t="shared" si="20"/>
        <v>Véhicules usagésCrédit Boni TD</v>
      </c>
      <c r="B121" s="38" t="s">
        <v>148</v>
      </c>
      <c r="C121" s="681" t="s">
        <v>3135</v>
      </c>
      <c r="D121" s="287"/>
      <c r="E121" s="281" t="e">
        <f t="shared" si="26"/>
        <v>#DIV/0!</v>
      </c>
      <c r="F121" s="244">
        <v>0</v>
      </c>
      <c r="G121" s="1143"/>
      <c r="H121" s="281" t="e">
        <f t="shared" si="27"/>
        <v>#DIV/0!</v>
      </c>
      <c r="I121" s="244">
        <v>0</v>
      </c>
      <c r="J121" s="681"/>
      <c r="K121" s="281">
        <f t="shared" si="28"/>
        <v>-207.35435897435897</v>
      </c>
      <c r="L121" s="658">
        <v>-16173.64</v>
      </c>
      <c r="M121" s="681"/>
      <c r="N121" s="658">
        <f t="shared" si="24"/>
        <v>-16173.64</v>
      </c>
      <c r="O121" s="681"/>
      <c r="P121" s="281">
        <f t="shared" si="29"/>
        <v>0</v>
      </c>
      <c r="Q121" s="658">
        <v>0</v>
      </c>
      <c r="R121" s="681"/>
      <c r="S121" s="658">
        <f>L121-Q121</f>
        <v>-16173.64</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1116" t="str">
        <f t="shared" si="20"/>
        <v>Véhicules usagés[...]</v>
      </c>
      <c r="B122" s="38" t="s">
        <v>148</v>
      </c>
      <c r="C122" s="681" t="s">
        <v>55</v>
      </c>
      <c r="D122" s="287"/>
      <c r="E122" s="281" t="e">
        <f t="shared" si="26"/>
        <v>#DIV/0!</v>
      </c>
      <c r="F122" s="244">
        <v>0</v>
      </c>
      <c r="G122" s="1143"/>
      <c r="H122" s="281" t="e">
        <f t="shared" si="27"/>
        <v>#DIV/0!</v>
      </c>
      <c r="I122" s="244">
        <v>0</v>
      </c>
      <c r="J122" s="681"/>
      <c r="K122" s="281">
        <f t="shared" si="28"/>
        <v>0</v>
      </c>
      <c r="L122" s="967">
        <v>0</v>
      </c>
      <c r="M122" s="681"/>
      <c r="N122" s="658">
        <f t="shared" si="24"/>
        <v>0</v>
      </c>
      <c r="O122" s="681"/>
      <c r="P122" s="281">
        <f t="shared" si="29"/>
        <v>0</v>
      </c>
      <c r="Q122" s="967">
        <v>0</v>
      </c>
      <c r="R122" s="681"/>
      <c r="S122" s="658">
        <f t="shared" ref="S122:S127" si="30">L122-Q122</f>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1116" t="str">
        <f t="shared" si="20"/>
        <v>Véhicules usagésTOTAL VARIABLES</v>
      </c>
      <c r="B123" s="38" t="s">
        <v>148</v>
      </c>
      <c r="C123" s="291" t="s">
        <v>114</v>
      </c>
      <c r="D123" s="1147" t="s">
        <v>115</v>
      </c>
      <c r="E123" s="1148" t="e">
        <f>F123/F$108</f>
        <v>#DIV/0!</v>
      </c>
      <c r="F123" s="1149">
        <f>SUM(F113:F122)</f>
        <v>0</v>
      </c>
      <c r="G123" s="295" t="s">
        <v>115</v>
      </c>
      <c r="H123" s="1148" t="e">
        <f>I123/I$108</f>
        <v>#DIV/0!</v>
      </c>
      <c r="I123" s="1149">
        <f>SUM(I113:I122)</f>
        <v>0</v>
      </c>
      <c r="J123" s="295" t="s">
        <v>115</v>
      </c>
      <c r="K123" s="1148" t="e">
        <f>L123/L$108</f>
        <v>#DIV/0!</v>
      </c>
      <c r="L123" s="1149">
        <f>SUM(L113:L122)</f>
        <v>101923.38000000002</v>
      </c>
      <c r="M123" s="296"/>
      <c r="N123" s="1149">
        <f t="shared" si="24"/>
        <v>101923.38000000002</v>
      </c>
      <c r="O123" s="295" t="s">
        <v>115</v>
      </c>
      <c r="P123" s="1148" t="e">
        <f>Q123/Q$108</f>
        <v>#DIV/0!</v>
      </c>
      <c r="Q123" s="1149">
        <f>SUM(Q113:Q122)</f>
        <v>108764.78000000001</v>
      </c>
      <c r="R123" s="297"/>
      <c r="S123" s="1149">
        <f t="shared" si="30"/>
        <v>-6841.3999999999942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1116" t="str">
        <f t="shared" si="20"/>
        <v>Véhicules usagésSalaires cadres</v>
      </c>
      <c r="B124" s="38" t="s">
        <v>148</v>
      </c>
      <c r="C124" s="992" t="s">
        <v>116</v>
      </c>
      <c r="D124" s="38"/>
      <c r="E124" s="38"/>
      <c r="F124" s="244">
        <v>0</v>
      </c>
      <c r="G124" s="681"/>
      <c r="H124" s="38"/>
      <c r="I124" s="244">
        <v>0</v>
      </c>
      <c r="J124" s="681"/>
      <c r="K124" s="38"/>
      <c r="L124" s="658">
        <v>27751.929999999997</v>
      </c>
      <c r="M124" s="681"/>
      <c r="N124" s="658">
        <f t="shared" si="24"/>
        <v>27751.929999999997</v>
      </c>
      <c r="O124" s="681"/>
      <c r="P124" s="38"/>
      <c r="Q124" s="658">
        <v>22043.019999999997</v>
      </c>
      <c r="R124" s="681"/>
      <c r="S124" s="658">
        <f t="shared" si="30"/>
        <v>5708.91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1116" t="str">
        <f t="shared" si="20"/>
        <v>Véhicules usagésSalaires commis</v>
      </c>
      <c r="B125" s="38" t="s">
        <v>148</v>
      </c>
      <c r="C125" s="299" t="s">
        <v>117</v>
      </c>
      <c r="D125" s="287"/>
      <c r="E125" s="38"/>
      <c r="F125" s="1118">
        <v>0</v>
      </c>
      <c r="G125" s="1143"/>
      <c r="H125" s="38"/>
      <c r="I125" s="1118">
        <v>0</v>
      </c>
      <c r="J125" s="681"/>
      <c r="K125" s="38"/>
      <c r="L125" s="658">
        <v>9442.24</v>
      </c>
      <c r="M125" s="681"/>
      <c r="N125" s="658">
        <f t="shared" si="24"/>
        <v>9442.24</v>
      </c>
      <c r="O125" s="681"/>
      <c r="P125" s="38"/>
      <c r="Q125" s="658">
        <v>17855.14</v>
      </c>
      <c r="R125" s="681"/>
      <c r="S125" s="658">
        <f t="shared" si="30"/>
        <v>-8412.9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1116" t="str">
        <f t="shared" si="20"/>
        <v>Véhicules usagésSalaires autres</v>
      </c>
      <c r="B126" s="38" t="s">
        <v>148</v>
      </c>
      <c r="C126" s="992" t="s">
        <v>118</v>
      </c>
      <c r="D126" s="300"/>
      <c r="E126" s="301"/>
      <c r="F126" s="244">
        <v>0</v>
      </c>
      <c r="G126" s="1150"/>
      <c r="H126" s="301"/>
      <c r="I126" s="244">
        <v>0</v>
      </c>
      <c r="J126" s="1113"/>
      <c r="K126" s="301"/>
      <c r="L126" s="1138">
        <v>-123943.13999999998</v>
      </c>
      <c r="M126" s="1113"/>
      <c r="N126" s="1138">
        <f t="shared" si="24"/>
        <v>-123943.13999999998</v>
      </c>
      <c r="O126" s="1113"/>
      <c r="P126" s="301"/>
      <c r="Q126" s="1138">
        <v>7431.1</v>
      </c>
      <c r="R126" s="1113"/>
      <c r="S126" s="1138">
        <f t="shared" si="30"/>
        <v>-131374.24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1116" t="str">
        <f t="shared" si="20"/>
        <v>Véhicules usagésSalaires spécialistes</v>
      </c>
      <c r="B127" s="38" t="s">
        <v>148</v>
      </c>
      <c r="C127" s="992" t="s">
        <v>119</v>
      </c>
      <c r="D127" s="287"/>
      <c r="E127" s="38"/>
      <c r="F127" s="244">
        <v>0</v>
      </c>
      <c r="G127" s="1143"/>
      <c r="H127" s="38"/>
      <c r="I127" s="244">
        <v>0</v>
      </c>
      <c r="J127" s="681"/>
      <c r="K127" s="38"/>
      <c r="L127" s="658">
        <v>0</v>
      </c>
      <c r="M127" s="681"/>
      <c r="N127" s="658">
        <f t="shared" si="24"/>
        <v>0</v>
      </c>
      <c r="O127" s="681"/>
      <c r="P127" s="38"/>
      <c r="Q127" s="658">
        <v>0</v>
      </c>
      <c r="R127" s="681"/>
      <c r="S127" s="658">
        <f t="shared" si="30"/>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1116" t="str">
        <f t="shared" si="20"/>
        <v>Véhicules usagés[...]</v>
      </c>
      <c r="B128" s="38" t="s">
        <v>148</v>
      </c>
      <c r="C128" s="992" t="s">
        <v>55</v>
      </c>
      <c r="D128" s="287"/>
      <c r="E128" s="38"/>
      <c r="F128" s="244">
        <v>0</v>
      </c>
      <c r="G128" s="1143"/>
      <c r="H128" s="38"/>
      <c r="I128" s="244">
        <v>0</v>
      </c>
      <c r="J128" s="681"/>
      <c r="K128" s="38"/>
      <c r="L128" s="658">
        <v>0</v>
      </c>
      <c r="M128" s="681"/>
      <c r="N128" s="658">
        <f t="shared" si="24"/>
        <v>0</v>
      </c>
      <c r="O128" s="681"/>
      <c r="P128" s="38"/>
      <c r="Q128" s="658">
        <v>0</v>
      </c>
      <c r="R128" s="681"/>
      <c r="S128" s="658">
        <f>L128-Q128</f>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1116" t="str">
        <f t="shared" si="20"/>
        <v>Véhicules usagés[...]</v>
      </c>
      <c r="B129" s="38" t="s">
        <v>148</v>
      </c>
      <c r="C129" s="992" t="s">
        <v>55</v>
      </c>
      <c r="D129" s="287"/>
      <c r="E129" s="38"/>
      <c r="F129" s="244">
        <v>0</v>
      </c>
      <c r="G129" s="1143"/>
      <c r="H129" s="38"/>
      <c r="I129" s="244">
        <v>0</v>
      </c>
      <c r="J129" s="681"/>
      <c r="K129" s="38"/>
      <c r="L129" s="658">
        <v>0</v>
      </c>
      <c r="M129" s="681"/>
      <c r="N129" s="658">
        <f t="shared" si="24"/>
        <v>0</v>
      </c>
      <c r="O129" s="681"/>
      <c r="P129" s="38"/>
      <c r="Q129" s="658">
        <v>0</v>
      </c>
      <c r="R129" s="681"/>
      <c r="S129" s="658">
        <f>L129-Q129</f>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1116" t="str">
        <f t="shared" si="20"/>
        <v>Véhicules usagés[...]</v>
      </c>
      <c r="B130" s="38" t="s">
        <v>148</v>
      </c>
      <c r="C130" s="992" t="s">
        <v>55</v>
      </c>
      <c r="D130" s="287"/>
      <c r="E130" s="38"/>
      <c r="F130" s="244">
        <v>0</v>
      </c>
      <c r="G130" s="1143"/>
      <c r="H130" s="38"/>
      <c r="I130" s="244">
        <v>0</v>
      </c>
      <c r="J130" s="681"/>
      <c r="K130" s="38"/>
      <c r="L130" s="658">
        <v>0</v>
      </c>
      <c r="M130" s="681"/>
      <c r="N130" s="658">
        <f t="shared" si="24"/>
        <v>0</v>
      </c>
      <c r="O130" s="681"/>
      <c r="P130" s="38"/>
      <c r="Q130" s="658">
        <v>0</v>
      </c>
      <c r="R130" s="681"/>
      <c r="S130" s="658">
        <f>L130-Q130</f>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1116" t="str">
        <f t="shared" si="20"/>
        <v>Véhicules usagésSalaires en absences</v>
      </c>
      <c r="B131" s="38" t="s">
        <v>148</v>
      </c>
      <c r="C131" s="299" t="s">
        <v>120</v>
      </c>
      <c r="D131" s="287"/>
      <c r="E131" s="38"/>
      <c r="F131" s="244">
        <v>0</v>
      </c>
      <c r="G131" s="1143"/>
      <c r="H131" s="38"/>
      <c r="I131" s="244">
        <v>0</v>
      </c>
      <c r="J131" s="681"/>
      <c r="K131" s="38"/>
      <c r="L131" s="658">
        <v>14700.939999999999</v>
      </c>
      <c r="M131" s="681"/>
      <c r="N131" s="658">
        <f t="shared" si="24"/>
        <v>14700.939999999999</v>
      </c>
      <c r="O131" s="681"/>
      <c r="P131" s="38"/>
      <c r="Q131" s="658">
        <v>3573.27</v>
      </c>
      <c r="R131" s="681"/>
      <c r="S131" s="658">
        <f>L131-Q131</f>
        <v>11127.669999999998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1116" t="str">
        <f t="shared" si="20"/>
        <v>Véhicules usagésDéduction à la source</v>
      </c>
      <c r="B132" s="38" t="s">
        <v>148</v>
      </c>
      <c r="C132" s="992" t="s">
        <v>121</v>
      </c>
      <c r="D132" s="300"/>
      <c r="E132" s="301"/>
      <c r="F132" s="261">
        <v>0</v>
      </c>
      <c r="G132" s="1150"/>
      <c r="H132" s="301"/>
      <c r="I132" s="261">
        <v>0</v>
      </c>
      <c r="J132" s="1113"/>
      <c r="K132" s="301"/>
      <c r="L132" s="1138">
        <v>13391.9</v>
      </c>
      <c r="M132" s="1113"/>
      <c r="N132" s="1138">
        <f t="shared" si="24"/>
        <v>13391.9</v>
      </c>
      <c r="O132" s="1113"/>
      <c r="P132" s="301"/>
      <c r="Q132" s="1138">
        <v>7268.31</v>
      </c>
      <c r="R132" s="1113"/>
      <c r="S132" s="1138">
        <f t="shared" ref="S132:S149" si="31">L132-Q132</f>
        <v>6123.5899999999992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1116" t="str">
        <f t="shared" si="20"/>
        <v>Véhicules usagésBénéfices marginaux</v>
      </c>
      <c r="B133" s="38" t="s">
        <v>148</v>
      </c>
      <c r="C133" s="992" t="s">
        <v>122</v>
      </c>
      <c r="D133" s="287"/>
      <c r="E133" s="38"/>
      <c r="F133" s="244">
        <v>0</v>
      </c>
      <c r="G133" s="1143"/>
      <c r="H133" s="38"/>
      <c r="I133" s="244">
        <v>0</v>
      </c>
      <c r="J133" s="681"/>
      <c r="K133" s="38"/>
      <c r="L133" s="658">
        <v>3610.51</v>
      </c>
      <c r="M133" s="681"/>
      <c r="N133" s="658">
        <f t="shared" si="24"/>
        <v>3610.51</v>
      </c>
      <c r="O133" s="681"/>
      <c r="P133" s="38"/>
      <c r="Q133" s="658">
        <v>7609.46</v>
      </c>
      <c r="R133" s="681"/>
      <c r="S133" s="658">
        <f t="shared" si="31"/>
        <v>-3998.95</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1116" t="str">
        <f t="shared" si="20"/>
        <v>Véhicules usagésCsst</v>
      </c>
      <c r="B134" s="38" t="s">
        <v>148</v>
      </c>
      <c r="C134" s="992" t="s">
        <v>123</v>
      </c>
      <c r="D134" s="287"/>
      <c r="E134" s="38"/>
      <c r="F134" s="244">
        <v>0</v>
      </c>
      <c r="G134" s="1143"/>
      <c r="H134" s="38"/>
      <c r="I134" s="244">
        <v>0</v>
      </c>
      <c r="J134" s="681"/>
      <c r="K134" s="38"/>
      <c r="L134" s="658">
        <v>5682.51</v>
      </c>
      <c r="M134" s="681"/>
      <c r="N134" s="658">
        <f t="shared" si="24"/>
        <v>5682.51</v>
      </c>
      <c r="O134" s="681"/>
      <c r="P134" s="38"/>
      <c r="Q134" s="658">
        <v>73.239999999999995</v>
      </c>
      <c r="R134" s="681"/>
      <c r="S134" s="658">
        <f t="shared" si="31"/>
        <v>5609.27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1116" t="str">
        <f t="shared" si="20"/>
        <v>Véhicules usagés[...]</v>
      </c>
      <c r="B135" s="38" t="s">
        <v>148</v>
      </c>
      <c r="C135" s="681" t="s">
        <v>55</v>
      </c>
      <c r="D135" s="1146"/>
      <c r="E135" s="1151"/>
      <c r="F135" s="244">
        <v>0</v>
      </c>
      <c r="G135" s="290"/>
      <c r="H135" s="1151"/>
      <c r="I135" s="244">
        <v>0</v>
      </c>
      <c r="J135" s="238"/>
      <c r="K135" s="1151"/>
      <c r="L135" s="658">
        <v>0</v>
      </c>
      <c r="M135" s="238"/>
      <c r="N135" s="1120">
        <f t="shared" si="24"/>
        <v>0</v>
      </c>
      <c r="O135" s="238"/>
      <c r="P135" s="1151"/>
      <c r="Q135" s="658">
        <v>0</v>
      </c>
      <c r="R135" s="238"/>
      <c r="S135" s="1120">
        <f t="shared" si="31"/>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1116" t="str">
        <f t="shared" si="20"/>
        <v>Véhicules usagésTOTAL PERSONNEL</v>
      </c>
      <c r="B136" s="38" t="s">
        <v>148</v>
      </c>
      <c r="C136" s="291" t="s">
        <v>124</v>
      </c>
      <c r="D136" s="1147" t="s">
        <v>115</v>
      </c>
      <c r="E136" s="1148" t="e">
        <f>F136/F$108</f>
        <v>#DIV/0!</v>
      </c>
      <c r="F136" s="1149">
        <f>+SUM(F124:F135)</f>
        <v>0</v>
      </c>
      <c r="G136" s="295" t="s">
        <v>115</v>
      </c>
      <c r="H136" s="1148" t="e">
        <f>I136/I$108</f>
        <v>#DIV/0!</v>
      </c>
      <c r="I136" s="1149">
        <f>+SUM(I124:I135)</f>
        <v>0</v>
      </c>
      <c r="J136" s="295" t="s">
        <v>115</v>
      </c>
      <c r="K136" s="1148" t="e">
        <f>L136/L$108</f>
        <v>#DIV/0!</v>
      </c>
      <c r="L136" s="1149">
        <f>SUM(L124:L135)</f>
        <v>-49363.109999999979</v>
      </c>
      <c r="M136" s="296"/>
      <c r="N136" s="1149">
        <f t="shared" si="24"/>
        <v>-49363.109999999979</v>
      </c>
      <c r="O136" s="295" t="s">
        <v>115</v>
      </c>
      <c r="P136" s="1148" t="e">
        <f>Q136/Q$108</f>
        <v>#DIV/0!</v>
      </c>
      <c r="Q136" s="1149">
        <f>SUM(Q124:Q135)</f>
        <v>65853.539999999994</v>
      </c>
      <c r="R136" s="297"/>
      <c r="S136" s="1149">
        <f t="shared" si="31"/>
        <v>-115216.64999999997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1116" t="str">
        <f t="shared" si="20"/>
        <v>Véhicules usagésPublicité 2</v>
      </c>
      <c r="B137" s="38" t="s">
        <v>148</v>
      </c>
      <c r="C137" s="681" t="s">
        <v>125</v>
      </c>
      <c r="D137" s="287"/>
      <c r="E137" s="38"/>
      <c r="F137" s="244">
        <v>0</v>
      </c>
      <c r="G137" s="1143"/>
      <c r="H137" s="38"/>
      <c r="I137" s="244">
        <v>0</v>
      </c>
      <c r="J137" s="681"/>
      <c r="K137" s="38"/>
      <c r="L137" s="658">
        <v>0</v>
      </c>
      <c r="M137" s="681"/>
      <c r="N137" s="658">
        <f t="shared" si="24"/>
        <v>0</v>
      </c>
      <c r="O137" s="681"/>
      <c r="P137" s="38"/>
      <c r="Q137" s="658">
        <v>0</v>
      </c>
      <c r="R137" s="681"/>
      <c r="S137" s="658">
        <f t="shared" si="31"/>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1116" t="str">
        <f t="shared" si="20"/>
        <v>Véhicules usagésService gratuit 2</v>
      </c>
      <c r="B138" s="38" t="s">
        <v>148</v>
      </c>
      <c r="C138" s="681" t="s">
        <v>126</v>
      </c>
      <c r="D138" s="287"/>
      <c r="E138" s="38"/>
      <c r="F138" s="244">
        <v>0</v>
      </c>
      <c r="G138" s="1143"/>
      <c r="H138" s="38"/>
      <c r="I138" s="244">
        <v>0</v>
      </c>
      <c r="J138" s="681"/>
      <c r="K138" s="38"/>
      <c r="L138" s="658">
        <v>0</v>
      </c>
      <c r="M138" s="681"/>
      <c r="N138" s="658">
        <f t="shared" si="24"/>
        <v>0</v>
      </c>
      <c r="O138" s="681"/>
      <c r="P138" s="38"/>
      <c r="Q138" s="658">
        <v>0</v>
      </c>
      <c r="R138" s="681"/>
      <c r="S138" s="658">
        <f t="shared" si="31"/>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1116" t="str">
        <f t="shared" si="20"/>
        <v>Véhicules usagésFrais véhicules de cie</v>
      </c>
      <c r="B139" s="38" t="s">
        <v>148</v>
      </c>
      <c r="C139" s="238" t="s">
        <v>127</v>
      </c>
      <c r="D139" s="1146"/>
      <c r="E139" s="1151"/>
      <c r="F139" s="1118">
        <v>0</v>
      </c>
      <c r="G139" s="290"/>
      <c r="H139" s="1151"/>
      <c r="I139" s="1118">
        <v>0</v>
      </c>
      <c r="J139" s="238"/>
      <c r="K139" s="1151"/>
      <c r="L139" s="1120">
        <v>12773.240000000002</v>
      </c>
      <c r="M139" s="238"/>
      <c r="N139" s="1120">
        <f t="shared" si="24"/>
        <v>12773.240000000002</v>
      </c>
      <c r="O139" s="238"/>
      <c r="P139" s="1151"/>
      <c r="Q139" s="1120">
        <v>7013.98</v>
      </c>
      <c r="R139" s="238"/>
      <c r="S139" s="1120">
        <f t="shared" si="31"/>
        <v>5759.260000000002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1116" t="str">
        <f t="shared" si="20"/>
        <v>Véhicules usagésInformatique</v>
      </c>
      <c r="B140" s="38" t="s">
        <v>148</v>
      </c>
      <c r="C140" s="681" t="s">
        <v>128</v>
      </c>
      <c r="D140" s="287"/>
      <c r="E140" s="38"/>
      <c r="F140" s="244">
        <v>0</v>
      </c>
      <c r="G140" s="1143"/>
      <c r="H140" s="38"/>
      <c r="I140" s="244">
        <v>0</v>
      </c>
      <c r="J140" s="681"/>
      <c r="K140" s="38"/>
      <c r="L140" s="658">
        <v>4316.24</v>
      </c>
      <c r="M140" s="681"/>
      <c r="N140" s="658">
        <f t="shared" si="24"/>
        <v>4316.24</v>
      </c>
      <c r="O140" s="681"/>
      <c r="P140" s="38"/>
      <c r="Q140" s="658">
        <v>6661.6299999999992</v>
      </c>
      <c r="R140" s="681"/>
      <c r="S140" s="658">
        <f t="shared" si="31"/>
        <v>-2345.3899999999994</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1116" t="str">
        <f t="shared" si="20"/>
        <v>Véhicules usagésFrais de déplacement</v>
      </c>
      <c r="B141" s="38" t="s">
        <v>148</v>
      </c>
      <c r="C141" s="681" t="s">
        <v>129</v>
      </c>
      <c r="D141" s="287"/>
      <c r="E141" s="38"/>
      <c r="F141" s="244">
        <v>0</v>
      </c>
      <c r="G141" s="1143"/>
      <c r="H141" s="38"/>
      <c r="I141" s="244">
        <v>0</v>
      </c>
      <c r="J141" s="681"/>
      <c r="K141" s="38"/>
      <c r="L141" s="658">
        <v>7668.76</v>
      </c>
      <c r="M141" s="681"/>
      <c r="N141" s="658">
        <f t="shared" si="24"/>
        <v>7668.76</v>
      </c>
      <c r="O141" s="681"/>
      <c r="P141" s="38"/>
      <c r="Q141" s="658">
        <v>11620.48</v>
      </c>
      <c r="R141" s="681"/>
      <c r="S141" s="658">
        <f t="shared" si="31"/>
        <v>-3951.7199999999993</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1116" t="str">
        <f t="shared" si="20"/>
        <v>Véhicules usagésServices extérieurs</v>
      </c>
      <c r="B142" s="38" t="s">
        <v>148</v>
      </c>
      <c r="C142" s="238" t="s">
        <v>130</v>
      </c>
      <c r="D142" s="1146"/>
      <c r="E142" s="1151"/>
      <c r="F142" s="1118">
        <v>0</v>
      </c>
      <c r="G142" s="290"/>
      <c r="H142" s="1151"/>
      <c r="I142" s="1118">
        <v>0</v>
      </c>
      <c r="J142" s="238"/>
      <c r="K142" s="1151"/>
      <c r="L142" s="1120">
        <v>11267.16</v>
      </c>
      <c r="M142" s="238"/>
      <c r="N142" s="1120">
        <f t="shared" si="24"/>
        <v>11267.16</v>
      </c>
      <c r="O142" s="238"/>
      <c r="P142" s="1151"/>
      <c r="Q142" s="1120">
        <v>11826.169999999998</v>
      </c>
      <c r="R142" s="238"/>
      <c r="S142" s="1120">
        <f t="shared" si="31"/>
        <v>-559.0099999999984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1116" t="str">
        <f t="shared" si="20"/>
        <v>Véhicules usagésFournitures autres</v>
      </c>
      <c r="B143" s="38" t="s">
        <v>148</v>
      </c>
      <c r="C143" s="681" t="s">
        <v>131</v>
      </c>
      <c r="D143" s="287"/>
      <c r="E143" s="38"/>
      <c r="F143" s="244">
        <v>0</v>
      </c>
      <c r="G143" s="1143"/>
      <c r="H143" s="38"/>
      <c r="I143" s="244">
        <v>0</v>
      </c>
      <c r="J143" s="681"/>
      <c r="K143" s="38"/>
      <c r="L143" s="658">
        <v>563.47</v>
      </c>
      <c r="M143" s="681"/>
      <c r="N143" s="658">
        <f t="shared" si="24"/>
        <v>563.47</v>
      </c>
      <c r="O143" s="681"/>
      <c r="P143" s="38"/>
      <c r="Q143" s="658">
        <v>587.75</v>
      </c>
      <c r="R143" s="681"/>
      <c r="S143" s="658">
        <f t="shared" si="31"/>
        <v>-24.279999999999973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1116" t="str">
        <f t="shared" si="20"/>
        <v>Véhicules usagésUniformes</v>
      </c>
      <c r="B144" s="38" t="s">
        <v>148</v>
      </c>
      <c r="C144" s="681" t="s">
        <v>132</v>
      </c>
      <c r="D144" s="287"/>
      <c r="E144" s="38"/>
      <c r="F144" s="244">
        <v>0</v>
      </c>
      <c r="G144" s="1143"/>
      <c r="H144" s="38"/>
      <c r="I144" s="244">
        <v>0</v>
      </c>
      <c r="J144" s="681"/>
      <c r="K144" s="38"/>
      <c r="L144" s="658">
        <v>0</v>
      </c>
      <c r="M144" s="681"/>
      <c r="N144" s="658">
        <f t="shared" si="24"/>
        <v>0</v>
      </c>
      <c r="O144" s="681"/>
      <c r="P144" s="38"/>
      <c r="Q144" s="658">
        <v>0</v>
      </c>
      <c r="R144" s="681"/>
      <c r="S144" s="658">
        <f t="shared" si="31"/>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1116" t="str">
        <f t="shared" si="20"/>
        <v>Véhicules usagésPapeterie</v>
      </c>
      <c r="B145" s="38" t="s">
        <v>148</v>
      </c>
      <c r="C145" s="681" t="s">
        <v>133</v>
      </c>
      <c r="D145" s="287"/>
      <c r="E145" s="38"/>
      <c r="F145" s="244">
        <v>0</v>
      </c>
      <c r="G145" s="1143"/>
      <c r="H145" s="38"/>
      <c r="I145" s="244">
        <v>0</v>
      </c>
      <c r="J145" s="681"/>
      <c r="K145" s="38"/>
      <c r="L145" s="658">
        <v>2350.7699999999995</v>
      </c>
      <c r="M145" s="681"/>
      <c r="N145" s="658">
        <f t="shared" si="24"/>
        <v>2350.7699999999995</v>
      </c>
      <c r="O145" s="681"/>
      <c r="P145" s="38"/>
      <c r="Q145" s="658">
        <v>2585.4900000000007</v>
      </c>
      <c r="R145" s="681"/>
      <c r="S145" s="658">
        <f t="shared" si="31"/>
        <v>-234.72000000000116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1116" t="str">
        <f t="shared" si="20"/>
        <v>Véhicules usagésTéléphone</v>
      </c>
      <c r="B146" s="38" t="s">
        <v>148</v>
      </c>
      <c r="C146" s="681" t="s">
        <v>134</v>
      </c>
      <c r="D146" s="287"/>
      <c r="E146" s="38"/>
      <c r="F146" s="244">
        <v>0</v>
      </c>
      <c r="G146" s="1143"/>
      <c r="H146" s="38"/>
      <c r="I146" s="244">
        <v>0</v>
      </c>
      <c r="J146" s="681"/>
      <c r="K146" s="38"/>
      <c r="L146" s="658">
        <v>1373.82</v>
      </c>
      <c r="M146" s="681"/>
      <c r="N146" s="658">
        <f t="shared" si="24"/>
        <v>1373.82</v>
      </c>
      <c r="O146" s="681"/>
      <c r="P146" s="38"/>
      <c r="Q146" s="658">
        <v>2195.3199999999997</v>
      </c>
      <c r="R146" s="681"/>
      <c r="S146" s="658">
        <f t="shared" si="31"/>
        <v>-821.49999999999977</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1116" t="str">
        <f t="shared" si="20"/>
        <v>Véhicules usagésFrais postaux</v>
      </c>
      <c r="B147" s="38" t="s">
        <v>148</v>
      </c>
      <c r="C147" s="681" t="s">
        <v>135</v>
      </c>
      <c r="D147" s="287"/>
      <c r="E147" s="38"/>
      <c r="F147" s="244">
        <v>0</v>
      </c>
      <c r="G147" s="1143"/>
      <c r="H147" s="38"/>
      <c r="I147" s="244">
        <v>0</v>
      </c>
      <c r="J147" s="681"/>
      <c r="K147" s="38"/>
      <c r="L147" s="658">
        <v>4043.0899999999997</v>
      </c>
      <c r="M147" s="681"/>
      <c r="N147" s="658">
        <f t="shared" si="24"/>
        <v>4043.0899999999997</v>
      </c>
      <c r="O147" s="681"/>
      <c r="P147" s="38"/>
      <c r="Q147" s="658">
        <v>2876.9600000000005</v>
      </c>
      <c r="R147" s="681"/>
      <c r="S147" s="658">
        <f t="shared" si="31"/>
        <v>1166.1299999999992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1116" t="str">
        <f t="shared" si="20"/>
        <v>Véhicules usagésDivers</v>
      </c>
      <c r="B148" s="38" t="s">
        <v>148</v>
      </c>
      <c r="C148" s="681" t="s">
        <v>136</v>
      </c>
      <c r="D148" s="287"/>
      <c r="E148" s="38"/>
      <c r="F148" s="244">
        <v>0</v>
      </c>
      <c r="G148" s="1143"/>
      <c r="H148" s="38"/>
      <c r="I148" s="244">
        <v>0</v>
      </c>
      <c r="J148" s="681"/>
      <c r="K148" s="38"/>
      <c r="L148" s="658">
        <v>6060.9000000000005</v>
      </c>
      <c r="M148" s="681"/>
      <c r="N148" s="658">
        <f t="shared" si="24"/>
        <v>6060.9000000000005</v>
      </c>
      <c r="O148" s="681"/>
      <c r="P148" s="38"/>
      <c r="Q148" s="658">
        <v>14133.490000000002</v>
      </c>
      <c r="R148" s="681"/>
      <c r="S148" s="658">
        <f t="shared" si="31"/>
        <v>-8072.5900000000011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1116" t="str">
        <f t="shared" si="20"/>
        <v>Véhicules usagésFormation</v>
      </c>
      <c r="B149" s="38" t="s">
        <v>148</v>
      </c>
      <c r="C149" s="681" t="s">
        <v>137</v>
      </c>
      <c r="D149" s="287"/>
      <c r="E149" s="38"/>
      <c r="F149" s="244">
        <v>0</v>
      </c>
      <c r="G149" s="1143"/>
      <c r="H149" s="38"/>
      <c r="I149" s="244">
        <v>0</v>
      </c>
      <c r="J149" s="681"/>
      <c r="K149" s="38"/>
      <c r="L149" s="658">
        <v>1054</v>
      </c>
      <c r="M149" s="681"/>
      <c r="N149" s="658">
        <f t="shared" si="24"/>
        <v>1054</v>
      </c>
      <c r="O149" s="681"/>
      <c r="P149" s="38"/>
      <c r="Q149" s="658">
        <v>0</v>
      </c>
      <c r="R149" s="681"/>
      <c r="S149" s="658">
        <f t="shared" si="31"/>
        <v>1054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1116" t="str">
        <f t="shared" si="20"/>
        <v>Véhicules usagésFrais bancaires</v>
      </c>
      <c r="B150" s="38" t="s">
        <v>148</v>
      </c>
      <c r="C150" s="681" t="s">
        <v>138</v>
      </c>
      <c r="D150" s="287"/>
      <c r="E150" s="38"/>
      <c r="F150" s="244">
        <v>0</v>
      </c>
      <c r="G150" s="1143"/>
      <c r="H150" s="38"/>
      <c r="I150" s="244">
        <v>0</v>
      </c>
      <c r="J150" s="681"/>
      <c r="K150" s="38"/>
      <c r="L150" s="658">
        <v>3762.71</v>
      </c>
      <c r="M150" s="681"/>
      <c r="N150" s="658">
        <f t="shared" si="24"/>
        <v>3762.71</v>
      </c>
      <c r="O150" s="681"/>
      <c r="P150" s="38"/>
      <c r="Q150" s="658">
        <v>666.59999999999991</v>
      </c>
      <c r="R150" s="681"/>
      <c r="S150" s="658">
        <f>L150-Q150</f>
        <v>3096.11</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1116" t="str">
        <f t="shared" si="20"/>
        <v>Véhicules usagés[...]</v>
      </c>
      <c r="B151" s="38" t="s">
        <v>148</v>
      </c>
      <c r="C151" s="681" t="s">
        <v>55</v>
      </c>
      <c r="D151" s="287"/>
      <c r="E151" s="38"/>
      <c r="F151" s="244">
        <v>0</v>
      </c>
      <c r="G151" s="1143"/>
      <c r="H151" s="38"/>
      <c r="I151" s="244">
        <v>0</v>
      </c>
      <c r="J151" s="681"/>
      <c r="K151" s="38"/>
      <c r="L151" s="658">
        <v>0</v>
      </c>
      <c r="M151" s="681"/>
      <c r="N151" s="658">
        <f t="shared" si="24"/>
        <v>0</v>
      </c>
      <c r="O151" s="681"/>
      <c r="P151" s="38"/>
      <c r="Q151" s="658">
        <v>0</v>
      </c>
      <c r="R151" s="681"/>
      <c r="S151" s="658">
        <f>L151-Q151</f>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1116" t="str">
        <f t="shared" si="20"/>
        <v>Véhicules usagés[...]</v>
      </c>
      <c r="B152" s="38" t="s">
        <v>148</v>
      </c>
      <c r="C152" s="681" t="s">
        <v>55</v>
      </c>
      <c r="D152" s="287"/>
      <c r="E152" s="38"/>
      <c r="F152" s="244">
        <v>0</v>
      </c>
      <c r="G152" s="1143"/>
      <c r="H152" s="38"/>
      <c r="I152" s="244">
        <v>0</v>
      </c>
      <c r="J152" s="681"/>
      <c r="K152" s="38"/>
      <c r="L152" s="658">
        <v>0</v>
      </c>
      <c r="M152" s="681"/>
      <c r="N152" s="658">
        <f t="shared" si="24"/>
        <v>0</v>
      </c>
      <c r="O152" s="681"/>
      <c r="P152" s="38"/>
      <c r="Q152" s="658">
        <v>0</v>
      </c>
      <c r="R152" s="681"/>
      <c r="S152" s="658">
        <f>L152-Q152</f>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1116" t="str">
        <f t="shared" si="20"/>
        <v>Véhicules usagés[...]</v>
      </c>
      <c r="B153" s="38" t="s">
        <v>148</v>
      </c>
      <c r="C153" s="681" t="s">
        <v>55</v>
      </c>
      <c r="D153" s="287"/>
      <c r="E153" s="38"/>
      <c r="F153" s="244">
        <v>0</v>
      </c>
      <c r="G153" s="1143"/>
      <c r="H153" s="38"/>
      <c r="I153" s="244">
        <v>0</v>
      </c>
      <c r="J153" s="681"/>
      <c r="K153" s="38"/>
      <c r="L153" s="658">
        <v>0</v>
      </c>
      <c r="M153" s="681"/>
      <c r="N153" s="658">
        <f t="shared" si="24"/>
        <v>0</v>
      </c>
      <c r="O153" s="681"/>
      <c r="P153" s="38"/>
      <c r="Q153" s="658">
        <v>0</v>
      </c>
      <c r="R153" s="681"/>
      <c r="S153" s="658">
        <f>L153-Q153</f>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1116" t="str">
        <f t="shared" si="20"/>
        <v>Véhicules usagésTOTAL SEMI-FIXES</v>
      </c>
      <c r="B154" s="38" t="s">
        <v>148</v>
      </c>
      <c r="C154" s="291" t="s">
        <v>139</v>
      </c>
      <c r="D154" s="1147" t="s">
        <v>115</v>
      </c>
      <c r="E154" s="1148" t="e">
        <f>F154/F$108</f>
        <v>#DIV/0!</v>
      </c>
      <c r="F154" s="1149">
        <f>+SUM(F137:F153)</f>
        <v>0</v>
      </c>
      <c r="G154" s="295" t="s">
        <v>115</v>
      </c>
      <c r="H154" s="1148" t="e">
        <f>I154/I$108</f>
        <v>#DIV/0!</v>
      </c>
      <c r="I154" s="1149">
        <f>+SUM(I137:I153)</f>
        <v>0</v>
      </c>
      <c r="J154" s="295" t="s">
        <v>115</v>
      </c>
      <c r="K154" s="1148" t="e">
        <f>L154/L$108</f>
        <v>#DIV/0!</v>
      </c>
      <c r="L154" s="1149">
        <f>+SUM(L137:L153)</f>
        <v>55234.16</v>
      </c>
      <c r="M154" s="296"/>
      <c r="N154" s="1149">
        <f t="shared" si="24"/>
        <v>55234.16</v>
      </c>
      <c r="O154" s="295" t="s">
        <v>115</v>
      </c>
      <c r="P154" s="1148" t="e">
        <f>Q154/Q$108</f>
        <v>#DIV/0!</v>
      </c>
      <c r="Q154" s="1149">
        <f>+SUM(Q137:Q153)</f>
        <v>60167.869999999988</v>
      </c>
      <c r="R154" s="297"/>
      <c r="S154" s="1149">
        <f>L154-Q154</f>
        <v>-4933.7099999999846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1116" t="str">
        <f t="shared" si="20"/>
        <v>Véhicules usagés</v>
      </c>
      <c r="B155" s="38" t="s">
        <v>148</v>
      </c>
      <c r="C155" s="238"/>
      <c r="D155" s="1146"/>
      <c r="E155" s="1151"/>
      <c r="F155" s="658"/>
      <c r="G155" s="290"/>
      <c r="H155" s="1151"/>
      <c r="I155" s="658"/>
      <c r="J155" s="238"/>
      <c r="K155" s="1151"/>
      <c r="L155" s="1120"/>
      <c r="M155" s="238"/>
      <c r="N155" s="1120"/>
      <c r="O155" s="238"/>
      <c r="P155" s="1151"/>
      <c r="Q155" s="1120"/>
      <c r="R155" s="238"/>
      <c r="S155" s="1120"/>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1116" t="str">
        <f t="shared" si="20"/>
        <v>Véhicules usagésTOTAL DES DÉPENSES</v>
      </c>
      <c r="B156" s="38" t="s">
        <v>148</v>
      </c>
      <c r="C156" s="291" t="s">
        <v>140</v>
      </c>
      <c r="D156" s="1147" t="s">
        <v>115</v>
      </c>
      <c r="E156" s="1148" t="e">
        <f>F156/F$108</f>
        <v>#DIV/0!</v>
      </c>
      <c r="F156" s="1149">
        <f>F123+F136+F154</f>
        <v>0</v>
      </c>
      <c r="G156" s="295" t="s">
        <v>115</v>
      </c>
      <c r="H156" s="1148" t="e">
        <f>I156/I$108</f>
        <v>#DIV/0!</v>
      </c>
      <c r="I156" s="1149">
        <f>I123+I136+I154</f>
        <v>0</v>
      </c>
      <c r="J156" s="295" t="s">
        <v>115</v>
      </c>
      <c r="K156" s="1148" t="e">
        <f>L156/L$108</f>
        <v>#DIV/0!</v>
      </c>
      <c r="L156" s="1149">
        <f>L123+L136+L154</f>
        <v>107794.43000000005</v>
      </c>
      <c r="M156" s="296"/>
      <c r="N156" s="1149">
        <f t="shared" ref="N156:N163" si="32">L156-F156</f>
        <v>107794.43000000005</v>
      </c>
      <c r="O156" s="295" t="s">
        <v>115</v>
      </c>
      <c r="P156" s="1148" t="e">
        <f>Q156/Q$108</f>
        <v>#DIV/0!</v>
      </c>
      <c r="Q156" s="1149">
        <f>Q123+Q136+Q154</f>
        <v>234786.19</v>
      </c>
      <c r="R156" s="297"/>
      <c r="S156" s="1149">
        <f t="shared" ref="S156:S163" si="33">L156-Q156</f>
        <v>-126991.75999999995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1116" t="str">
        <f t="shared" ref="A157:A159" si="34">+B157&amp;C157</f>
        <v>Véhicules usagésRBSC used</v>
      </c>
      <c r="B157" s="38" t="s">
        <v>148</v>
      </c>
      <c r="C157" s="1152" t="s">
        <v>3381</v>
      </c>
      <c r="D157" s="329"/>
      <c r="E157" s="330"/>
      <c r="F157" s="244">
        <v>0</v>
      </c>
      <c r="G157" s="1163"/>
      <c r="H157" s="330"/>
      <c r="I157" s="244">
        <v>0</v>
      </c>
      <c r="J157" s="1163"/>
      <c r="K157" s="330"/>
      <c r="L157" s="658">
        <v>0</v>
      </c>
      <c r="M157" s="681"/>
      <c r="N157" s="658">
        <f t="shared" si="32"/>
        <v>0</v>
      </c>
      <c r="O157" s="1163"/>
      <c r="P157" s="330"/>
      <c r="Q157" s="658">
        <v>0</v>
      </c>
      <c r="R157" s="681"/>
      <c r="S157" s="658">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1116" t="str">
        <f t="shared" si="34"/>
        <v>Véhicules usagésProgramme 360</v>
      </c>
      <c r="B158" s="38" t="s">
        <v>148</v>
      </c>
      <c r="C158" s="1152" t="s">
        <v>3382</v>
      </c>
      <c r="D158" s="329"/>
      <c r="E158" s="330"/>
      <c r="F158" s="244">
        <v>0</v>
      </c>
      <c r="G158" s="1163"/>
      <c r="H158" s="330"/>
      <c r="I158" s="244">
        <v>0</v>
      </c>
      <c r="J158" s="1163"/>
      <c r="K158" s="330"/>
      <c r="L158" s="658">
        <v>0</v>
      </c>
      <c r="M158" s="681"/>
      <c r="N158" s="658">
        <f t="shared" si="32"/>
        <v>0</v>
      </c>
      <c r="O158" s="1163"/>
      <c r="P158" s="330"/>
      <c r="Q158" s="658">
        <v>0</v>
      </c>
      <c r="R158" s="681"/>
      <c r="S158" s="658">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1116" t="str">
        <f t="shared" si="34"/>
        <v>Véhicules usagésProgramme used 3</v>
      </c>
      <c r="B159" s="38" t="s">
        <v>148</v>
      </c>
      <c r="C159" s="1152" t="s">
        <v>156</v>
      </c>
      <c r="D159" s="287"/>
      <c r="E159" s="38"/>
      <c r="F159" s="244">
        <v>0</v>
      </c>
      <c r="G159" s="1143"/>
      <c r="H159" s="38"/>
      <c r="I159" s="244">
        <v>0</v>
      </c>
      <c r="J159" s="681"/>
      <c r="K159" s="38"/>
      <c r="L159" s="658">
        <v>0</v>
      </c>
      <c r="M159" s="681"/>
      <c r="N159" s="658">
        <f t="shared" si="32"/>
        <v>0</v>
      </c>
      <c r="O159" s="681"/>
      <c r="P159" s="38"/>
      <c r="Q159" s="658">
        <v>0</v>
      </c>
      <c r="R159" s="681"/>
      <c r="S159" s="658">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1116" t="str">
        <f>+B160&amp;C160</f>
        <v>Véhicules usagésFrais administration</v>
      </c>
      <c r="B160" s="38" t="s">
        <v>148</v>
      </c>
      <c r="C160" s="681" t="s">
        <v>145</v>
      </c>
      <c r="D160" s="971"/>
      <c r="E160" s="307"/>
      <c r="F160" s="244">
        <v>0</v>
      </c>
      <c r="G160" s="1143"/>
      <c r="H160" s="38"/>
      <c r="I160" s="244">
        <v>0</v>
      </c>
      <c r="J160" s="1154"/>
      <c r="K160" s="307"/>
      <c r="L160" s="658">
        <v>20000</v>
      </c>
      <c r="M160" s="681"/>
      <c r="N160" s="658">
        <f t="shared" si="32"/>
        <v>20000</v>
      </c>
      <c r="O160" s="1154"/>
      <c r="P160" s="307"/>
      <c r="Q160" s="658">
        <v>0</v>
      </c>
      <c r="R160" s="681"/>
      <c r="S160" s="658">
        <f t="shared" si="33"/>
        <v>20000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1116" t="str">
        <f>+B161&amp;C161</f>
        <v>Véhicules usagés[...]</v>
      </c>
      <c r="B161" s="38" t="s">
        <v>148</v>
      </c>
      <c r="C161" s="681" t="s">
        <v>55</v>
      </c>
      <c r="D161" s="287"/>
      <c r="E161" s="38"/>
      <c r="F161" s="244">
        <v>0</v>
      </c>
      <c r="G161" s="1143"/>
      <c r="H161" s="38"/>
      <c r="I161" s="244">
        <v>0</v>
      </c>
      <c r="J161" s="681"/>
      <c r="K161" s="38"/>
      <c r="L161" s="658">
        <v>0</v>
      </c>
      <c r="M161" s="681"/>
      <c r="N161" s="658">
        <f t="shared" si="32"/>
        <v>0</v>
      </c>
      <c r="O161" s="681"/>
      <c r="P161" s="38"/>
      <c r="Q161" s="658">
        <v>0</v>
      </c>
      <c r="R161" s="681"/>
      <c r="S161" s="658">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1116" t="str">
        <f>+B162&amp;C162</f>
        <v>Véhicules usagés[...]</v>
      </c>
      <c r="B162" s="38" t="s">
        <v>148</v>
      </c>
      <c r="C162" s="681" t="s">
        <v>55</v>
      </c>
      <c r="D162" s="287"/>
      <c r="E162" s="38"/>
      <c r="F162" s="244">
        <v>0</v>
      </c>
      <c r="G162" s="1143"/>
      <c r="H162" s="38"/>
      <c r="I162" s="244">
        <v>0</v>
      </c>
      <c r="J162" s="681"/>
      <c r="K162" s="38"/>
      <c r="L162" s="658">
        <v>0</v>
      </c>
      <c r="M162" s="681"/>
      <c r="N162" s="658">
        <f t="shared" si="32"/>
        <v>0</v>
      </c>
      <c r="O162" s="681"/>
      <c r="P162" s="38"/>
      <c r="Q162" s="658">
        <v>0</v>
      </c>
      <c r="R162" s="681"/>
      <c r="S162" s="658">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1116" t="str">
        <f>+B163&amp;C163</f>
        <v>Véhicules usagés[...]</v>
      </c>
      <c r="B163" s="38" t="s">
        <v>148</v>
      </c>
      <c r="C163" s="238" t="s">
        <v>55</v>
      </c>
      <c r="D163" s="1146"/>
      <c r="E163" s="1151"/>
      <c r="F163" s="244">
        <v>0</v>
      </c>
      <c r="G163" s="1143"/>
      <c r="H163" s="38"/>
      <c r="I163" s="244">
        <v>0</v>
      </c>
      <c r="J163" s="681"/>
      <c r="K163" s="38"/>
      <c r="L163" s="658">
        <v>0</v>
      </c>
      <c r="M163" s="681"/>
      <c r="N163" s="658">
        <f t="shared" si="32"/>
        <v>0</v>
      </c>
      <c r="O163" s="681"/>
      <c r="P163" s="38"/>
      <c r="Q163" s="658">
        <v>0</v>
      </c>
      <c r="R163" s="681"/>
      <c r="S163" s="658">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1116"/>
      <c r="B164" s="38"/>
      <c r="C164" s="291" t="s">
        <v>146</v>
      </c>
      <c r="D164" s="1147"/>
      <c r="E164" s="1148"/>
      <c r="F164" s="1149">
        <f>+SUM(F157:F163)</f>
        <v>0</v>
      </c>
      <c r="G164" s="295"/>
      <c r="H164" s="1148"/>
      <c r="I164" s="1149">
        <f>+SUM(I157:I163)</f>
        <v>0</v>
      </c>
      <c r="J164" s="295"/>
      <c r="K164" s="1148"/>
      <c r="L164" s="1149">
        <f>+SUM(L157:L163)</f>
        <v>20000</v>
      </c>
      <c r="M164" s="296"/>
      <c r="N164" s="1149">
        <f>SUM(N157:N160)</f>
        <v>20000</v>
      </c>
      <c r="O164" s="295"/>
      <c r="P164" s="1148"/>
      <c r="Q164" s="1149">
        <f>+SUM(Q157:Q163)</f>
        <v>0</v>
      </c>
      <c r="R164" s="297"/>
      <c r="S164" s="1149">
        <f>+SUM(S157:S163)</f>
        <v>20000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681"/>
      <c r="D165" s="287"/>
      <c r="E165" s="38"/>
      <c r="F165" s="658"/>
      <c r="G165" s="1143"/>
      <c r="H165" s="38"/>
      <c r="I165" s="658"/>
      <c r="J165" s="681"/>
      <c r="K165" s="38"/>
      <c r="L165" s="658"/>
      <c r="M165" s="681"/>
      <c r="N165" s="658"/>
      <c r="O165" s="681"/>
      <c r="P165" s="38"/>
      <c r="Q165" s="658"/>
      <c r="R165" s="681"/>
      <c r="S165" s="658"/>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1116"/>
      <c r="B166" s="38"/>
      <c r="C166" s="953" t="s">
        <v>147</v>
      </c>
      <c r="D166" s="954"/>
      <c r="E166" s="955"/>
      <c r="F166" s="956">
        <f>F109-F156+F164</f>
        <v>0</v>
      </c>
      <c r="G166" s="957"/>
      <c r="H166" s="955"/>
      <c r="I166" s="956">
        <f>I109-I156+I164</f>
        <v>0</v>
      </c>
      <c r="J166" s="957"/>
      <c r="K166" s="955"/>
      <c r="L166" s="956">
        <f>L109-L156+L164</f>
        <v>-33339.509999999311</v>
      </c>
      <c r="M166" s="958"/>
      <c r="N166" s="956">
        <f>L166-F166</f>
        <v>-33339.509999999311</v>
      </c>
      <c r="O166" s="957"/>
      <c r="P166" s="955"/>
      <c r="Q166" s="956">
        <f>Q109-Q156+Q164</f>
        <v>-135796.70000000065</v>
      </c>
      <c r="R166" s="959"/>
      <c r="S166" s="956">
        <f>L166-Q166</f>
        <v>102457.19000000134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1105" t="str">
        <f>C1</f>
        <v>Ste-Marie Auto</v>
      </c>
      <c r="D169" s="911"/>
      <c r="E169" s="912"/>
      <c r="F169" s="911"/>
      <c r="G169" s="911"/>
      <c r="H169" s="913"/>
      <c r="I169" s="911"/>
      <c r="J169" s="913"/>
      <c r="K169" s="914" t="s">
        <v>1164</v>
      </c>
      <c r="L169" s="911"/>
      <c r="M169" s="911"/>
      <c r="N169" s="915"/>
      <c r="O169" s="1105"/>
      <c r="P169" s="1106"/>
      <c r="Q169" s="1105"/>
      <c r="R169" s="1106"/>
      <c r="S169" s="1107" t="str">
        <f>$S$1</f>
        <v>Réalisé  Q2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1111"/>
      <c r="D171" s="1244" t="s">
        <v>339</v>
      </c>
      <c r="E171" s="1244"/>
      <c r="F171" s="1250"/>
      <c r="G171" s="1247"/>
      <c r="H171" s="1244"/>
      <c r="I171" s="1250"/>
      <c r="J171" s="1247" t="s">
        <v>340</v>
      </c>
      <c r="K171" s="1244"/>
      <c r="L171" s="1250"/>
      <c r="M171" s="1247" t="s">
        <v>668</v>
      </c>
      <c r="N171" s="1250"/>
      <c r="O171" s="1247" t="s">
        <v>341</v>
      </c>
      <c r="P171" s="1244"/>
      <c r="Q171" s="1250"/>
      <c r="R171" s="1247" t="s">
        <v>670</v>
      </c>
      <c r="S171" s="125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681"/>
      <c r="D172" s="234" t="s">
        <v>89</v>
      </c>
      <c r="E172" s="235" t="s">
        <v>344</v>
      </c>
      <c r="F172" s="1114" t="s">
        <v>91</v>
      </c>
      <c r="G172" s="1115"/>
      <c r="H172" s="235"/>
      <c r="I172" s="1114"/>
      <c r="J172" s="1115" t="s">
        <v>671</v>
      </c>
      <c r="K172" s="235" t="s">
        <v>90</v>
      </c>
      <c r="L172" s="1114" t="s">
        <v>91</v>
      </c>
      <c r="M172" s="1115" t="s">
        <v>671</v>
      </c>
      <c r="N172" s="1114" t="s">
        <v>91</v>
      </c>
      <c r="O172" s="235" t="s">
        <v>89</v>
      </c>
      <c r="P172" s="235" t="s">
        <v>344</v>
      </c>
      <c r="Q172" s="1114" t="s">
        <v>91</v>
      </c>
      <c r="R172" s="1115" t="s">
        <v>671</v>
      </c>
      <c r="S172" s="1114"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1116" t="s">
        <v>405</v>
      </c>
      <c r="B173" s="38" t="s">
        <v>1163</v>
      </c>
      <c r="C173" s="238" t="s">
        <v>92</v>
      </c>
      <c r="D173" s="965"/>
      <c r="E173" s="965"/>
      <c r="F173" s="1118">
        <v>0</v>
      </c>
      <c r="G173" s="257"/>
      <c r="H173" s="965"/>
      <c r="I173" s="1118"/>
      <c r="J173" s="238"/>
      <c r="K173" s="966"/>
      <c r="L173" s="1120">
        <v>30954795.569999997</v>
      </c>
      <c r="M173" s="320"/>
      <c r="N173" s="1158"/>
      <c r="O173" s="238"/>
      <c r="P173" s="966"/>
      <c r="Q173" s="1120">
        <v>22874009.82</v>
      </c>
      <c r="R173" s="320"/>
      <c r="S173" s="1158"/>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1116"/>
      <c r="B174" s="38" t="s">
        <v>1163</v>
      </c>
      <c r="C174" s="681"/>
      <c r="D174" s="244"/>
      <c r="E174" s="244"/>
      <c r="F174" s="244"/>
      <c r="G174" s="736"/>
      <c r="H174" s="244"/>
      <c r="I174" s="244"/>
      <c r="J174" s="681"/>
      <c r="K174" s="281"/>
      <c r="L174" s="658"/>
      <c r="M174" s="919"/>
      <c r="N174" s="920"/>
      <c r="O174" s="681"/>
      <c r="P174" s="281"/>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1116" t="s">
        <v>406</v>
      </c>
      <c r="B175" s="38" t="s">
        <v>1163</v>
      </c>
      <c r="C175" s="681" t="s">
        <v>1165</v>
      </c>
      <c r="D175" s="244">
        <v>0</v>
      </c>
      <c r="E175" s="244">
        <v>0</v>
      </c>
      <c r="F175" s="244">
        <v>0</v>
      </c>
      <c r="G175" s="736"/>
      <c r="H175" s="244"/>
      <c r="I175" s="244"/>
      <c r="J175" s="736">
        <v>231</v>
      </c>
      <c r="K175" s="281">
        <v>2268.9312427824425</v>
      </c>
      <c r="L175" s="658">
        <v>203839.51999999909</v>
      </c>
      <c r="M175" s="736">
        <f>J175-D175</f>
        <v>231</v>
      </c>
      <c r="N175" s="967">
        <f>L175-F175</f>
        <v>203839.51999999909</v>
      </c>
      <c r="O175" s="736">
        <v>315</v>
      </c>
      <c r="P175" s="281">
        <v>5868.7422612301461</v>
      </c>
      <c r="Q175" s="658">
        <v>645523.08000000007</v>
      </c>
      <c r="R175" s="736">
        <f t="shared" ref="R175:R177" si="35">J175-O175</f>
        <v>-84</v>
      </c>
      <c r="S175" s="658">
        <f t="shared" ref="S175:S177" si="36">L175-Q175</f>
        <v>-441683.56000000099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1116"/>
      <c r="B176" s="38" t="s">
        <v>1163</v>
      </c>
      <c r="C176" s="930"/>
      <c r="D176" s="980"/>
      <c r="E176" s="980"/>
      <c r="F176" s="980"/>
      <c r="G176" s="981"/>
      <c r="H176" s="980"/>
      <c r="I176" s="980"/>
      <c r="J176" s="981"/>
      <c r="K176" s="982"/>
      <c r="L176" s="934"/>
      <c r="M176" s="981"/>
      <c r="N176" s="983"/>
      <c r="O176" s="981"/>
      <c r="P176" s="982"/>
      <c r="Q176" s="934"/>
      <c r="R176" s="989">
        <f>R175/O175</f>
        <v>-0.26666666666666666</v>
      </c>
      <c r="S176" s="986">
        <f>IF(Q175=0,0,(S175/Q175))</f>
        <v>-0.6842258219489239</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1116" t="s">
        <v>407</v>
      </c>
      <c r="B177" s="38" t="s">
        <v>1163</v>
      </c>
      <c r="C177" s="681" t="s">
        <v>1166</v>
      </c>
      <c r="D177" s="244">
        <v>0</v>
      </c>
      <c r="E177" s="244">
        <v>0</v>
      </c>
      <c r="F177" s="244">
        <v>0</v>
      </c>
      <c r="G177" s="736"/>
      <c r="H177" s="244"/>
      <c r="I177" s="244"/>
      <c r="J177" s="736">
        <v>262</v>
      </c>
      <c r="K177" s="281">
        <v>3979.9128912601955</v>
      </c>
      <c r="L177" s="658">
        <v>290117.29000000004</v>
      </c>
      <c r="M177" s="736">
        <f>J177-D177</f>
        <v>262</v>
      </c>
      <c r="N177" s="967">
        <f>L177-F177</f>
        <v>290117.29000000004</v>
      </c>
      <c r="O177" s="736">
        <v>0</v>
      </c>
      <c r="P177" s="281">
        <v>0</v>
      </c>
      <c r="Q177" s="658">
        <v>0</v>
      </c>
      <c r="R177" s="736">
        <f t="shared" si="35"/>
        <v>262</v>
      </c>
      <c r="S177" s="658">
        <f t="shared" si="36"/>
        <v>290117.29000000004</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1116"/>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1116" t="str">
        <f>B179&amp;C179</f>
        <v>Wholesale autresWholesale Luxueux</v>
      </c>
      <c r="B179" s="38" t="s">
        <v>1163</v>
      </c>
      <c r="C179" s="681" t="s">
        <v>1167</v>
      </c>
      <c r="D179" s="244" t="e">
        <v>#N/A</v>
      </c>
      <c r="E179" s="244" t="e">
        <v>#N/A</v>
      </c>
      <c r="F179" s="244" t="e">
        <v>#N/A</v>
      </c>
      <c r="G179" s="736"/>
      <c r="H179" s="244"/>
      <c r="I179" s="244"/>
      <c r="J179" s="736">
        <v>106</v>
      </c>
      <c r="K179" s="281">
        <v>6553.0808080808929</v>
      </c>
      <c r="L179" s="658">
        <v>212845.00000000186</v>
      </c>
      <c r="M179" s="736" t="e">
        <f>J179-D179</f>
        <v>#N/A</v>
      </c>
      <c r="N179" s="967" t="e">
        <f>L179-F179</f>
        <v>#N/A</v>
      </c>
      <c r="O179" s="736">
        <v>39</v>
      </c>
      <c r="P179" s="281">
        <v>9976.4565700482181</v>
      </c>
      <c r="Q179" s="658">
        <v>127306.36999999918</v>
      </c>
      <c r="R179" s="736">
        <f>J179-O179</f>
        <v>67</v>
      </c>
      <c r="S179" s="658">
        <f>L179-Q179</f>
        <v>85538.630000002682</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1116" t="s">
        <v>148</v>
      </c>
      <c r="B180" s="38" t="s">
        <v>1163</v>
      </c>
      <c r="C180" s="681"/>
      <c r="D180" s="38"/>
      <c r="E180" s="38"/>
      <c r="F180" s="658"/>
      <c r="G180" s="681"/>
      <c r="H180" s="325"/>
      <c r="I180" s="658"/>
      <c r="J180" s="681"/>
      <c r="K180" s="281"/>
      <c r="L180" s="658"/>
      <c r="M180" s="928"/>
      <c r="N180" s="929" t="e">
        <f>#REF!/#REF!</f>
        <v>#REF!</v>
      </c>
      <c r="O180" s="681"/>
      <c r="P180" s="281"/>
      <c r="Q180" s="658"/>
      <c r="R180" s="1164">
        <f>R179/O179</f>
        <v>1.7179487179487178</v>
      </c>
      <c r="S180" s="927">
        <f>IF(Q179=0,0,(S179/Q179))</f>
        <v>0.67191162547485439</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1116" t="s">
        <v>148</v>
      </c>
      <c r="B181" s="38" t="s">
        <v>1163</v>
      </c>
      <c r="C181" s="681"/>
      <c r="D181" s="38"/>
      <c r="E181" s="38"/>
      <c r="F181" s="658"/>
      <c r="G181" s="681"/>
      <c r="H181" s="325"/>
      <c r="I181" s="658"/>
      <c r="J181" s="681"/>
      <c r="K181" s="281"/>
      <c r="L181" s="658"/>
      <c r="M181" s="928"/>
      <c r="N181" s="929"/>
      <c r="O181" s="681"/>
      <c r="P181" s="281"/>
      <c r="Q181" s="658"/>
      <c r="R181" s="924"/>
      <c r="S181" s="1129"/>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1116" t="s">
        <v>413</v>
      </c>
      <c r="B182" s="38" t="s">
        <v>1163</v>
      </c>
      <c r="C182" s="268" t="s">
        <v>3144</v>
      </c>
      <c r="D182" s="269" t="e">
        <f>D175+D177+D179</f>
        <v>#N/A</v>
      </c>
      <c r="E182" s="270" t="e">
        <f>IF(D182&lt;=0,0,F182/D182)</f>
        <v>#N/A</v>
      </c>
      <c r="F182" s="1140" t="e">
        <f>#REF!+#REF!+#REF!</f>
        <v>#REF!</v>
      </c>
      <c r="G182" s="272"/>
      <c r="H182" s="270"/>
      <c r="I182" s="1140"/>
      <c r="J182" s="272">
        <f>J175+J177+J179</f>
        <v>599</v>
      </c>
      <c r="K182" s="269">
        <f>IF(J182&lt;=0,0,L182/J182)</f>
        <v>1179.9696327212037</v>
      </c>
      <c r="L182" s="1140">
        <f>L175+L179+L177</f>
        <v>706801.81000000099</v>
      </c>
      <c r="M182" s="272" t="e">
        <f>J182-D182</f>
        <v>#N/A</v>
      </c>
      <c r="N182" s="1140" t="e">
        <f>L182-F182</f>
        <v>#REF!</v>
      </c>
      <c r="O182" s="272">
        <f>O175+O177+O179</f>
        <v>354</v>
      </c>
      <c r="P182" s="269">
        <f>IF(O182&lt;=0,0,Q182/O182)</f>
        <v>2183.1340395480206</v>
      </c>
      <c r="Q182" s="1140">
        <f>Q175+Q179+Q177</f>
        <v>772829.44999999925</v>
      </c>
      <c r="R182" s="272">
        <f>J182-O182</f>
        <v>245</v>
      </c>
      <c r="S182" s="1140">
        <f>L182-Q182</f>
        <v>-66027.639999998268</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1116" t="s">
        <v>148</v>
      </c>
      <c r="B183" s="38" t="s">
        <v>1163</v>
      </c>
      <c r="C183" s="273"/>
      <c r="D183" s="274"/>
      <c r="E183" s="274"/>
      <c r="F183" s="275"/>
      <c r="G183" s="273"/>
      <c r="H183" s="274"/>
      <c r="I183" s="275"/>
      <c r="J183" s="273"/>
      <c r="K183" s="945"/>
      <c r="L183" s="960"/>
      <c r="M183" s="276"/>
      <c r="N183" s="277"/>
      <c r="O183" s="273"/>
      <c r="P183" s="945"/>
      <c r="Q183" s="960"/>
      <c r="R183" s="276">
        <f>O182/R182</f>
        <v>1.4448979591836735</v>
      </c>
      <c r="S183" s="326">
        <f>IF(Q182=0,0,(S182/Q182))</f>
        <v>-8.5436236934291684E-2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1116" t="s">
        <v>148</v>
      </c>
      <c r="B184" s="38" t="s">
        <v>1163</v>
      </c>
      <c r="C184" s="970"/>
      <c r="D184" s="11"/>
      <c r="E184" s="11"/>
      <c r="F184" s="1128"/>
      <c r="G184" s="970"/>
      <c r="H184" s="11"/>
      <c r="I184" s="1128"/>
      <c r="J184" s="970"/>
      <c r="K184" s="305"/>
      <c r="L184" s="1129"/>
      <c r="M184" s="928"/>
      <c r="N184" s="929"/>
      <c r="O184" s="970"/>
      <c r="P184" s="305"/>
      <c r="Q184" s="1129"/>
      <c r="R184" s="928"/>
      <c r="S184" s="929"/>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1116" t="s">
        <v>414</v>
      </c>
      <c r="B185" s="38" t="s">
        <v>1163</v>
      </c>
      <c r="C185" s="1141" t="s">
        <v>106</v>
      </c>
      <c r="D185" s="38"/>
      <c r="E185" s="36"/>
      <c r="F185" s="658"/>
      <c r="G185" s="681"/>
      <c r="H185" s="36"/>
      <c r="I185" s="658"/>
      <c r="J185" s="681"/>
      <c r="K185" s="364"/>
      <c r="L185" s="658"/>
      <c r="M185" s="681"/>
      <c r="N185" s="1134"/>
      <c r="O185" s="925"/>
      <c r="P185" s="281"/>
      <c r="Q185" s="658"/>
      <c r="R185" s="681"/>
      <c r="S185" s="1134"/>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1116" t="s">
        <v>415</v>
      </c>
      <c r="B186" s="38" t="s">
        <v>1163</v>
      </c>
      <c r="C186" s="681" t="s">
        <v>107</v>
      </c>
      <c r="D186" s="925" t="e">
        <f>F186/F182</f>
        <v>#REF!</v>
      </c>
      <c r="E186" s="281" t="e">
        <f>IF($J$97=0,0,F186/(D$94+D$95+D182))</f>
        <v>#N/A</v>
      </c>
      <c r="F186" s="244">
        <v>0</v>
      </c>
      <c r="G186" s="925"/>
      <c r="H186" s="281"/>
      <c r="I186" s="244"/>
      <c r="J186" s="925">
        <f>L186/L182</f>
        <v>0.29063336722354988</v>
      </c>
      <c r="K186" s="281">
        <f>IF($J$97=0,0,L186/(J$94+J$95+J182))</f>
        <v>303.42716395864107</v>
      </c>
      <c r="L186" s="658">
        <v>205420.19</v>
      </c>
      <c r="M186" s="681"/>
      <c r="N186" s="658">
        <f t="shared" ref="N186:N227" si="37">L186-F186</f>
        <v>205420.19</v>
      </c>
      <c r="O186" s="925">
        <f>Q186/Q182</f>
        <v>0</v>
      </c>
      <c r="P186" s="281">
        <f>IF($J$97=0,0,Q186/(O$94+O$95+O182))</f>
        <v>0</v>
      </c>
      <c r="Q186" s="658">
        <v>0</v>
      </c>
      <c r="R186" s="681"/>
      <c r="S186" s="658">
        <f t="shared" ref="S186:S227" si="38">L186-Q186</f>
        <v>205420.19</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1116" t="s">
        <v>416</v>
      </c>
      <c r="B187" s="38" t="s">
        <v>1163</v>
      </c>
      <c r="C187" s="238" t="s">
        <v>108</v>
      </c>
      <c r="D187" s="285" t="e">
        <f>F187/(F182)</f>
        <v>#REF!</v>
      </c>
      <c r="E187" s="966" t="e">
        <f>IF($J$97=0,0,F187/(D$94+D$95+D182))</f>
        <v>#N/A</v>
      </c>
      <c r="F187" s="1118">
        <v>0</v>
      </c>
      <c r="G187" s="285"/>
      <c r="H187" s="966"/>
      <c r="I187" s="1118"/>
      <c r="J187" s="285">
        <f>L187/(L182)</f>
        <v>0</v>
      </c>
      <c r="K187" s="966">
        <f>IF($J$97=0,0,L187/(J$94+J$95+J182))</f>
        <v>0</v>
      </c>
      <c r="L187" s="658">
        <v>0</v>
      </c>
      <c r="M187" s="238"/>
      <c r="N187" s="1120">
        <f t="shared" si="37"/>
        <v>0</v>
      </c>
      <c r="O187" s="285">
        <f>Q187/(Q182)</f>
        <v>0</v>
      </c>
      <c r="P187" s="966">
        <f>IF($J$97=0,0,Q187/(O$94+O$95+O182))</f>
        <v>0</v>
      </c>
      <c r="Q187" s="658">
        <v>0</v>
      </c>
      <c r="R187" s="238"/>
      <c r="S187" s="1120">
        <f t="shared" si="38"/>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1116" t="s">
        <v>417</v>
      </c>
      <c r="B188" s="38" t="s">
        <v>1163</v>
      </c>
      <c r="C188" s="681" t="s">
        <v>109</v>
      </c>
      <c r="D188" s="681"/>
      <c r="E188" s="281" t="e">
        <f>IF($J$97=0,0,F188/(D$94+D$95+D182))</f>
        <v>#N/A</v>
      </c>
      <c r="F188" s="244">
        <v>0</v>
      </c>
      <c r="G188" s="1143"/>
      <c r="H188" s="281"/>
      <c r="I188" s="244"/>
      <c r="J188" s="681"/>
      <c r="K188" s="281">
        <f>IF($J$97=0,0,L188/(J$94+J$95+J182))</f>
        <v>8.5208567208271777</v>
      </c>
      <c r="L188" s="1138">
        <v>5768.62</v>
      </c>
      <c r="M188" s="681"/>
      <c r="N188" s="658">
        <f t="shared" si="37"/>
        <v>5768.62</v>
      </c>
      <c r="O188" s="681"/>
      <c r="P188" s="281">
        <f>IF($J$97=0,0,Q188/(O$94+O$95+O182))</f>
        <v>77.621899736147753</v>
      </c>
      <c r="Q188" s="1138">
        <v>29418.7</v>
      </c>
      <c r="R188" s="681"/>
      <c r="S188" s="658">
        <f t="shared" si="38"/>
        <v>-23650.080000000002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1116" t="s">
        <v>418</v>
      </c>
      <c r="B189" s="38" t="s">
        <v>1163</v>
      </c>
      <c r="C189" s="681" t="s">
        <v>110</v>
      </c>
      <c r="D189" s="681"/>
      <c r="E189" s="281" t="e">
        <f>IF($J$97=0,0,F189/(D$94+D$95+D182))</f>
        <v>#N/A</v>
      </c>
      <c r="F189" s="244">
        <v>0</v>
      </c>
      <c r="G189" s="1143"/>
      <c r="H189" s="281"/>
      <c r="I189" s="244"/>
      <c r="J189" s="681"/>
      <c r="K189" s="281">
        <f>IF($J$97=0,0,L189/(J$94+J$95+J182))</f>
        <v>0</v>
      </c>
      <c r="L189" s="658">
        <v>0</v>
      </c>
      <c r="M189" s="681"/>
      <c r="N189" s="658">
        <f t="shared" si="37"/>
        <v>0</v>
      </c>
      <c r="O189" s="681"/>
      <c r="P189" s="281">
        <f>IF($J$97=0,0,Q189/(O$94+O$95+O182))</f>
        <v>0</v>
      </c>
      <c r="Q189" s="658">
        <v>0</v>
      </c>
      <c r="R189" s="681"/>
      <c r="S189" s="658">
        <f t="shared" si="38"/>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1116" t="s">
        <v>419</v>
      </c>
      <c r="B190" s="38" t="s">
        <v>1163</v>
      </c>
      <c r="C190" s="238" t="s">
        <v>111</v>
      </c>
      <c r="D190" s="238"/>
      <c r="E190" s="966" t="e">
        <f>IF($J$97=0,0,F190/(D$94+D$95+D182))</f>
        <v>#N/A</v>
      </c>
      <c r="F190" s="1118">
        <v>0</v>
      </c>
      <c r="G190" s="290"/>
      <c r="H190" s="966"/>
      <c r="I190" s="1118"/>
      <c r="J190" s="238"/>
      <c r="K190" s="966">
        <f>IF($J$97=0,0,L190/(J$94+J$95+J182))</f>
        <v>0</v>
      </c>
      <c r="L190" s="1120">
        <v>0</v>
      </c>
      <c r="M190" s="238"/>
      <c r="N190" s="1120">
        <f t="shared" si="37"/>
        <v>0</v>
      </c>
      <c r="O190" s="238"/>
      <c r="P190" s="966">
        <f>IF($J$97=0,0,Q190/(O$94+O$95+O182))</f>
        <v>0</v>
      </c>
      <c r="Q190" s="1120">
        <v>0</v>
      </c>
      <c r="R190" s="238"/>
      <c r="S190" s="1120">
        <f t="shared" si="38"/>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1116" t="s">
        <v>420</v>
      </c>
      <c r="B191" s="38" t="s">
        <v>1163</v>
      </c>
      <c r="C191" s="681" t="s">
        <v>112</v>
      </c>
      <c r="D191" s="681"/>
      <c r="E191" s="281" t="e">
        <f>IF($J$97=0,0,F191/(D$94+D$95+D182))</f>
        <v>#N/A</v>
      </c>
      <c r="F191" s="244">
        <v>0</v>
      </c>
      <c r="G191" s="1143"/>
      <c r="H191" s="281"/>
      <c r="I191" s="244"/>
      <c r="J191" s="681"/>
      <c r="K191" s="281">
        <f>IF($J$97=0,0,L191/(J$94+J$95+J182))</f>
        <v>0</v>
      </c>
      <c r="L191" s="658">
        <v>0</v>
      </c>
      <c r="M191" s="681"/>
      <c r="N191" s="658">
        <f t="shared" si="37"/>
        <v>0</v>
      </c>
      <c r="O191" s="681"/>
      <c r="P191" s="281">
        <f>IF($J$97=0,0,Q191/(O$94+O$95+O182))</f>
        <v>0</v>
      </c>
      <c r="Q191" s="658">
        <v>0</v>
      </c>
      <c r="R191" s="681"/>
      <c r="S191" s="658">
        <f t="shared" si="38"/>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1116" t="s">
        <v>421</v>
      </c>
      <c r="B192" s="38" t="s">
        <v>1163</v>
      </c>
      <c r="C192" s="681" t="s">
        <v>113</v>
      </c>
      <c r="D192" s="681"/>
      <c r="E192" s="281" t="e">
        <f>IF($J$97=0,0,F192/(D$94+D$95+D182))</f>
        <v>#N/A</v>
      </c>
      <c r="F192" s="244">
        <v>0</v>
      </c>
      <c r="G192" s="1143"/>
      <c r="H192" s="281"/>
      <c r="I192" s="244"/>
      <c r="J192" s="681"/>
      <c r="K192" s="281">
        <f>IF($J$97=0,0,L192/(J$94+J$95+J182))</f>
        <v>140.62927621861152</v>
      </c>
      <c r="L192" s="658">
        <v>95206.02</v>
      </c>
      <c r="M192" s="681"/>
      <c r="N192" s="658">
        <f t="shared" si="37"/>
        <v>95206.02</v>
      </c>
      <c r="O192" s="681"/>
      <c r="P192" s="281">
        <f>IF($J$97=0,0,Q192/(O$94+O$95+O182))</f>
        <v>266.12733509234829</v>
      </c>
      <c r="Q192" s="658">
        <v>100862.26000000001</v>
      </c>
      <c r="R192" s="681"/>
      <c r="S192" s="658">
        <f t="shared" si="38"/>
        <v>-5656.2400000000052</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1116" t="s">
        <v>422</v>
      </c>
      <c r="B193" s="38" t="s">
        <v>1163</v>
      </c>
      <c r="C193" s="681" t="s">
        <v>55</v>
      </c>
      <c r="D193" s="287"/>
      <c r="E193" s="281" t="e">
        <f>F193/D$97</f>
        <v>#DIV/0!</v>
      </c>
      <c r="F193" s="244">
        <v>0</v>
      </c>
      <c r="G193" s="1143"/>
      <c r="H193" s="281"/>
      <c r="I193" s="244"/>
      <c r="J193" s="681"/>
      <c r="K193" s="281">
        <f>IF($J$97=0,0,L193/(J$94+J$95))</f>
        <v>0</v>
      </c>
      <c r="L193" s="967">
        <v>0</v>
      </c>
      <c r="M193" s="681"/>
      <c r="N193" s="658">
        <f t="shared" si="37"/>
        <v>0</v>
      </c>
      <c r="O193" s="681"/>
      <c r="P193" s="281">
        <f>IF($J$97=0,0,Q193/(O$94+O$95))</f>
        <v>0</v>
      </c>
      <c r="Q193" s="967">
        <v>0</v>
      </c>
      <c r="R193" s="681"/>
      <c r="S193" s="658">
        <f t="shared" si="38"/>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1116" t="s">
        <v>422</v>
      </c>
      <c r="B194" s="38" t="s">
        <v>1163</v>
      </c>
      <c r="C194" s="681" t="s">
        <v>55</v>
      </c>
      <c r="D194" s="287"/>
      <c r="E194" s="281" t="e">
        <f>F194/D$97</f>
        <v>#DIV/0!</v>
      </c>
      <c r="F194" s="244">
        <v>0</v>
      </c>
      <c r="G194" s="1143"/>
      <c r="H194" s="281"/>
      <c r="I194" s="244"/>
      <c r="J194" s="681"/>
      <c r="K194" s="281">
        <f>IF($J$97=0,0,L194/(J$94+J$95))</f>
        <v>0</v>
      </c>
      <c r="L194" s="967">
        <v>0</v>
      </c>
      <c r="M194" s="681"/>
      <c r="N194" s="658">
        <f t="shared" si="37"/>
        <v>0</v>
      </c>
      <c r="O194" s="681"/>
      <c r="P194" s="281">
        <f>IF($J$97=0,0,Q194/(O$94+O$95))</f>
        <v>0</v>
      </c>
      <c r="Q194" s="967">
        <v>0</v>
      </c>
      <c r="R194" s="681"/>
      <c r="S194" s="658">
        <f t="shared" si="38"/>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1116" t="s">
        <v>422</v>
      </c>
      <c r="B195" s="38" t="s">
        <v>1163</v>
      </c>
      <c r="C195" s="681" t="s">
        <v>55</v>
      </c>
      <c r="D195" s="287"/>
      <c r="E195" s="281" t="e">
        <f>F195/D$97</f>
        <v>#DIV/0!</v>
      </c>
      <c r="F195" s="244">
        <v>0</v>
      </c>
      <c r="G195" s="1143"/>
      <c r="H195" s="281"/>
      <c r="I195" s="244"/>
      <c r="J195" s="681"/>
      <c r="K195" s="281">
        <f>IF($J$97=0,0,L195/(J$94+J$95))</f>
        <v>0</v>
      </c>
      <c r="L195" s="967">
        <v>0</v>
      </c>
      <c r="M195" s="681"/>
      <c r="N195" s="658">
        <f t="shared" si="37"/>
        <v>0</v>
      </c>
      <c r="O195" s="681"/>
      <c r="P195" s="281">
        <f>IF($J$97=0,0,Q195/(O$94+O$95))</f>
        <v>0</v>
      </c>
      <c r="Q195" s="967">
        <v>0</v>
      </c>
      <c r="R195" s="681"/>
      <c r="S195" s="658">
        <f t="shared" si="38"/>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1116" t="s">
        <v>423</v>
      </c>
      <c r="B196" s="38" t="s">
        <v>1163</v>
      </c>
      <c r="C196" s="291" t="s">
        <v>114</v>
      </c>
      <c r="D196" s="1147" t="s">
        <v>115</v>
      </c>
      <c r="E196" s="1148" t="e">
        <f>F196/F$109</f>
        <v>#DIV/0!</v>
      </c>
      <c r="F196" s="1149">
        <f>SUM(F186:F195)</f>
        <v>0</v>
      </c>
      <c r="G196" s="295"/>
      <c r="H196" s="1148"/>
      <c r="I196" s="1149"/>
      <c r="J196" s="295" t="s">
        <v>115</v>
      </c>
      <c r="K196" s="1148">
        <f>L196/L$109</f>
        <v>5.6265775434064702</v>
      </c>
      <c r="L196" s="1149">
        <f>SUM(L186:L195)</f>
        <v>306394.83</v>
      </c>
      <c r="M196" s="296"/>
      <c r="N196" s="1149">
        <f t="shared" si="37"/>
        <v>306394.83</v>
      </c>
      <c r="O196" s="295" t="s">
        <v>115</v>
      </c>
      <c r="P196" s="1148">
        <f>Q196/Q$109</f>
        <v>1.3161090131891864</v>
      </c>
      <c r="Q196" s="1149">
        <f>SUM(Q186:Q195)</f>
        <v>130280.96000000001</v>
      </c>
      <c r="R196" s="297"/>
      <c r="S196" s="1149">
        <f t="shared" si="38"/>
        <v>176113.87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1116" t="s">
        <v>424</v>
      </c>
      <c r="B197" s="38" t="s">
        <v>1163</v>
      </c>
      <c r="C197" s="992" t="s">
        <v>116</v>
      </c>
      <c r="D197" s="38"/>
      <c r="E197" s="38"/>
      <c r="F197" s="244">
        <v>0</v>
      </c>
      <c r="G197" s="681"/>
      <c r="H197" s="38"/>
      <c r="I197" s="244"/>
      <c r="J197" s="681"/>
      <c r="K197" s="38"/>
      <c r="L197" s="658">
        <v>78316</v>
      </c>
      <c r="M197" s="681"/>
      <c r="N197" s="658">
        <f t="shared" si="37"/>
        <v>78316</v>
      </c>
      <c r="O197" s="681"/>
      <c r="P197" s="38"/>
      <c r="Q197" s="658">
        <v>188211.71</v>
      </c>
      <c r="R197" s="681"/>
      <c r="S197" s="658">
        <f t="shared" si="38"/>
        <v>-109895.70999999999</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1116" t="s">
        <v>425</v>
      </c>
      <c r="B198" s="38" t="s">
        <v>1163</v>
      </c>
      <c r="C198" s="299" t="s">
        <v>117</v>
      </c>
      <c r="D198" s="287"/>
      <c r="E198" s="38"/>
      <c r="F198" s="1118">
        <v>0</v>
      </c>
      <c r="G198" s="1143"/>
      <c r="H198" s="38"/>
      <c r="I198" s="1118"/>
      <c r="J198" s="681"/>
      <c r="K198" s="38"/>
      <c r="L198" s="658">
        <v>16291.989999999998</v>
      </c>
      <c r="M198" s="681"/>
      <c r="N198" s="658">
        <f t="shared" si="37"/>
        <v>16291.989999999998</v>
      </c>
      <c r="O198" s="681"/>
      <c r="P198" s="38"/>
      <c r="Q198" s="658">
        <v>33214.959999999999</v>
      </c>
      <c r="R198" s="681"/>
      <c r="S198" s="658">
        <f t="shared" si="38"/>
        <v>-16922.97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1116" t="s">
        <v>426</v>
      </c>
      <c r="B199" s="38" t="s">
        <v>1163</v>
      </c>
      <c r="C199" s="992" t="s">
        <v>118</v>
      </c>
      <c r="D199" s="300"/>
      <c r="E199" s="301"/>
      <c r="F199" s="244">
        <v>0</v>
      </c>
      <c r="G199" s="1150"/>
      <c r="H199" s="301"/>
      <c r="I199" s="244"/>
      <c r="J199" s="1113"/>
      <c r="K199" s="301"/>
      <c r="L199" s="1138">
        <v>-26434.07</v>
      </c>
      <c r="M199" s="1113"/>
      <c r="N199" s="1138">
        <f t="shared" si="37"/>
        <v>-26434.07</v>
      </c>
      <c r="O199" s="1113"/>
      <c r="P199" s="301"/>
      <c r="Q199" s="1138">
        <v>160492.02999999997</v>
      </c>
      <c r="R199" s="1113"/>
      <c r="S199" s="1138">
        <f t="shared" si="38"/>
        <v>-186926.09999999998</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1116" t="s">
        <v>427</v>
      </c>
      <c r="B200" s="38" t="s">
        <v>1163</v>
      </c>
      <c r="C200" s="992" t="s">
        <v>119</v>
      </c>
      <c r="D200" s="287"/>
      <c r="E200" s="38"/>
      <c r="F200" s="244">
        <v>0</v>
      </c>
      <c r="G200" s="1143"/>
      <c r="H200" s="38"/>
      <c r="I200" s="244"/>
      <c r="J200" s="681"/>
      <c r="K200" s="38"/>
      <c r="L200" s="658">
        <v>0</v>
      </c>
      <c r="M200" s="681"/>
      <c r="N200" s="658">
        <f t="shared" si="37"/>
        <v>0</v>
      </c>
      <c r="O200" s="681"/>
      <c r="P200" s="38"/>
      <c r="Q200" s="658">
        <v>0</v>
      </c>
      <c r="R200" s="681"/>
      <c r="S200" s="658">
        <f t="shared" si="38"/>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1116" t="s">
        <v>422</v>
      </c>
      <c r="B201" s="38" t="s">
        <v>1163</v>
      </c>
      <c r="C201" s="992" t="s">
        <v>55</v>
      </c>
      <c r="D201" s="287"/>
      <c r="E201" s="38"/>
      <c r="F201" s="244">
        <v>0</v>
      </c>
      <c r="G201" s="1143"/>
      <c r="H201" s="38"/>
      <c r="I201" s="244"/>
      <c r="J201" s="681"/>
      <c r="K201" s="38"/>
      <c r="L201" s="658">
        <v>0</v>
      </c>
      <c r="M201" s="681"/>
      <c r="N201" s="658">
        <f t="shared" si="37"/>
        <v>0</v>
      </c>
      <c r="O201" s="681"/>
      <c r="P201" s="38"/>
      <c r="Q201" s="658">
        <v>0</v>
      </c>
      <c r="R201" s="681"/>
      <c r="S201" s="658">
        <f t="shared" si="38"/>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1116" t="s">
        <v>422</v>
      </c>
      <c r="B202" s="38" t="s">
        <v>1163</v>
      </c>
      <c r="C202" s="992" t="s">
        <v>55</v>
      </c>
      <c r="D202" s="287"/>
      <c r="E202" s="38"/>
      <c r="F202" s="244">
        <v>0</v>
      </c>
      <c r="G202" s="1143"/>
      <c r="H202" s="38"/>
      <c r="I202" s="244"/>
      <c r="J202" s="681"/>
      <c r="K202" s="38"/>
      <c r="L202" s="658">
        <v>0</v>
      </c>
      <c r="M202" s="681"/>
      <c r="N202" s="658">
        <f t="shared" si="37"/>
        <v>0</v>
      </c>
      <c r="O202" s="681"/>
      <c r="P202" s="38"/>
      <c r="Q202" s="658">
        <v>0</v>
      </c>
      <c r="R202" s="681"/>
      <c r="S202" s="658">
        <f t="shared" si="38"/>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1116" t="s">
        <v>422</v>
      </c>
      <c r="B203" s="38" t="s">
        <v>1163</v>
      </c>
      <c r="C203" s="992" t="s">
        <v>55</v>
      </c>
      <c r="D203" s="287"/>
      <c r="E203" s="38"/>
      <c r="F203" s="244">
        <v>0</v>
      </c>
      <c r="G203" s="1143"/>
      <c r="H203" s="38"/>
      <c r="I203" s="244"/>
      <c r="J203" s="681"/>
      <c r="K203" s="38"/>
      <c r="L203" s="658">
        <v>0</v>
      </c>
      <c r="M203" s="681"/>
      <c r="N203" s="658">
        <f t="shared" si="37"/>
        <v>0</v>
      </c>
      <c r="O203" s="681"/>
      <c r="P203" s="38"/>
      <c r="Q203" s="658">
        <v>0</v>
      </c>
      <c r="R203" s="681"/>
      <c r="S203" s="658">
        <f t="shared" si="38"/>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1116" t="s">
        <v>428</v>
      </c>
      <c r="B204" s="38" t="s">
        <v>1163</v>
      </c>
      <c r="C204" s="299" t="s">
        <v>120</v>
      </c>
      <c r="D204" s="287"/>
      <c r="E204" s="38"/>
      <c r="F204" s="244">
        <v>0</v>
      </c>
      <c r="G204" s="1143"/>
      <c r="H204" s="38"/>
      <c r="I204" s="244"/>
      <c r="J204" s="681"/>
      <c r="K204" s="38"/>
      <c r="L204" s="658">
        <v>7038.4700000000012</v>
      </c>
      <c r="M204" s="681"/>
      <c r="N204" s="658">
        <f t="shared" si="37"/>
        <v>7038.4700000000012</v>
      </c>
      <c r="O204" s="681"/>
      <c r="P204" s="38"/>
      <c r="Q204" s="658">
        <v>8620.2999999999993</v>
      </c>
      <c r="R204" s="681"/>
      <c r="S204" s="658">
        <f t="shared" si="38"/>
        <v>-1581.8299999999981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1116" t="s">
        <v>429</v>
      </c>
      <c r="B205" s="38" t="s">
        <v>1163</v>
      </c>
      <c r="C205" s="992" t="s">
        <v>121</v>
      </c>
      <c r="D205" s="300"/>
      <c r="E205" s="301"/>
      <c r="F205" s="261">
        <v>0</v>
      </c>
      <c r="G205" s="1150"/>
      <c r="H205" s="301"/>
      <c r="I205" s="261"/>
      <c r="J205" s="1113"/>
      <c r="K205" s="301"/>
      <c r="L205" s="1138">
        <v>17610.489999999998</v>
      </c>
      <c r="M205" s="1113"/>
      <c r="N205" s="1138">
        <f t="shared" si="37"/>
        <v>17610.489999999998</v>
      </c>
      <c r="O205" s="1113"/>
      <c r="P205" s="301"/>
      <c r="Q205" s="1138">
        <v>8220.3000000000011</v>
      </c>
      <c r="R205" s="1113"/>
      <c r="S205" s="1138">
        <f t="shared" si="38"/>
        <v>9390.1899999999969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1116" t="s">
        <v>430</v>
      </c>
      <c r="B206" s="38" t="s">
        <v>1163</v>
      </c>
      <c r="C206" s="992" t="s">
        <v>122</v>
      </c>
      <c r="D206" s="287"/>
      <c r="E206" s="38"/>
      <c r="F206" s="244">
        <v>0</v>
      </c>
      <c r="G206" s="1143"/>
      <c r="H206" s="38"/>
      <c r="I206" s="244"/>
      <c r="J206" s="681"/>
      <c r="K206" s="38"/>
      <c r="L206" s="658">
        <v>1521.9399999999996</v>
      </c>
      <c r="M206" s="681"/>
      <c r="N206" s="658">
        <f t="shared" si="37"/>
        <v>1521.9399999999996</v>
      </c>
      <c r="O206" s="681"/>
      <c r="P206" s="38"/>
      <c r="Q206" s="658">
        <v>12733.869999999999</v>
      </c>
      <c r="R206" s="681"/>
      <c r="S206" s="658">
        <f t="shared" si="38"/>
        <v>-11211.93</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1116" t="s">
        <v>431</v>
      </c>
      <c r="B207" s="38" t="s">
        <v>1163</v>
      </c>
      <c r="C207" s="992" t="s">
        <v>123</v>
      </c>
      <c r="D207" s="287"/>
      <c r="E207" s="38"/>
      <c r="F207" s="244">
        <v>0</v>
      </c>
      <c r="G207" s="1143"/>
      <c r="H207" s="38"/>
      <c r="I207" s="244"/>
      <c r="J207" s="681"/>
      <c r="K207" s="38"/>
      <c r="L207" s="658">
        <v>417.89</v>
      </c>
      <c r="M207" s="681"/>
      <c r="N207" s="658">
        <f t="shared" si="37"/>
        <v>417.89</v>
      </c>
      <c r="O207" s="681"/>
      <c r="P207" s="38"/>
      <c r="Q207" s="658">
        <v>0</v>
      </c>
      <c r="R207" s="681"/>
      <c r="S207" s="658">
        <f t="shared" si="38"/>
        <v>417.89</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1116" t="s">
        <v>422</v>
      </c>
      <c r="B208" s="38" t="s">
        <v>1163</v>
      </c>
      <c r="C208" s="681" t="s">
        <v>55</v>
      </c>
      <c r="D208" s="1146"/>
      <c r="E208" s="1151"/>
      <c r="F208" s="244">
        <v>0</v>
      </c>
      <c r="G208" s="290"/>
      <c r="H208" s="1151"/>
      <c r="I208" s="244"/>
      <c r="J208" s="238"/>
      <c r="K208" s="1151"/>
      <c r="L208" s="658">
        <v>0</v>
      </c>
      <c r="M208" s="238"/>
      <c r="N208" s="1120">
        <f t="shared" si="37"/>
        <v>0</v>
      </c>
      <c r="O208" s="238"/>
      <c r="P208" s="1151"/>
      <c r="Q208" s="658">
        <v>0</v>
      </c>
      <c r="R208" s="238"/>
      <c r="S208" s="1120">
        <f t="shared" si="38"/>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1116" t="s">
        <v>432</v>
      </c>
      <c r="B209" s="38" t="s">
        <v>1163</v>
      </c>
      <c r="C209" s="291" t="s">
        <v>124</v>
      </c>
      <c r="D209" s="1147" t="s">
        <v>115</v>
      </c>
      <c r="E209" s="1148" t="e">
        <f>F209/F$109</f>
        <v>#DIV/0!</v>
      </c>
      <c r="F209" s="1149">
        <f>+SUM(F197:F208)</f>
        <v>0</v>
      </c>
      <c r="G209" s="295"/>
      <c r="H209" s="1148"/>
      <c r="I209" s="1149"/>
      <c r="J209" s="295" t="s">
        <v>115</v>
      </c>
      <c r="K209" s="1148">
        <f>L209/L$109</f>
        <v>1.7402047418304663</v>
      </c>
      <c r="L209" s="1149">
        <f>SUM(L197:L208)</f>
        <v>94762.709999999977</v>
      </c>
      <c r="M209" s="296"/>
      <c r="N209" s="1149">
        <f t="shared" si="37"/>
        <v>94762.709999999977</v>
      </c>
      <c r="O209" s="295" t="s">
        <v>115</v>
      </c>
      <c r="P209" s="1148">
        <f>Q209/Q$109</f>
        <v>4.1569379739202876</v>
      </c>
      <c r="Q209" s="1149">
        <f>SUM(Q197:Q208)</f>
        <v>411493.16999999993</v>
      </c>
      <c r="R209" s="297"/>
      <c r="S209" s="1149">
        <f t="shared" si="38"/>
        <v>-316730.45999999996</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1116" t="s">
        <v>433</v>
      </c>
      <c r="B210" s="38" t="s">
        <v>1163</v>
      </c>
      <c r="C210" s="681" t="s">
        <v>125</v>
      </c>
      <c r="D210" s="287"/>
      <c r="E210" s="38"/>
      <c r="F210" s="244">
        <v>0</v>
      </c>
      <c r="G210" s="1143"/>
      <c r="H210" s="38"/>
      <c r="I210" s="244"/>
      <c r="J210" s="681"/>
      <c r="K210" s="38"/>
      <c r="L210" s="658">
        <v>0</v>
      </c>
      <c r="M210" s="681"/>
      <c r="N210" s="658">
        <f t="shared" si="37"/>
        <v>0</v>
      </c>
      <c r="O210" s="681"/>
      <c r="P210" s="38"/>
      <c r="Q210" s="658">
        <v>0</v>
      </c>
      <c r="R210" s="681"/>
      <c r="S210" s="658">
        <f t="shared" si="38"/>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1116" t="s">
        <v>434</v>
      </c>
      <c r="B211" s="38" t="s">
        <v>1163</v>
      </c>
      <c r="C211" s="681" t="s">
        <v>126</v>
      </c>
      <c r="D211" s="287"/>
      <c r="E211" s="38"/>
      <c r="F211" s="244">
        <v>0</v>
      </c>
      <c r="G211" s="1143"/>
      <c r="H211" s="38"/>
      <c r="I211" s="244"/>
      <c r="J211" s="681"/>
      <c r="K211" s="38"/>
      <c r="L211" s="658">
        <v>0</v>
      </c>
      <c r="M211" s="681"/>
      <c r="N211" s="658">
        <f t="shared" si="37"/>
        <v>0</v>
      </c>
      <c r="O211" s="681"/>
      <c r="P211" s="38"/>
      <c r="Q211" s="658">
        <v>0</v>
      </c>
      <c r="R211" s="681"/>
      <c r="S211" s="658">
        <f t="shared" si="38"/>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1116" t="s">
        <v>435</v>
      </c>
      <c r="B212" s="38" t="s">
        <v>1163</v>
      </c>
      <c r="C212" s="238" t="s">
        <v>127</v>
      </c>
      <c r="D212" s="1146"/>
      <c r="E212" s="1151"/>
      <c r="F212" s="1118">
        <v>0</v>
      </c>
      <c r="G212" s="290"/>
      <c r="H212" s="1151"/>
      <c r="I212" s="1118"/>
      <c r="J212" s="238"/>
      <c r="K212" s="1151"/>
      <c r="L212" s="1120">
        <v>1750</v>
      </c>
      <c r="M212" s="238"/>
      <c r="N212" s="1120">
        <f t="shared" si="37"/>
        <v>1750</v>
      </c>
      <c r="O212" s="238"/>
      <c r="P212" s="1151"/>
      <c r="Q212" s="1120">
        <v>0</v>
      </c>
      <c r="R212" s="238"/>
      <c r="S212" s="1120">
        <f t="shared" si="38"/>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1116" t="s">
        <v>436</v>
      </c>
      <c r="B213" s="38" t="s">
        <v>1163</v>
      </c>
      <c r="C213" s="681" t="s">
        <v>128</v>
      </c>
      <c r="D213" s="287"/>
      <c r="E213" s="38"/>
      <c r="F213" s="244">
        <v>0</v>
      </c>
      <c r="G213" s="1143"/>
      <c r="H213" s="38"/>
      <c r="I213" s="244"/>
      <c r="J213" s="681"/>
      <c r="K213" s="38"/>
      <c r="L213" s="658">
        <v>0</v>
      </c>
      <c r="M213" s="681"/>
      <c r="N213" s="658">
        <f t="shared" si="37"/>
        <v>0</v>
      </c>
      <c r="O213" s="681"/>
      <c r="P213" s="38"/>
      <c r="Q213" s="658">
        <v>0</v>
      </c>
      <c r="R213" s="681"/>
      <c r="S213" s="658">
        <f t="shared" si="38"/>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1116" t="s">
        <v>437</v>
      </c>
      <c r="B214" s="38" t="s">
        <v>1163</v>
      </c>
      <c r="C214" s="681" t="s">
        <v>129</v>
      </c>
      <c r="D214" s="287"/>
      <c r="E214" s="38"/>
      <c r="F214" s="244">
        <v>0</v>
      </c>
      <c r="G214" s="1143"/>
      <c r="H214" s="38"/>
      <c r="I214" s="244"/>
      <c r="J214" s="681"/>
      <c r="K214" s="38"/>
      <c r="L214" s="658">
        <v>477.56000000000017</v>
      </c>
      <c r="M214" s="681"/>
      <c r="N214" s="658">
        <f t="shared" si="37"/>
        <v>477.56000000000017</v>
      </c>
      <c r="O214" s="681"/>
      <c r="P214" s="38"/>
      <c r="Q214" s="658">
        <v>0</v>
      </c>
      <c r="R214" s="681"/>
      <c r="S214" s="658">
        <f t="shared" si="38"/>
        <v>477.56000000000017</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1116" t="s">
        <v>438</v>
      </c>
      <c r="B215" s="38" t="s">
        <v>1163</v>
      </c>
      <c r="C215" s="238" t="s">
        <v>130</v>
      </c>
      <c r="D215" s="1146"/>
      <c r="E215" s="1151"/>
      <c r="F215" s="1118">
        <v>0</v>
      </c>
      <c r="G215" s="290"/>
      <c r="H215" s="1151"/>
      <c r="I215" s="1118"/>
      <c r="J215" s="238"/>
      <c r="K215" s="1151"/>
      <c r="L215" s="1120">
        <v>488.65999999999997</v>
      </c>
      <c r="M215" s="238"/>
      <c r="N215" s="1120">
        <f t="shared" si="37"/>
        <v>488.65999999999997</v>
      </c>
      <c r="O215" s="238"/>
      <c r="P215" s="1151"/>
      <c r="Q215" s="1120">
        <v>331.8</v>
      </c>
      <c r="R215" s="238"/>
      <c r="S215" s="1120">
        <f t="shared" si="38"/>
        <v>156.85999999999996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1116" t="s">
        <v>439</v>
      </c>
      <c r="B216" s="38" t="s">
        <v>1163</v>
      </c>
      <c r="C216" s="681" t="s">
        <v>131</v>
      </c>
      <c r="D216" s="287"/>
      <c r="E216" s="38"/>
      <c r="F216" s="244">
        <v>0</v>
      </c>
      <c r="G216" s="1143"/>
      <c r="H216" s="38"/>
      <c r="I216" s="244"/>
      <c r="J216" s="681"/>
      <c r="K216" s="38"/>
      <c r="L216" s="658">
        <v>0</v>
      </c>
      <c r="M216" s="681"/>
      <c r="N216" s="658">
        <f t="shared" si="37"/>
        <v>0</v>
      </c>
      <c r="O216" s="681"/>
      <c r="P216" s="38"/>
      <c r="Q216" s="658">
        <v>0</v>
      </c>
      <c r="R216" s="681"/>
      <c r="S216" s="658">
        <f t="shared" si="38"/>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1116" t="s">
        <v>440</v>
      </c>
      <c r="B217" s="38" t="s">
        <v>1163</v>
      </c>
      <c r="C217" s="681" t="s">
        <v>132</v>
      </c>
      <c r="D217" s="287"/>
      <c r="E217" s="38"/>
      <c r="F217" s="244">
        <v>0</v>
      </c>
      <c r="G217" s="1143"/>
      <c r="H217" s="38"/>
      <c r="I217" s="244"/>
      <c r="J217" s="681"/>
      <c r="K217" s="38"/>
      <c r="L217" s="658">
        <v>0</v>
      </c>
      <c r="M217" s="681"/>
      <c r="N217" s="658">
        <f t="shared" si="37"/>
        <v>0</v>
      </c>
      <c r="O217" s="681"/>
      <c r="P217" s="38"/>
      <c r="Q217" s="658">
        <v>0</v>
      </c>
      <c r="R217" s="681"/>
      <c r="S217" s="658">
        <f t="shared" si="38"/>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1116" t="s">
        <v>441</v>
      </c>
      <c r="B218" s="38" t="s">
        <v>1163</v>
      </c>
      <c r="C218" s="681" t="s">
        <v>133</v>
      </c>
      <c r="D218" s="287"/>
      <c r="E218" s="38"/>
      <c r="F218" s="244">
        <v>0</v>
      </c>
      <c r="G218" s="1143"/>
      <c r="H218" s="38"/>
      <c r="I218" s="244"/>
      <c r="J218" s="681"/>
      <c r="K218" s="38"/>
      <c r="L218" s="658">
        <v>1489</v>
      </c>
      <c r="M218" s="681"/>
      <c r="N218" s="658">
        <f t="shared" si="37"/>
        <v>1489</v>
      </c>
      <c r="O218" s="681"/>
      <c r="P218" s="38"/>
      <c r="Q218" s="658">
        <v>895.36999999999989</v>
      </c>
      <c r="R218" s="681"/>
      <c r="S218" s="658">
        <f t="shared" si="38"/>
        <v>593.63000000000011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1116" t="s">
        <v>442</v>
      </c>
      <c r="B219" s="38" t="s">
        <v>1163</v>
      </c>
      <c r="C219" s="681" t="s">
        <v>134</v>
      </c>
      <c r="D219" s="287"/>
      <c r="E219" s="38"/>
      <c r="F219" s="244">
        <v>0</v>
      </c>
      <c r="G219" s="1143"/>
      <c r="H219" s="38"/>
      <c r="I219" s="244"/>
      <c r="J219" s="681"/>
      <c r="K219" s="38"/>
      <c r="L219" s="658">
        <v>630</v>
      </c>
      <c r="M219" s="681"/>
      <c r="N219" s="658">
        <f t="shared" si="37"/>
        <v>630</v>
      </c>
      <c r="O219" s="681"/>
      <c r="P219" s="38"/>
      <c r="Q219" s="658">
        <v>390.04999999999995</v>
      </c>
      <c r="R219" s="681"/>
      <c r="S219" s="658">
        <f t="shared" si="38"/>
        <v>239.95000000000005</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1116" t="s">
        <v>443</v>
      </c>
      <c r="B220" s="38" t="s">
        <v>1163</v>
      </c>
      <c r="C220" s="681" t="s">
        <v>135</v>
      </c>
      <c r="D220" s="287"/>
      <c r="E220" s="38"/>
      <c r="F220" s="244">
        <v>0</v>
      </c>
      <c r="G220" s="1143"/>
      <c r="H220" s="38"/>
      <c r="I220" s="244"/>
      <c r="J220" s="681"/>
      <c r="K220" s="38"/>
      <c r="L220" s="658">
        <v>2226.81</v>
      </c>
      <c r="M220" s="681"/>
      <c r="N220" s="658">
        <f t="shared" si="37"/>
        <v>2226.81</v>
      </c>
      <c r="O220" s="681"/>
      <c r="P220" s="38"/>
      <c r="Q220" s="658">
        <v>2225.0899999999997</v>
      </c>
      <c r="R220" s="681"/>
      <c r="S220" s="658">
        <f t="shared" si="38"/>
        <v>1.7200000000002547</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1116" t="s">
        <v>444</v>
      </c>
      <c r="B221" s="38" t="s">
        <v>1163</v>
      </c>
      <c r="C221" s="681" t="s">
        <v>136</v>
      </c>
      <c r="D221" s="287"/>
      <c r="E221" s="38"/>
      <c r="F221" s="244">
        <v>0</v>
      </c>
      <c r="G221" s="1143"/>
      <c r="H221" s="38"/>
      <c r="I221" s="244"/>
      <c r="J221" s="681"/>
      <c r="K221" s="38"/>
      <c r="L221" s="658">
        <v>0</v>
      </c>
      <c r="M221" s="681"/>
      <c r="N221" s="658">
        <f t="shared" si="37"/>
        <v>0</v>
      </c>
      <c r="O221" s="681"/>
      <c r="P221" s="38"/>
      <c r="Q221" s="658">
        <v>79.900000000000006</v>
      </c>
      <c r="R221" s="681"/>
      <c r="S221" s="658">
        <f t="shared" si="38"/>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1116" t="s">
        <v>445</v>
      </c>
      <c r="B222" s="38" t="s">
        <v>1163</v>
      </c>
      <c r="C222" s="681" t="s">
        <v>137</v>
      </c>
      <c r="D222" s="287"/>
      <c r="E222" s="38"/>
      <c r="F222" s="244">
        <v>0</v>
      </c>
      <c r="G222" s="1143"/>
      <c r="H222" s="38"/>
      <c r="I222" s="244"/>
      <c r="J222" s="681"/>
      <c r="K222" s="38"/>
      <c r="L222" s="658">
        <v>0</v>
      </c>
      <c r="M222" s="681"/>
      <c r="N222" s="658">
        <f t="shared" si="37"/>
        <v>0</v>
      </c>
      <c r="O222" s="681"/>
      <c r="P222" s="38"/>
      <c r="Q222" s="658">
        <v>0</v>
      </c>
      <c r="R222" s="681"/>
      <c r="S222" s="658">
        <f t="shared" si="38"/>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1116" t="s">
        <v>446</v>
      </c>
      <c r="B223" s="38" t="s">
        <v>1163</v>
      </c>
      <c r="C223" s="681" t="s">
        <v>138</v>
      </c>
      <c r="D223" s="287"/>
      <c r="E223" s="38"/>
      <c r="F223" s="244">
        <v>0</v>
      </c>
      <c r="G223" s="1143"/>
      <c r="H223" s="38"/>
      <c r="I223" s="244"/>
      <c r="J223" s="681"/>
      <c r="K223" s="38"/>
      <c r="L223" s="658">
        <v>17.5</v>
      </c>
      <c r="M223" s="681"/>
      <c r="N223" s="658">
        <f t="shared" si="37"/>
        <v>17.5</v>
      </c>
      <c r="O223" s="681"/>
      <c r="P223" s="38"/>
      <c r="Q223" s="658">
        <v>17.5</v>
      </c>
      <c r="R223" s="681"/>
      <c r="S223" s="658">
        <f t="shared" si="38"/>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1116" t="s">
        <v>422</v>
      </c>
      <c r="B224" s="38" t="s">
        <v>1163</v>
      </c>
      <c r="C224" s="681" t="s">
        <v>55</v>
      </c>
      <c r="D224" s="287"/>
      <c r="E224" s="38"/>
      <c r="F224" s="244">
        <v>0</v>
      </c>
      <c r="G224" s="1143"/>
      <c r="H224" s="38"/>
      <c r="I224" s="244"/>
      <c r="J224" s="681"/>
      <c r="K224" s="38"/>
      <c r="L224" s="658">
        <v>0</v>
      </c>
      <c r="M224" s="681"/>
      <c r="N224" s="658">
        <f t="shared" si="37"/>
        <v>0</v>
      </c>
      <c r="O224" s="681"/>
      <c r="P224" s="38"/>
      <c r="Q224" s="658">
        <v>0</v>
      </c>
      <c r="R224" s="681"/>
      <c r="S224" s="658">
        <f t="shared" si="38"/>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1116" t="s">
        <v>422</v>
      </c>
      <c r="B225" s="38" t="s">
        <v>1163</v>
      </c>
      <c r="C225" s="681" t="s">
        <v>55</v>
      </c>
      <c r="D225" s="287"/>
      <c r="E225" s="38"/>
      <c r="F225" s="244">
        <v>0</v>
      </c>
      <c r="G225" s="1143"/>
      <c r="H225" s="38"/>
      <c r="I225" s="244"/>
      <c r="J225" s="681"/>
      <c r="K225" s="38"/>
      <c r="L225" s="658">
        <v>0</v>
      </c>
      <c r="M225" s="681"/>
      <c r="N225" s="658">
        <f t="shared" si="37"/>
        <v>0</v>
      </c>
      <c r="O225" s="681"/>
      <c r="P225" s="38"/>
      <c r="Q225" s="658">
        <v>0</v>
      </c>
      <c r="R225" s="681"/>
      <c r="S225" s="658">
        <f t="shared" si="38"/>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1116" t="s">
        <v>422</v>
      </c>
      <c r="B226" s="38" t="s">
        <v>1163</v>
      </c>
      <c r="C226" s="681" t="s">
        <v>55</v>
      </c>
      <c r="D226" s="287"/>
      <c r="E226" s="38"/>
      <c r="F226" s="244">
        <v>0</v>
      </c>
      <c r="G226" s="1143"/>
      <c r="H226" s="38"/>
      <c r="I226" s="244"/>
      <c r="J226" s="681"/>
      <c r="K226" s="38"/>
      <c r="L226" s="658">
        <v>0</v>
      </c>
      <c r="M226" s="681"/>
      <c r="N226" s="658">
        <f t="shared" si="37"/>
        <v>0</v>
      </c>
      <c r="O226" s="681"/>
      <c r="P226" s="38"/>
      <c r="Q226" s="658">
        <v>0</v>
      </c>
      <c r="R226" s="681"/>
      <c r="S226" s="658">
        <f t="shared" si="38"/>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1116" t="s">
        <v>447</v>
      </c>
      <c r="B227" s="38" t="s">
        <v>1163</v>
      </c>
      <c r="C227" s="291" t="s">
        <v>139</v>
      </c>
      <c r="D227" s="1147" t="s">
        <v>115</v>
      </c>
      <c r="E227" s="1148" t="e">
        <f>F227/F$109</f>
        <v>#DIV/0!</v>
      </c>
      <c r="F227" s="1149">
        <f>+SUM(F210:F226)</f>
        <v>0</v>
      </c>
      <c r="G227" s="295"/>
      <c r="H227" s="1148"/>
      <c r="I227" s="1149"/>
      <c r="J227" s="295" t="s">
        <v>115</v>
      </c>
      <c r="K227" s="1148">
        <f>L227/L$109</f>
        <v>0.13000716923282421</v>
      </c>
      <c r="L227" s="1149">
        <f>+SUM(L210:L226)</f>
        <v>7079.5300000000007</v>
      </c>
      <c r="M227" s="296"/>
      <c r="N227" s="1149">
        <f t="shared" si="37"/>
        <v>7079.5300000000007</v>
      </c>
      <c r="O227" s="295" t="s">
        <v>115</v>
      </c>
      <c r="P227" s="1148">
        <f>Q227/Q$109</f>
        <v>3.9799275660476932E-2</v>
      </c>
      <c r="Q227" s="1149">
        <f>+SUM(Q210:Q226)</f>
        <v>3939.7099999999996</v>
      </c>
      <c r="R227" s="297"/>
      <c r="S227" s="1149">
        <f t="shared" si="38"/>
        <v>3139.8200000000011</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1116" t="s">
        <v>148</v>
      </c>
      <c r="B228" s="38" t="s">
        <v>1163</v>
      </c>
      <c r="C228" s="238"/>
      <c r="D228" s="1146"/>
      <c r="E228" s="1151"/>
      <c r="F228" s="658"/>
      <c r="G228" s="290"/>
      <c r="H228" s="1151"/>
      <c r="I228" s="658"/>
      <c r="J228" s="238"/>
      <c r="K228" s="1151"/>
      <c r="L228" s="1120"/>
      <c r="M228" s="238"/>
      <c r="N228" s="1120"/>
      <c r="O228" s="238"/>
      <c r="P228" s="1151"/>
      <c r="Q228" s="1120"/>
      <c r="R228" s="238"/>
      <c r="S228" s="1120"/>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1116" t="s">
        <v>448</v>
      </c>
      <c r="B229" s="38" t="s">
        <v>1163</v>
      </c>
      <c r="C229" s="291" t="s">
        <v>140</v>
      </c>
      <c r="D229" s="1147" t="s">
        <v>115</v>
      </c>
      <c r="E229" s="1148" t="e">
        <f>F229/F$109</f>
        <v>#DIV/0!</v>
      </c>
      <c r="F229" s="1149">
        <f>F196+F209+F227</f>
        <v>0</v>
      </c>
      <c r="G229" s="295"/>
      <c r="H229" s="1148"/>
      <c r="I229" s="1149"/>
      <c r="J229" s="295" t="s">
        <v>115</v>
      </c>
      <c r="K229" s="1148">
        <f>L229/L$109</f>
        <v>7.4967894544697602</v>
      </c>
      <c r="L229" s="1149">
        <f>L196+L209+L227</f>
        <v>408237.07</v>
      </c>
      <c r="M229" s="296"/>
      <c r="N229" s="1149">
        <f t="shared" ref="N229:N236" si="39">L229-F229</f>
        <v>408237.07</v>
      </c>
      <c r="O229" s="295" t="s">
        <v>115</v>
      </c>
      <c r="P229" s="1148">
        <f>Q229/Q$109</f>
        <v>5.5128462627699504</v>
      </c>
      <c r="Q229" s="1149">
        <f>Q196+Q209+Q227</f>
        <v>545713.83999999985</v>
      </c>
      <c r="R229" s="297"/>
      <c r="S229" s="1149">
        <f t="shared" ref="S229:S236" si="40">L229-Q229</f>
        <v>-137476.76999999984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1116" t="s">
        <v>449</v>
      </c>
      <c r="B230" s="38" t="s">
        <v>1163</v>
      </c>
      <c r="C230" s="681" t="s">
        <v>154</v>
      </c>
      <c r="D230" s="329"/>
      <c r="E230" s="330"/>
      <c r="F230" s="244">
        <v>0</v>
      </c>
      <c r="G230" s="1163"/>
      <c r="H230" s="330"/>
      <c r="I230" s="244"/>
      <c r="J230" s="1163"/>
      <c r="K230" s="330"/>
      <c r="L230" s="658">
        <v>0</v>
      </c>
      <c r="M230" s="681"/>
      <c r="N230" s="658">
        <f t="shared" si="39"/>
        <v>0</v>
      </c>
      <c r="O230" s="1163"/>
      <c r="P230" s="330"/>
      <c r="Q230" s="658">
        <v>0</v>
      </c>
      <c r="R230" s="681"/>
      <c r="S230" s="658">
        <f t="shared" si="40"/>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1116" t="s">
        <v>450</v>
      </c>
      <c r="B231" s="38" t="s">
        <v>1163</v>
      </c>
      <c r="C231" s="681" t="s">
        <v>155</v>
      </c>
      <c r="D231" s="329"/>
      <c r="E231" s="330"/>
      <c r="F231" s="244">
        <v>0</v>
      </c>
      <c r="G231" s="1163"/>
      <c r="H231" s="330"/>
      <c r="I231" s="244"/>
      <c r="J231" s="1163"/>
      <c r="K231" s="330"/>
      <c r="L231" s="658">
        <v>0</v>
      </c>
      <c r="M231" s="681"/>
      <c r="N231" s="658">
        <f t="shared" si="39"/>
        <v>0</v>
      </c>
      <c r="O231" s="1163"/>
      <c r="P231" s="330"/>
      <c r="Q231" s="658">
        <v>0</v>
      </c>
      <c r="R231" s="681"/>
      <c r="S231" s="658">
        <f t="shared" si="40"/>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1116" t="s">
        <v>451</v>
      </c>
      <c r="B232" s="38" t="s">
        <v>1163</v>
      </c>
      <c r="C232" s="681" t="s">
        <v>156</v>
      </c>
      <c r="D232" s="287"/>
      <c r="E232" s="38"/>
      <c r="F232" s="244">
        <v>0</v>
      </c>
      <c r="G232" s="1143"/>
      <c r="H232" s="38"/>
      <c r="I232" s="244"/>
      <c r="J232" s="681"/>
      <c r="K232" s="38"/>
      <c r="L232" s="658">
        <v>0</v>
      </c>
      <c r="M232" s="681"/>
      <c r="N232" s="658">
        <f t="shared" si="39"/>
        <v>0</v>
      </c>
      <c r="O232" s="681"/>
      <c r="P232" s="38"/>
      <c r="Q232" s="658">
        <v>0</v>
      </c>
      <c r="R232" s="681"/>
      <c r="S232" s="658">
        <f t="shared" si="40"/>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1116" t="s">
        <v>452</v>
      </c>
      <c r="B233" s="38" t="s">
        <v>1163</v>
      </c>
      <c r="C233" s="681" t="s">
        <v>145</v>
      </c>
      <c r="D233" s="743" t="e">
        <f>E233/474</f>
        <v>#REF!</v>
      </c>
      <c r="E233" s="307" t="e">
        <f>F233/#REF!</f>
        <v>#REF!</v>
      </c>
      <c r="F233" s="244">
        <v>0</v>
      </c>
      <c r="G233" s="1143"/>
      <c r="H233" s="38"/>
      <c r="I233" s="244"/>
      <c r="J233" s="1154"/>
      <c r="K233" s="307"/>
      <c r="L233" s="658">
        <v>0</v>
      </c>
      <c r="M233" s="681"/>
      <c r="N233" s="658">
        <f t="shared" si="39"/>
        <v>0</v>
      </c>
      <c r="O233" s="1154"/>
      <c r="P233" s="307"/>
      <c r="Q233" s="658">
        <v>0</v>
      </c>
      <c r="R233" s="681"/>
      <c r="S233" s="658">
        <f t="shared" si="40"/>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1116" t="s">
        <v>422</v>
      </c>
      <c r="B234" s="38" t="s">
        <v>148</v>
      </c>
      <c r="C234" s="681" t="s">
        <v>55</v>
      </c>
      <c r="D234" s="287"/>
      <c r="E234" s="38"/>
      <c r="F234" s="244">
        <v>0</v>
      </c>
      <c r="G234" s="1143"/>
      <c r="H234" s="38"/>
      <c r="I234" s="244"/>
      <c r="J234" s="681"/>
      <c r="K234" s="38"/>
      <c r="L234" s="658">
        <v>0</v>
      </c>
      <c r="M234" s="681"/>
      <c r="N234" s="658">
        <f t="shared" si="39"/>
        <v>0</v>
      </c>
      <c r="O234" s="681"/>
      <c r="P234" s="38"/>
      <c r="Q234" s="658">
        <v>0</v>
      </c>
      <c r="R234" s="681"/>
      <c r="S234" s="658">
        <f t="shared" si="40"/>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1116" t="s">
        <v>422</v>
      </c>
      <c r="B235" s="38" t="s">
        <v>148</v>
      </c>
      <c r="C235" s="681" t="s">
        <v>55</v>
      </c>
      <c r="D235" s="287"/>
      <c r="E235" s="38"/>
      <c r="F235" s="244">
        <v>0</v>
      </c>
      <c r="G235" s="1143"/>
      <c r="H235" s="38"/>
      <c r="I235" s="244"/>
      <c r="J235" s="681"/>
      <c r="K235" s="38"/>
      <c r="L235" s="658">
        <v>0</v>
      </c>
      <c r="M235" s="681"/>
      <c r="N235" s="658">
        <f t="shared" si="39"/>
        <v>0</v>
      </c>
      <c r="O235" s="681"/>
      <c r="P235" s="38"/>
      <c r="Q235" s="658">
        <v>0</v>
      </c>
      <c r="R235" s="681"/>
      <c r="S235" s="658">
        <f t="shared" si="40"/>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1116" t="s">
        <v>422</v>
      </c>
      <c r="B236" s="38" t="s">
        <v>148</v>
      </c>
      <c r="C236" s="238" t="s">
        <v>55</v>
      </c>
      <c r="D236" s="1146"/>
      <c r="E236" s="1151"/>
      <c r="F236" s="244">
        <v>0</v>
      </c>
      <c r="G236" s="1143"/>
      <c r="H236" s="38"/>
      <c r="I236" s="244"/>
      <c r="J236" s="681"/>
      <c r="K236" s="38"/>
      <c r="L236" s="658">
        <v>0</v>
      </c>
      <c r="M236" s="681"/>
      <c r="N236" s="658">
        <f t="shared" si="39"/>
        <v>0</v>
      </c>
      <c r="O236" s="681"/>
      <c r="P236" s="38"/>
      <c r="Q236" s="658">
        <v>0</v>
      </c>
      <c r="R236" s="681"/>
      <c r="S236" s="658">
        <f t="shared" si="40"/>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1116"/>
      <c r="B237" s="38"/>
      <c r="C237" s="291" t="s">
        <v>146</v>
      </c>
      <c r="D237" s="1147"/>
      <c r="E237" s="1148"/>
      <c r="F237" s="1149">
        <f>+SUM(F230:F236)</f>
        <v>0</v>
      </c>
      <c r="G237" s="295"/>
      <c r="H237" s="1148"/>
      <c r="I237" s="1149"/>
      <c r="J237" s="295"/>
      <c r="K237" s="1148"/>
      <c r="L237" s="1149">
        <f>+SUM(L230:L236)</f>
        <v>0</v>
      </c>
      <c r="M237" s="296"/>
      <c r="N237" s="1149">
        <f>SUM(N230:N233)</f>
        <v>0</v>
      </c>
      <c r="O237" s="295"/>
      <c r="P237" s="1148"/>
      <c r="Q237" s="1149">
        <f>+SUM(Q230:Q236)</f>
        <v>0</v>
      </c>
      <c r="R237" s="297"/>
      <c r="S237" s="1149">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681"/>
      <c r="D238" s="287"/>
      <c r="E238" s="38"/>
      <c r="F238" s="658"/>
      <c r="G238" s="1143"/>
      <c r="H238" s="38"/>
      <c r="I238" s="658"/>
      <c r="J238" s="681"/>
      <c r="K238" s="38"/>
      <c r="L238" s="658"/>
      <c r="M238" s="681"/>
      <c r="N238" s="658"/>
      <c r="O238" s="681"/>
      <c r="P238" s="38"/>
      <c r="Q238" s="658"/>
      <c r="R238" s="681"/>
      <c r="S238" s="658"/>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1116"/>
      <c r="B239" s="38"/>
      <c r="C239" s="953" t="s">
        <v>147</v>
      </c>
      <c r="D239" s="954"/>
      <c r="E239" s="955"/>
      <c r="F239" s="956" t="e">
        <f>F182-F229+F237</f>
        <v>#REF!</v>
      </c>
      <c r="G239" s="957"/>
      <c r="H239" s="955"/>
      <c r="I239" s="956"/>
      <c r="J239" s="957"/>
      <c r="K239" s="955"/>
      <c r="L239" s="956">
        <f>L182-L229+L237</f>
        <v>298564.74000000098</v>
      </c>
      <c r="M239" s="958"/>
      <c r="N239" s="956" t="e">
        <f>L239-F239</f>
        <v>#REF!</v>
      </c>
      <c r="O239" s="957"/>
      <c r="P239" s="955"/>
      <c r="Q239" s="956">
        <f>Q182-Q229+Q237</f>
        <v>227115.6099999994</v>
      </c>
      <c r="R239" s="959"/>
      <c r="S239" s="956">
        <f>L239-Q239</f>
        <v>71449.130000001576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1105" t="str">
        <f>C1</f>
        <v>Ste-Marie Auto</v>
      </c>
      <c r="D242" s="911"/>
      <c r="E242" s="912"/>
      <c r="F242" s="911"/>
      <c r="G242" s="911"/>
      <c r="H242" s="913"/>
      <c r="I242" s="911"/>
      <c r="J242" s="913"/>
      <c r="K242" s="914" t="s">
        <v>157</v>
      </c>
      <c r="L242" s="911"/>
      <c r="M242" s="911"/>
      <c r="N242" s="915"/>
      <c r="O242" s="1105"/>
      <c r="P242" s="1106"/>
      <c r="Q242" s="1105"/>
      <c r="R242" s="1106"/>
      <c r="S242" s="1107" t="str">
        <f>$S$1</f>
        <v>Réalisé  Q2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1111"/>
      <c r="D244" s="1244" t="s">
        <v>339</v>
      </c>
      <c r="E244" s="1245"/>
      <c r="F244" s="1248"/>
      <c r="G244" s="1247" t="s">
        <v>3379</v>
      </c>
      <c r="H244" s="1245"/>
      <c r="I244" s="1248"/>
      <c r="J244" s="1247" t="s">
        <v>340</v>
      </c>
      <c r="K244" s="1245"/>
      <c r="L244" s="1248"/>
      <c r="M244" s="1247" t="s">
        <v>668</v>
      </c>
      <c r="N244" s="1248"/>
      <c r="O244" s="1244" t="s">
        <v>341</v>
      </c>
      <c r="P244" s="1245"/>
      <c r="Q244" s="1248"/>
      <c r="R244" s="1247" t="s">
        <v>670</v>
      </c>
      <c r="S244" s="1248"/>
      <c r="T244" s="329"/>
      <c r="AA244" s="35"/>
      <c r="AB244" s="35"/>
      <c r="AC244" s="35"/>
      <c r="AD244" s="35"/>
      <c r="AE244" s="35"/>
      <c r="AF244" s="35"/>
      <c r="AG244" s="35"/>
      <c r="AH244" s="35"/>
      <c r="AI244" s="35"/>
      <c r="AJ244" s="35"/>
      <c r="AK244" s="35"/>
      <c r="AL244" s="35"/>
      <c r="AM244" s="35"/>
      <c r="AN244" s="35"/>
    </row>
    <row r="245" spans="1:40" ht="15.75" customHeight="1">
      <c r="A245" s="1116" t="str">
        <f t="shared" ref="A245:A300" si="41">+B245&amp;C245</f>
        <v>Service</v>
      </c>
      <c r="B245" s="38" t="s">
        <v>157</v>
      </c>
      <c r="C245" s="681"/>
      <c r="D245" s="36" t="s">
        <v>158</v>
      </c>
      <c r="E245" s="36" t="s">
        <v>159</v>
      </c>
      <c r="F245" s="920" t="s">
        <v>91</v>
      </c>
      <c r="G245" s="919" t="s">
        <v>158</v>
      </c>
      <c r="H245" s="36" t="s">
        <v>159</v>
      </c>
      <c r="I245" s="920" t="s">
        <v>91</v>
      </c>
      <c r="J245" s="919" t="s">
        <v>158</v>
      </c>
      <c r="K245" s="36" t="s">
        <v>159</v>
      </c>
      <c r="L245" s="920" t="s">
        <v>91</v>
      </c>
      <c r="M245" s="919" t="s">
        <v>523</v>
      </c>
      <c r="N245" s="920" t="s">
        <v>669</v>
      </c>
      <c r="O245" s="919" t="s">
        <v>158</v>
      </c>
      <c r="P245" s="36" t="s">
        <v>159</v>
      </c>
      <c r="Q245" s="920" t="s">
        <v>91</v>
      </c>
      <c r="R245" s="919" t="s">
        <v>453</v>
      </c>
      <c r="S245" s="920" t="s">
        <v>91</v>
      </c>
      <c r="T245" s="36"/>
      <c r="AA245" s="38"/>
      <c r="AB245" s="38"/>
      <c r="AC245" s="38"/>
      <c r="AD245" s="38"/>
      <c r="AE245" s="38"/>
      <c r="AF245" s="38"/>
      <c r="AG245" s="38"/>
      <c r="AH245" s="38"/>
      <c r="AI245" s="38"/>
      <c r="AJ245" s="38"/>
      <c r="AK245" s="38"/>
      <c r="AL245" s="38"/>
      <c r="AM245" s="38"/>
      <c r="AN245" s="38"/>
    </row>
    <row r="246" spans="1:40" ht="15.75" customHeight="1">
      <c r="A246" s="1116" t="str">
        <f t="shared" si="41"/>
        <v>ServiceM/O Client</v>
      </c>
      <c r="B246" s="38" t="s">
        <v>157</v>
      </c>
      <c r="C246" s="681" t="s">
        <v>160</v>
      </c>
      <c r="D246" s="281">
        <v>0</v>
      </c>
      <c r="E246" s="281">
        <v>0</v>
      </c>
      <c r="F246" s="281">
        <v>0</v>
      </c>
      <c r="G246" s="924">
        <v>0</v>
      </c>
      <c r="H246" s="281">
        <v>0</v>
      </c>
      <c r="I246" s="281">
        <v>0</v>
      </c>
      <c r="J246" s="736">
        <v>833</v>
      </c>
      <c r="K246" s="281">
        <v>170372.15999999997</v>
      </c>
      <c r="L246" s="658">
        <v>119676.4</v>
      </c>
      <c r="M246" s="925" t="e">
        <f>(K246-E246)/E246</f>
        <v>#DIV/0!</v>
      </c>
      <c r="N246" s="658">
        <f>L246-F246</f>
        <v>119676.4</v>
      </c>
      <c r="O246" s="736">
        <v>831</v>
      </c>
      <c r="P246" s="281">
        <v>284340.28000000003</v>
      </c>
      <c r="Q246" s="658">
        <v>219057.90000000002</v>
      </c>
      <c r="R246" s="925">
        <f>IF(O246=0,0,J246/O246)</f>
        <v>1.0024067388688327</v>
      </c>
      <c r="S246" s="658">
        <f>L246-Q246</f>
        <v>-99381.500000000029</v>
      </c>
      <c r="T246" s="281"/>
      <c r="AA246" s="38"/>
      <c r="AB246" s="38"/>
      <c r="AC246" s="38"/>
      <c r="AD246" s="38"/>
      <c r="AE246" s="38"/>
      <c r="AF246" s="38"/>
      <c r="AG246" s="38"/>
      <c r="AH246" s="38"/>
      <c r="AI246" s="38"/>
      <c r="AJ246" s="38"/>
      <c r="AK246" s="38"/>
      <c r="AL246" s="38"/>
      <c r="AM246" s="38"/>
      <c r="AN246" s="38"/>
    </row>
    <row r="247" spans="1:40" ht="15.75" customHeight="1">
      <c r="A247" s="1116" t="str">
        <f t="shared" si="41"/>
        <v>Service% profit / ventes</v>
      </c>
      <c r="B247" s="38" t="s">
        <v>157</v>
      </c>
      <c r="C247" s="681" t="s">
        <v>161</v>
      </c>
      <c r="D247" s="281"/>
      <c r="E247" s="325"/>
      <c r="F247" s="927" t="e">
        <f>F246/E246</f>
        <v>#DIV/0!</v>
      </c>
      <c r="G247" s="924"/>
      <c r="H247" s="325"/>
      <c r="I247" s="927" t="e">
        <f>I246/H246</f>
        <v>#DIV/0!</v>
      </c>
      <c r="J247" s="924"/>
      <c r="K247" s="38"/>
      <c r="L247" s="927">
        <f>L246/K246</f>
        <v>0.70244105609742824</v>
      </c>
      <c r="M247" s="925"/>
      <c r="N247" s="658"/>
      <c r="O247" s="924"/>
      <c r="P247" s="38"/>
      <c r="Q247" s="927">
        <f>Q246/P246</f>
        <v>0.77040755534178973</v>
      </c>
      <c r="R247" s="924"/>
      <c r="S247" s="927"/>
      <c r="T247" s="281"/>
      <c r="AA247" s="38"/>
      <c r="AB247" s="38"/>
      <c r="AC247" s="38"/>
      <c r="AD247" s="38"/>
      <c r="AE247" s="38"/>
      <c r="AF247" s="38"/>
      <c r="AG247" s="38"/>
      <c r="AH247" s="38"/>
      <c r="AI247" s="38"/>
      <c r="AJ247" s="38"/>
      <c r="AK247" s="38"/>
      <c r="AL247" s="38"/>
      <c r="AM247" s="38"/>
      <c r="AN247" s="38"/>
    </row>
    <row r="248" spans="1:40" ht="15.75" customHeight="1">
      <c r="A248" s="1116" t="str">
        <f t="shared" si="41"/>
        <v>Service</v>
      </c>
      <c r="B248" s="38" t="s">
        <v>157</v>
      </c>
      <c r="C248" s="238"/>
      <c r="D248" s="966"/>
      <c r="E248" s="1165">
        <f>IFERROR(E246/D246,0)</f>
        <v>0</v>
      </c>
      <c r="F248" s="1166"/>
      <c r="G248" s="335"/>
      <c r="H248" s="1165">
        <f>IFERROR(H246/G246,0)</f>
        <v>0</v>
      </c>
      <c r="I248" s="1166"/>
      <c r="J248" s="335"/>
      <c r="K248" s="1165">
        <f>IFERROR(K246/J246,0)</f>
        <v>204.52840336134452</v>
      </c>
      <c r="L248" s="1166"/>
      <c r="M248" s="285"/>
      <c r="N248" s="1120"/>
      <c r="O248" s="335"/>
      <c r="P248" s="1165">
        <f>IFERROR(P246/O246,0)</f>
        <v>342.16640192539114</v>
      </c>
      <c r="Q248" s="1166"/>
      <c r="R248" s="335"/>
      <c r="S248" s="1120"/>
      <c r="T248" s="281"/>
      <c r="AA248" s="38"/>
      <c r="AB248" s="38"/>
      <c r="AC248" s="38"/>
      <c r="AD248" s="38"/>
      <c r="AE248" s="38"/>
      <c r="AF248" s="38"/>
      <c r="AG248" s="38"/>
      <c r="AH248" s="38"/>
      <c r="AI248" s="38"/>
      <c r="AJ248" s="38"/>
      <c r="AK248" s="38"/>
      <c r="AL248" s="38"/>
      <c r="AM248" s="38"/>
      <c r="AN248" s="38"/>
    </row>
    <row r="249" spans="1:40" ht="18" customHeight="1">
      <c r="A249" s="1116" t="str">
        <f t="shared" si="41"/>
        <v>ServiceM/O Garantie</v>
      </c>
      <c r="B249" s="38" t="s">
        <v>157</v>
      </c>
      <c r="C249" s="1113" t="s">
        <v>162</v>
      </c>
      <c r="D249" s="336">
        <v>0</v>
      </c>
      <c r="E249" s="281">
        <v>0</v>
      </c>
      <c r="F249" s="281">
        <v>0</v>
      </c>
      <c r="G249" s="1139">
        <v>0</v>
      </c>
      <c r="H249" s="281">
        <v>0</v>
      </c>
      <c r="I249" s="281">
        <v>0</v>
      </c>
      <c r="J249" s="736">
        <v>908</v>
      </c>
      <c r="K249" s="336">
        <v>151994.88000000003</v>
      </c>
      <c r="L249" s="658">
        <v>97308.330000000031</v>
      </c>
      <c r="M249" s="925" t="e">
        <f>(K249-E249)/E249</f>
        <v>#DIV/0!</v>
      </c>
      <c r="N249" s="1138">
        <f>L249-F249</f>
        <v>97308.330000000031</v>
      </c>
      <c r="O249" s="736">
        <v>1116</v>
      </c>
      <c r="P249" s="336">
        <v>157425</v>
      </c>
      <c r="Q249" s="658">
        <v>108375.01999999999</v>
      </c>
      <c r="R249" s="925">
        <f>IF(O249=0,0,J249/O249)</f>
        <v>0.81362007168458783</v>
      </c>
      <c r="S249" s="658">
        <f>L249-Q249</f>
        <v>-11066.689999999959</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1116" t="str">
        <f t="shared" si="41"/>
        <v>Service% profit / ventes</v>
      </c>
      <c r="B250" s="38" t="s">
        <v>157</v>
      </c>
      <c r="C250" s="681" t="s">
        <v>161</v>
      </c>
      <c r="D250" s="38"/>
      <c r="E250" s="38"/>
      <c r="F250" s="927" t="e">
        <f>F249/E249</f>
        <v>#DIV/0!</v>
      </c>
      <c r="G250" s="681"/>
      <c r="H250" s="38"/>
      <c r="I250" s="927" t="e">
        <f>I249/H249</f>
        <v>#DIV/0!</v>
      </c>
      <c r="J250" s="681"/>
      <c r="K250" s="38"/>
      <c r="L250" s="927">
        <f>L249/K249</f>
        <v>0.64020794647819723</v>
      </c>
      <c r="M250" s="925"/>
      <c r="N250" s="927"/>
      <c r="O250" s="681"/>
      <c r="P250" s="38"/>
      <c r="Q250" s="927">
        <f>Q249/P249</f>
        <v>0.68842318564395732</v>
      </c>
      <c r="R250" s="925"/>
      <c r="S250" s="927"/>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1116" t="str">
        <f t="shared" si="41"/>
        <v>Service</v>
      </c>
      <c r="B251" s="38" t="s">
        <v>157</v>
      </c>
      <c r="C251" s="238"/>
      <c r="D251" s="1151"/>
      <c r="E251" s="1165"/>
      <c r="F251" s="1166"/>
      <c r="G251" s="335"/>
      <c r="H251" s="1165"/>
      <c r="I251" s="1166"/>
      <c r="J251" s="335"/>
      <c r="K251" s="1165"/>
      <c r="L251" s="1166"/>
      <c r="M251" s="285"/>
      <c r="N251" s="1120"/>
      <c r="O251" s="335"/>
      <c r="P251" s="1165"/>
      <c r="Q251" s="1166"/>
      <c r="R251" s="285"/>
      <c r="S251" s="1166"/>
      <c r="T251" s="38"/>
      <c r="AA251" s="38"/>
      <c r="AB251" s="38"/>
      <c r="AC251" s="38"/>
      <c r="AD251" s="38"/>
      <c r="AE251" s="38"/>
      <c r="AF251" s="38"/>
      <c r="AG251" s="38"/>
      <c r="AH251" s="38"/>
      <c r="AI251" s="38"/>
      <c r="AJ251" s="38"/>
      <c r="AK251" s="38"/>
      <c r="AL251" s="38"/>
      <c r="AM251" s="38"/>
      <c r="AN251" s="38"/>
    </row>
    <row r="252" spans="1:40" ht="15.75" customHeight="1">
      <c r="A252" s="1116" t="str">
        <f t="shared" si="41"/>
        <v>ServiceM/O Interne</v>
      </c>
      <c r="B252" s="38" t="s">
        <v>157</v>
      </c>
      <c r="C252" s="681" t="s">
        <v>163</v>
      </c>
      <c r="D252" s="281">
        <v>0</v>
      </c>
      <c r="E252" s="281">
        <v>0</v>
      </c>
      <c r="F252" s="281">
        <v>0</v>
      </c>
      <c r="G252" s="924">
        <v>0</v>
      </c>
      <c r="H252" s="281">
        <v>0</v>
      </c>
      <c r="I252" s="281">
        <v>0</v>
      </c>
      <c r="J252" s="736">
        <v>1494</v>
      </c>
      <c r="K252" s="336">
        <v>233638.03000000003</v>
      </c>
      <c r="L252" s="658">
        <v>171614.62000000005</v>
      </c>
      <c r="M252" s="925" t="e">
        <f>(K252-E252)/E252</f>
        <v>#DIV/0!</v>
      </c>
      <c r="N252" s="658">
        <f>L252-F252</f>
        <v>171614.62000000005</v>
      </c>
      <c r="O252" s="736">
        <v>2113</v>
      </c>
      <c r="P252" s="336">
        <v>273589.62</v>
      </c>
      <c r="Q252" s="658">
        <v>206736.61000000002</v>
      </c>
      <c r="R252" s="925">
        <f>IF(O252=0,0,J252/O252)</f>
        <v>0.70705158542356839</v>
      </c>
      <c r="S252" s="658">
        <f>L252-Q252</f>
        <v>-35121.989999999962</v>
      </c>
      <c r="T252" s="281"/>
      <c r="AA252" s="38"/>
      <c r="AB252" s="38"/>
      <c r="AC252" s="38"/>
      <c r="AD252" s="38"/>
      <c r="AE252" s="38"/>
      <c r="AF252" s="38"/>
      <c r="AG252" s="38"/>
      <c r="AH252" s="38"/>
      <c r="AI252" s="38"/>
      <c r="AJ252" s="38"/>
      <c r="AK252" s="38"/>
      <c r="AL252" s="38"/>
      <c r="AM252" s="38"/>
      <c r="AN252" s="38"/>
    </row>
    <row r="253" spans="1:40" ht="15.75" customHeight="1">
      <c r="A253" s="1116" t="str">
        <f t="shared" si="41"/>
        <v>Service% profit / ventes</v>
      </c>
      <c r="B253" s="38" t="s">
        <v>157</v>
      </c>
      <c r="C253" s="681" t="s">
        <v>161</v>
      </c>
      <c r="D253" s="281"/>
      <c r="E253" s="325"/>
      <c r="F253" s="927" t="e">
        <f>F252/E252</f>
        <v>#DIV/0!</v>
      </c>
      <c r="G253" s="924"/>
      <c r="H253" s="325"/>
      <c r="I253" s="927" t="e">
        <f>I252/H252</f>
        <v>#DIV/0!</v>
      </c>
      <c r="J253" s="924"/>
      <c r="K253" s="325"/>
      <c r="L253" s="927">
        <f>L252/K252</f>
        <v>0.73453204514693105</v>
      </c>
      <c r="M253" s="925"/>
      <c r="N253" s="658" t="e">
        <f>L253-F253</f>
        <v>#DIV/0!</v>
      </c>
      <c r="O253" s="924"/>
      <c r="P253" s="325"/>
      <c r="Q253" s="927">
        <f>Q252/P252</f>
        <v>0.75564493272807653</v>
      </c>
      <c r="R253" s="924">
        <f>O253-K253</f>
        <v>0</v>
      </c>
      <c r="S253" s="927"/>
      <c r="T253" s="281"/>
      <c r="AA253" s="38"/>
      <c r="AB253" s="38"/>
      <c r="AC253" s="38"/>
      <c r="AD253" s="38"/>
      <c r="AE253" s="38"/>
      <c r="AF253" s="38"/>
      <c r="AG253" s="38"/>
      <c r="AH253" s="38"/>
      <c r="AI253" s="38"/>
      <c r="AJ253" s="38"/>
      <c r="AK253" s="38"/>
      <c r="AL253" s="38"/>
      <c r="AM253" s="38"/>
      <c r="AN253" s="38"/>
    </row>
    <row r="254" spans="1:40" ht="15.75" customHeight="1">
      <c r="A254" s="1116" t="str">
        <f t="shared" si="41"/>
        <v>Service</v>
      </c>
      <c r="B254" s="38" t="s">
        <v>157</v>
      </c>
      <c r="C254" s="681"/>
      <c r="D254" s="281"/>
      <c r="E254" s="1165"/>
      <c r="F254" s="1166"/>
      <c r="G254" s="335"/>
      <c r="H254" s="1165"/>
      <c r="I254" s="1166"/>
      <c r="J254" s="335"/>
      <c r="K254" s="1165"/>
      <c r="L254" s="1166"/>
      <c r="M254" s="285"/>
      <c r="N254" s="1120"/>
      <c r="O254" s="335"/>
      <c r="P254" s="1165"/>
      <c r="Q254" s="1166"/>
      <c r="R254" s="335"/>
      <c r="S254" s="658"/>
      <c r="T254" s="281"/>
      <c r="U254" s="695"/>
      <c r="AA254" s="38"/>
      <c r="AB254" s="38"/>
      <c r="AC254" s="38"/>
      <c r="AD254" s="38"/>
      <c r="AE254" s="38"/>
      <c r="AF254" s="38"/>
      <c r="AG254" s="38"/>
      <c r="AH254" s="38"/>
      <c r="AI254" s="38"/>
      <c r="AJ254" s="38"/>
      <c r="AK254" s="38"/>
      <c r="AL254" s="38"/>
      <c r="AM254" s="38"/>
      <c r="AN254" s="38"/>
    </row>
    <row r="255" spans="1:40" ht="15.75" customHeight="1">
      <c r="A255" s="1116" t="str">
        <f t="shared" si="41"/>
        <v>ServiceM/O Esthétique</v>
      </c>
      <c r="B255" s="38" t="s">
        <v>157</v>
      </c>
      <c r="C255" s="1113" t="s">
        <v>164</v>
      </c>
      <c r="D255" s="336">
        <v>0</v>
      </c>
      <c r="E255" s="281">
        <v>0</v>
      </c>
      <c r="F255" s="281">
        <v>0</v>
      </c>
      <c r="G255" s="1139">
        <v>0</v>
      </c>
      <c r="H255" s="281">
        <v>0</v>
      </c>
      <c r="I255" s="281">
        <v>0</v>
      </c>
      <c r="J255" s="736">
        <v>0</v>
      </c>
      <c r="K255" s="336">
        <v>0</v>
      </c>
      <c r="L255" s="1138">
        <v>0</v>
      </c>
      <c r="M255" s="1167">
        <f>IF(E255=0,0,(K255-E255)/E255)</f>
        <v>0</v>
      </c>
      <c r="N255" s="1138">
        <f>L255-F255</f>
        <v>0</v>
      </c>
      <c r="O255" s="736">
        <v>0</v>
      </c>
      <c r="P255" s="336">
        <v>0</v>
      </c>
      <c r="Q255" s="1138">
        <v>0</v>
      </c>
      <c r="R255" s="925">
        <f>IF(O255=0,0,J255/O255)</f>
        <v>0</v>
      </c>
      <c r="S255" s="1138">
        <f>L255-Q255</f>
        <v>0</v>
      </c>
      <c r="T255" s="281"/>
      <c r="U255" s="695"/>
      <c r="AA255" s="38"/>
      <c r="AB255" s="38"/>
      <c r="AC255" s="38"/>
      <c r="AD255" s="38"/>
      <c r="AE255" s="38"/>
      <c r="AF255" s="38"/>
      <c r="AG255" s="38"/>
      <c r="AH255" s="38"/>
      <c r="AI255" s="38"/>
      <c r="AJ255" s="38"/>
      <c r="AK255" s="38"/>
      <c r="AL255" s="38"/>
      <c r="AM255" s="38"/>
      <c r="AN255" s="38"/>
    </row>
    <row r="256" spans="1:40" ht="15.75" customHeight="1">
      <c r="A256" s="1116" t="str">
        <f t="shared" si="41"/>
        <v>Service% profit / ventes</v>
      </c>
      <c r="B256" s="38" t="s">
        <v>157</v>
      </c>
      <c r="C256" s="681" t="s">
        <v>161</v>
      </c>
      <c r="D256" s="38"/>
      <c r="E256" s="325"/>
      <c r="F256" s="927">
        <f>IFERROR(F255/E255,0)</f>
        <v>0</v>
      </c>
      <c r="G256" s="681"/>
      <c r="H256" s="325"/>
      <c r="I256" s="927">
        <f>IFERROR(I255/H255,0)</f>
        <v>0</v>
      </c>
      <c r="J256" s="924"/>
      <c r="K256" s="325"/>
      <c r="L256" s="927">
        <f>IFERROR(L255/K255,0)</f>
        <v>0</v>
      </c>
      <c r="M256" s="924">
        <f>J256-D256</f>
        <v>0</v>
      </c>
      <c r="N256" s="658"/>
      <c r="O256" s="924"/>
      <c r="P256" s="325"/>
      <c r="Q256" s="927">
        <f>IFERROR(Q255/P255,0)</f>
        <v>0</v>
      </c>
      <c r="R256" s="681"/>
      <c r="S256" s="927"/>
      <c r="T256" s="305"/>
      <c r="U256" s="695"/>
      <c r="AA256" s="38"/>
      <c r="AB256" s="38"/>
      <c r="AC256" s="38"/>
      <c r="AD256" s="38"/>
      <c r="AE256" s="38"/>
      <c r="AF256" s="38"/>
      <c r="AG256" s="38"/>
      <c r="AH256" s="38"/>
      <c r="AI256" s="38"/>
      <c r="AJ256" s="38"/>
      <c r="AK256" s="38"/>
      <c r="AL256" s="38"/>
      <c r="AM256" s="38"/>
      <c r="AN256" s="38"/>
    </row>
    <row r="257" spans="1:40" ht="15.75" customHeight="1">
      <c r="A257" s="1116" t="str">
        <f t="shared" si="41"/>
        <v>Service</v>
      </c>
      <c r="B257" s="38" t="s">
        <v>157</v>
      </c>
      <c r="C257" s="238"/>
      <c r="D257" s="1151"/>
      <c r="E257" s="1168"/>
      <c r="F257" s="1166"/>
      <c r="G257" s="238"/>
      <c r="H257" s="1168"/>
      <c r="I257" s="1166"/>
      <c r="J257" s="335"/>
      <c r="K257" s="1165"/>
      <c r="L257" s="1166"/>
      <c r="M257" s="335"/>
      <c r="N257" s="1120"/>
      <c r="O257" s="335"/>
      <c r="P257" s="1165"/>
      <c r="Q257" s="1166"/>
      <c r="R257" s="238"/>
      <c r="S257" s="1120"/>
      <c r="T257" s="305"/>
      <c r="AA257" s="38"/>
      <c r="AB257" s="38"/>
      <c r="AC257" s="38"/>
      <c r="AD257" s="38"/>
      <c r="AE257" s="38"/>
      <c r="AF257" s="38"/>
      <c r="AG257" s="38"/>
      <c r="AH257" s="38"/>
      <c r="AI257" s="38"/>
      <c r="AJ257" s="38"/>
      <c r="AK257" s="38"/>
      <c r="AL257" s="38"/>
      <c r="AM257" s="38"/>
      <c r="AN257" s="38"/>
    </row>
    <row r="258" spans="1:40" ht="26.25" customHeight="1" thickBot="1">
      <c r="A258" s="1116" t="str">
        <f t="shared" si="41"/>
        <v>ServiceAjustement M/O</v>
      </c>
      <c r="B258" s="38" t="s">
        <v>157</v>
      </c>
      <c r="C258" s="681" t="s">
        <v>165</v>
      </c>
      <c r="D258" s="38"/>
      <c r="E258" s="38"/>
      <c r="F258" s="658">
        <v>0</v>
      </c>
      <c r="G258" s="681"/>
      <c r="H258" s="281"/>
      <c r="I258" s="281">
        <v>0</v>
      </c>
      <c r="J258" s="924"/>
      <c r="K258" s="281"/>
      <c r="L258" s="281">
        <v>-8363.4699999999993</v>
      </c>
      <c r="M258" s="924"/>
      <c r="N258" s="658">
        <f>L258-F258</f>
        <v>-8363.4699999999993</v>
      </c>
      <c r="O258" s="924"/>
      <c r="P258" s="281"/>
      <c r="Q258" s="281">
        <v>4807.4199999999983</v>
      </c>
      <c r="R258" s="345"/>
      <c r="S258" s="658">
        <f>L258-Q258</f>
        <v>-13170.889999999998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1116" t="str">
        <f t="shared" si="41"/>
        <v>ServiceSous-total M/O</v>
      </c>
      <c r="B259" s="38" t="s">
        <v>157</v>
      </c>
      <c r="C259" s="346" t="s">
        <v>166</v>
      </c>
      <c r="D259" s="347"/>
      <c r="E259" s="347">
        <f>E246+E249+E252+E255+E258</f>
        <v>0</v>
      </c>
      <c r="F259" s="1169">
        <f>F246+F249+F252+F255+F258</f>
        <v>0</v>
      </c>
      <c r="G259" s="349"/>
      <c r="H259" s="347">
        <f>H246+H249+H252+H255+H258</f>
        <v>0</v>
      </c>
      <c r="I259" s="1169">
        <f>I246+I249+I252+I255+I258</f>
        <v>0</v>
      </c>
      <c r="J259" s="973"/>
      <c r="K259" s="974">
        <f>K246+K249+K252+K255+K258</f>
        <v>556005.07000000007</v>
      </c>
      <c r="L259" s="1170">
        <f>L246+L249+L252+L255+L258</f>
        <v>380235.88000000012</v>
      </c>
      <c r="M259" s="976" t="e">
        <f>(K259-E259)/E259</f>
        <v>#DIV/0!</v>
      </c>
      <c r="N259" s="1170">
        <f>L259-F259</f>
        <v>380235.88000000012</v>
      </c>
      <c r="O259" s="973"/>
      <c r="P259" s="974">
        <f>P246+P249+P252+P255+P258</f>
        <v>715354.9</v>
      </c>
      <c r="Q259" s="1170">
        <f>Q246+Q249+Q252+Q255+Q258</f>
        <v>538976.95000000007</v>
      </c>
      <c r="R259" s="928">
        <f>IF(O259=0,0,J259/O259)</f>
        <v>0</v>
      </c>
      <c r="S259" s="1169">
        <f>L259-Q259</f>
        <v>-158741.06999999995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1116" t="str">
        <f t="shared" si="41"/>
        <v>Service% protit / ventes</v>
      </c>
      <c r="B260" s="38" t="s">
        <v>157</v>
      </c>
      <c r="C260" s="1171" t="s">
        <v>167</v>
      </c>
      <c r="D260" s="351"/>
      <c r="E260" s="352"/>
      <c r="F260" s="353" t="e">
        <f>F259/E259</f>
        <v>#DIV/0!</v>
      </c>
      <c r="G260" s="1172"/>
      <c r="H260" s="352"/>
      <c r="I260" s="929" t="e">
        <f>I259/H259</f>
        <v>#DIV/0!</v>
      </c>
      <c r="J260" s="1173"/>
      <c r="K260" s="978"/>
      <c r="L260" s="929">
        <f>L259/K259</f>
        <v>0.68387124599421378</v>
      </c>
      <c r="M260" s="1173"/>
      <c r="N260" s="979" t="e">
        <f>N259/F259</f>
        <v>#DIV/0!</v>
      </c>
      <c r="O260" s="1173"/>
      <c r="P260" s="978"/>
      <c r="Q260" s="929">
        <f>Q259/P259</f>
        <v>0.75343993589755243</v>
      </c>
      <c r="R260" s="1172"/>
      <c r="S260" s="929">
        <f>IF(R259=0,0,S259/R259)</f>
        <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1116" t="str">
        <f t="shared" si="41"/>
        <v>Service</v>
      </c>
      <c r="B261" s="38" t="s">
        <v>157</v>
      </c>
      <c r="C261" s="1113"/>
      <c r="D261" s="336"/>
      <c r="E261" s="990"/>
      <c r="F261" s="1138"/>
      <c r="G261" s="1139"/>
      <c r="H261" s="990"/>
      <c r="I261" s="1138"/>
      <c r="J261" s="1139"/>
      <c r="K261" s="990"/>
      <c r="L261" s="1138"/>
      <c r="M261" s="1139"/>
      <c r="N261" s="1138"/>
      <c r="O261" s="1139"/>
      <c r="P261" s="990"/>
      <c r="Q261" s="1138"/>
      <c r="R261" s="1139"/>
      <c r="S261" s="1138"/>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1116" t="str">
        <f t="shared" si="41"/>
        <v>ServiceSous-traitement</v>
      </c>
      <c r="B262" s="38" t="s">
        <v>157</v>
      </c>
      <c r="C262" s="681" t="s">
        <v>168</v>
      </c>
      <c r="D262" s="281"/>
      <c r="E262" s="281">
        <v>0</v>
      </c>
      <c r="F262" s="281">
        <v>0</v>
      </c>
      <c r="G262" s="924"/>
      <c r="H262" s="281">
        <v>0</v>
      </c>
      <c r="I262" s="281">
        <v>0</v>
      </c>
      <c r="J262" s="736"/>
      <c r="K262" s="281">
        <v>47114.150000000009</v>
      </c>
      <c r="L262" s="658">
        <v>11973.680000000008</v>
      </c>
      <c r="M262" s="925">
        <f>IF(E262=0,0,(K262-E262)/E262)</f>
        <v>0</v>
      </c>
      <c r="N262" s="658">
        <f>L262-F262</f>
        <v>11973.680000000008</v>
      </c>
      <c r="O262" s="736"/>
      <c r="P262" s="281">
        <v>96625.4</v>
      </c>
      <c r="Q262" s="658">
        <v>18504.549999999992</v>
      </c>
      <c r="R262" s="925">
        <f>IF(O262=0,0,J262/O262)</f>
        <v>0</v>
      </c>
      <c r="S262" s="658">
        <f>L262-Q262</f>
        <v>-6530.8699999999844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1116" t="str">
        <f t="shared" si="41"/>
        <v>Service% profit / ventes</v>
      </c>
      <c r="B263" s="38" t="s">
        <v>157</v>
      </c>
      <c r="C263" s="681" t="s">
        <v>161</v>
      </c>
      <c r="D263" s="38"/>
      <c r="E263" s="325"/>
      <c r="F263" s="927">
        <f>IFERROR(F262/E262,0)</f>
        <v>0</v>
      </c>
      <c r="G263" s="681"/>
      <c r="H263" s="325"/>
      <c r="I263" s="927">
        <f>IFERROR(I262/H262,0)</f>
        <v>0</v>
      </c>
      <c r="J263" s="924"/>
      <c r="K263" s="325"/>
      <c r="L263" s="927">
        <f>IFERROR(L262/K262,0)</f>
        <v>0.25414190853490948</v>
      </c>
      <c r="M263" s="924"/>
      <c r="N263" s="658"/>
      <c r="O263" s="924"/>
      <c r="P263" s="325"/>
      <c r="Q263" s="927">
        <f>IFERROR(Q262/P262,0)</f>
        <v>0.19150813347215115</v>
      </c>
      <c r="R263" s="924"/>
      <c r="S263" s="927"/>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1116" t="str">
        <f t="shared" si="41"/>
        <v>Service</v>
      </c>
      <c r="B264" s="38" t="s">
        <v>157</v>
      </c>
      <c r="C264" s="681"/>
      <c r="D264" s="38"/>
      <c r="E264" s="325"/>
      <c r="F264" s="927"/>
      <c r="G264" s="681"/>
      <c r="H264" s="325"/>
      <c r="I264" s="927"/>
      <c r="J264" s="1161"/>
      <c r="K264" s="341"/>
      <c r="L264" s="927"/>
      <c r="M264" s="1161"/>
      <c r="N264" s="1129"/>
      <c r="O264" s="1161"/>
      <c r="P264" s="341"/>
      <c r="Q264" s="927"/>
      <c r="R264" s="1161"/>
      <c r="S264" s="1129"/>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1116" t="str">
        <f t="shared" si="41"/>
        <v>ServiceM.O. Recond. MCPA</v>
      </c>
      <c r="B265" s="38" t="s">
        <v>157</v>
      </c>
      <c r="C265" s="681" t="s">
        <v>169</v>
      </c>
      <c r="D265" s="38"/>
      <c r="E265" s="281">
        <v>0</v>
      </c>
      <c r="F265" s="281">
        <v>0</v>
      </c>
      <c r="G265" s="681"/>
      <c r="H265" s="281">
        <v>0</v>
      </c>
      <c r="I265" s="281">
        <v>0</v>
      </c>
      <c r="J265" s="736"/>
      <c r="K265" s="244">
        <v>0</v>
      </c>
      <c r="L265" s="967">
        <v>0</v>
      </c>
      <c r="M265" s="925"/>
      <c r="N265" s="658"/>
      <c r="O265" s="736"/>
      <c r="P265" s="244">
        <v>0</v>
      </c>
      <c r="Q265" s="967">
        <v>0</v>
      </c>
      <c r="R265" s="925"/>
      <c r="S265" s="658"/>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1116" t="str">
        <f t="shared" si="41"/>
        <v>Service% profit / ventes</v>
      </c>
      <c r="B266" s="38" t="s">
        <v>157</v>
      </c>
      <c r="C266" s="681" t="s">
        <v>161</v>
      </c>
      <c r="D266" s="38"/>
      <c r="E266" s="325"/>
      <c r="F266" s="927">
        <f>IF(F265=0,0,F265/E265)</f>
        <v>0</v>
      </c>
      <c r="G266" s="681"/>
      <c r="H266" s="325"/>
      <c r="I266" s="927">
        <f>IF(I265=0,0,I265/H265)</f>
        <v>0</v>
      </c>
      <c r="J266" s="1161"/>
      <c r="K266" s="341"/>
      <c r="L266" s="927">
        <f>IF(L265=0,0,L265/K265)</f>
        <v>0</v>
      </c>
      <c r="M266" s="1161"/>
      <c r="N266" s="1129"/>
      <c r="O266" s="1161"/>
      <c r="P266" s="341"/>
      <c r="Q266" s="927">
        <f>IF(Q265=0,0,Q265/P265)</f>
        <v>0</v>
      </c>
      <c r="R266" s="1161"/>
      <c r="S266" s="1129"/>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1116" t="str">
        <f t="shared" si="41"/>
        <v>Service</v>
      </c>
      <c r="B267" s="38" t="s">
        <v>157</v>
      </c>
      <c r="C267" s="358"/>
      <c r="D267" s="1174"/>
      <c r="E267" s="1175"/>
      <c r="F267" s="361"/>
      <c r="G267" s="362"/>
      <c r="H267" s="1175"/>
      <c r="I267" s="361"/>
      <c r="J267" s="362"/>
      <c r="K267" s="1175"/>
      <c r="L267" s="361"/>
      <c r="M267" s="362"/>
      <c r="N267" s="361"/>
      <c r="O267" s="362"/>
      <c r="P267" s="1175"/>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1116" t="str">
        <f t="shared" si="41"/>
        <v>ServiceTotal Mécanique</v>
      </c>
      <c r="B268" s="38" t="s">
        <v>157</v>
      </c>
      <c r="C268" s="268" t="s">
        <v>170</v>
      </c>
      <c r="D268" s="269"/>
      <c r="E268" s="270">
        <f>E259+E262+E265</f>
        <v>0</v>
      </c>
      <c r="F268" s="1140">
        <f>F259+F262+F265</f>
        <v>0</v>
      </c>
      <c r="G268" s="272"/>
      <c r="H268" s="270">
        <f>H259+H262+H265</f>
        <v>0</v>
      </c>
      <c r="I268" s="1140">
        <f>I259+I262+I265</f>
        <v>0</v>
      </c>
      <c r="J268" s="272"/>
      <c r="K268" s="269">
        <f>K259+K262+K265</f>
        <v>603119.22000000009</v>
      </c>
      <c r="L268" s="1140">
        <f>L259+L262+L265</f>
        <v>392209.56000000011</v>
      </c>
      <c r="M268" s="272" t="e">
        <f>L269-F269</f>
        <v>#DIV/0!</v>
      </c>
      <c r="N268" s="1140">
        <f>L268-F268</f>
        <v>392209.56000000011</v>
      </c>
      <c r="O268" s="272"/>
      <c r="P268" s="269">
        <f>P259+P262+P265</f>
        <v>811980.3</v>
      </c>
      <c r="Q268" s="1140">
        <f>Q259+Q262+Q265</f>
        <v>557481.50000000012</v>
      </c>
      <c r="R268" s="272">
        <f>L269-Q269</f>
        <v>-3.626835272726292E-2</v>
      </c>
      <c r="S268" s="1140">
        <f>L268-Q268</f>
        <v>-165271.94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1116" t="str">
        <f t="shared" si="41"/>
        <v>Service</v>
      </c>
      <c r="B269" s="38" t="s">
        <v>157</v>
      </c>
      <c r="C269" s="273"/>
      <c r="D269" s="274"/>
      <c r="E269" s="274"/>
      <c r="F269" s="275" t="e">
        <f>F268/E268</f>
        <v>#DIV/0!</v>
      </c>
      <c r="G269" s="273"/>
      <c r="H269" s="274"/>
      <c r="I269" s="275" t="e">
        <f>I268/H268</f>
        <v>#DIV/0!</v>
      </c>
      <c r="J269" s="273"/>
      <c r="K269" s="945"/>
      <c r="L269" s="326">
        <f>L268/K268</f>
        <v>0.65030187563911501</v>
      </c>
      <c r="M269" s="276"/>
      <c r="N269" s="277" t="e">
        <f>N268/F268</f>
        <v>#DIV/0!</v>
      </c>
      <c r="O269" s="273"/>
      <c r="P269" s="945"/>
      <c r="Q269" s="326">
        <f>Q268/P268</f>
        <v>0.68657022836637793</v>
      </c>
      <c r="R269" s="276"/>
      <c r="S269" s="326">
        <f>L268/S268</f>
        <v>-2.3731164527989455</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1116" t="str">
        <f t="shared" si="41"/>
        <v>Service</v>
      </c>
      <c r="B270" s="38" t="s">
        <v>157</v>
      </c>
      <c r="C270" s="970"/>
      <c r="D270" s="11"/>
      <c r="E270" s="11"/>
      <c r="F270" s="929"/>
      <c r="G270" s="970"/>
      <c r="H270" s="11"/>
      <c r="I270" s="929"/>
      <c r="J270" s="970"/>
      <c r="K270" s="305"/>
      <c r="L270" s="929"/>
      <c r="M270" s="928"/>
      <c r="N270" s="929"/>
      <c r="O270" s="970"/>
      <c r="P270" s="305"/>
      <c r="Q270" s="929"/>
      <c r="R270" s="928"/>
      <c r="S270" s="929"/>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1116" t="str">
        <f t="shared" si="41"/>
        <v>ServiceDEPENSES</v>
      </c>
      <c r="B271" s="38" t="s">
        <v>157</v>
      </c>
      <c r="C271" s="1141" t="s">
        <v>106</v>
      </c>
      <c r="D271" s="38"/>
      <c r="E271" s="38"/>
      <c r="F271" s="658"/>
      <c r="G271" s="681"/>
      <c r="H271" s="38"/>
      <c r="I271" s="658"/>
      <c r="J271" s="681"/>
      <c r="K271" s="38"/>
      <c r="L271" s="1134"/>
      <c r="M271" s="681"/>
      <c r="N271" s="1134"/>
      <c r="O271" s="681"/>
      <c r="P271" s="38"/>
      <c r="Q271" s="1134"/>
      <c r="R271" s="681"/>
      <c r="S271" s="1134"/>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1116" t="str">
        <f t="shared" si="41"/>
        <v>ServiceSalaires cadres</v>
      </c>
      <c r="B272" s="38" t="s">
        <v>157</v>
      </c>
      <c r="C272" s="992" t="s">
        <v>116</v>
      </c>
      <c r="D272" s="38"/>
      <c r="E272" s="38"/>
      <c r="F272" s="244">
        <v>0</v>
      </c>
      <c r="G272" s="681"/>
      <c r="H272" s="38"/>
      <c r="I272" s="244">
        <v>0</v>
      </c>
      <c r="J272" s="681"/>
      <c r="K272" s="38"/>
      <c r="L272" s="658">
        <v>27279.399999999998</v>
      </c>
      <c r="M272" s="681"/>
      <c r="N272" s="658">
        <f t="shared" ref="N272:N303" si="42">L272-F272</f>
        <v>27279.399999999998</v>
      </c>
      <c r="O272" s="681"/>
      <c r="P272" s="38"/>
      <c r="Q272" s="658">
        <v>24432.119999999995</v>
      </c>
      <c r="R272" s="681"/>
      <c r="S272" s="658">
        <f t="shared" ref="S272:S277" si="43">L272-Q272</f>
        <v>2847.2800000000025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1116" t="str">
        <f t="shared" si="41"/>
        <v>ServiceSalaires commis</v>
      </c>
      <c r="B273" s="38" t="s">
        <v>157</v>
      </c>
      <c r="C273" s="299" t="s">
        <v>117</v>
      </c>
      <c r="D273" s="287"/>
      <c r="E273" s="38"/>
      <c r="F273" s="1118">
        <v>0</v>
      </c>
      <c r="G273" s="1143"/>
      <c r="H273" s="38"/>
      <c r="I273" s="1118">
        <v>0</v>
      </c>
      <c r="J273" s="681"/>
      <c r="K273" s="38"/>
      <c r="L273" s="658">
        <v>62923.429999999993</v>
      </c>
      <c r="M273" s="681"/>
      <c r="N273" s="658">
        <f t="shared" si="42"/>
        <v>62923.429999999993</v>
      </c>
      <c r="O273" s="681"/>
      <c r="P273" s="38"/>
      <c r="Q273" s="658">
        <v>81470.59</v>
      </c>
      <c r="R273" s="681"/>
      <c r="S273" s="658">
        <f t="shared" si="43"/>
        <v>-18547.160000000003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1116" t="str">
        <f t="shared" si="41"/>
        <v>ServiceSalaires autres</v>
      </c>
      <c r="B274" s="38" t="s">
        <v>157</v>
      </c>
      <c r="C274" s="992" t="s">
        <v>118</v>
      </c>
      <c r="D274" s="300"/>
      <c r="E274" s="301"/>
      <c r="F274" s="244">
        <v>0</v>
      </c>
      <c r="G274" s="1150"/>
      <c r="H274" s="301"/>
      <c r="I274" s="244">
        <v>0</v>
      </c>
      <c r="J274" s="1113"/>
      <c r="K274" s="301"/>
      <c r="L274" s="1138">
        <v>37582.990000000005</v>
      </c>
      <c r="M274" s="1113"/>
      <c r="N274" s="1138">
        <f t="shared" si="42"/>
        <v>37582.990000000005</v>
      </c>
      <c r="O274" s="1113"/>
      <c r="P274" s="301"/>
      <c r="Q274" s="1138">
        <v>95589.37000000001</v>
      </c>
      <c r="R274" s="1113"/>
      <c r="S274" s="1138">
        <f t="shared" si="43"/>
        <v>-58006.380000000005</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1116" t="str">
        <f t="shared" si="41"/>
        <v>ServiceSalaires spécialistes</v>
      </c>
      <c r="B275" s="38" t="s">
        <v>157</v>
      </c>
      <c r="C275" s="992" t="s">
        <v>119</v>
      </c>
      <c r="D275" s="287"/>
      <c r="E275" s="737"/>
      <c r="F275" s="244">
        <v>0</v>
      </c>
      <c r="G275" s="1143"/>
      <c r="H275" s="38"/>
      <c r="I275" s="244">
        <v>0</v>
      </c>
      <c r="J275" s="681"/>
      <c r="K275" s="745"/>
      <c r="L275" s="658">
        <v>15838.4</v>
      </c>
      <c r="M275" s="681"/>
      <c r="N275" s="658">
        <f t="shared" si="42"/>
        <v>15838.4</v>
      </c>
      <c r="O275" s="681"/>
      <c r="P275" s="745"/>
      <c r="Q275" s="658">
        <v>0</v>
      </c>
      <c r="R275" s="681"/>
      <c r="S275" s="658">
        <f t="shared" si="43"/>
        <v>15838.4</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1116" t="str">
        <f t="shared" si="41"/>
        <v>Service[...]</v>
      </c>
      <c r="B276" s="38" t="s">
        <v>157</v>
      </c>
      <c r="C276" s="681" t="s">
        <v>55</v>
      </c>
      <c r="D276" s="287"/>
      <c r="E276" s="38"/>
      <c r="F276" s="244">
        <v>0</v>
      </c>
      <c r="G276" s="1143"/>
      <c r="H276" s="38"/>
      <c r="I276" s="244">
        <v>0</v>
      </c>
      <c r="J276" s="681"/>
      <c r="K276" s="38"/>
      <c r="L276" s="658">
        <v>0</v>
      </c>
      <c r="M276" s="681"/>
      <c r="N276" s="658">
        <f t="shared" si="42"/>
        <v>0</v>
      </c>
      <c r="O276" s="681"/>
      <c r="P276" s="38"/>
      <c r="Q276" s="658">
        <v>0</v>
      </c>
      <c r="R276" s="681"/>
      <c r="S276" s="658">
        <f t="shared" si="43"/>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1116" t="str">
        <f t="shared" si="41"/>
        <v>Service[...]</v>
      </c>
      <c r="B277" s="38" t="s">
        <v>157</v>
      </c>
      <c r="C277" s="681" t="s">
        <v>55</v>
      </c>
      <c r="D277" s="287"/>
      <c r="E277" s="38"/>
      <c r="F277" s="244">
        <v>0</v>
      </c>
      <c r="G277" s="1143"/>
      <c r="H277" s="38"/>
      <c r="I277" s="244">
        <v>0</v>
      </c>
      <c r="J277" s="681"/>
      <c r="K277" s="38"/>
      <c r="L277" s="658">
        <v>0</v>
      </c>
      <c r="M277" s="681"/>
      <c r="N277" s="658">
        <f t="shared" si="42"/>
        <v>0</v>
      </c>
      <c r="O277" s="681"/>
      <c r="P277" s="38"/>
      <c r="Q277" s="658">
        <v>0</v>
      </c>
      <c r="R277" s="681"/>
      <c r="S277" s="658">
        <f t="shared" si="43"/>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1116" t="str">
        <f t="shared" si="41"/>
        <v>Service[...]</v>
      </c>
      <c r="B278" s="38" t="s">
        <v>157</v>
      </c>
      <c r="C278" s="681" t="s">
        <v>55</v>
      </c>
      <c r="D278" s="287"/>
      <c r="E278" s="38"/>
      <c r="F278" s="244">
        <v>0</v>
      </c>
      <c r="G278" s="1143"/>
      <c r="H278" s="38"/>
      <c r="I278" s="244">
        <v>0</v>
      </c>
      <c r="J278" s="681"/>
      <c r="K278" s="38"/>
      <c r="L278" s="658">
        <v>0</v>
      </c>
      <c r="M278" s="681"/>
      <c r="N278" s="658">
        <f t="shared" si="42"/>
        <v>0</v>
      </c>
      <c r="O278" s="681"/>
      <c r="P278" s="38"/>
      <c r="Q278" s="658">
        <v>0</v>
      </c>
      <c r="R278" s="681"/>
      <c r="S278" s="658">
        <f>L278-Q278</f>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1116" t="str">
        <f t="shared" si="41"/>
        <v>ServiceSalaires en absences</v>
      </c>
      <c r="B279" s="38" t="s">
        <v>157</v>
      </c>
      <c r="C279" s="299" t="s">
        <v>120</v>
      </c>
      <c r="D279" s="287"/>
      <c r="E279" s="38"/>
      <c r="F279" s="244">
        <v>0</v>
      </c>
      <c r="G279" s="1143"/>
      <c r="H279" s="38"/>
      <c r="I279" s="244">
        <v>0</v>
      </c>
      <c r="J279" s="681"/>
      <c r="K279" s="38"/>
      <c r="L279" s="658">
        <v>40428.759999999995</v>
      </c>
      <c r="M279" s="681"/>
      <c r="N279" s="658">
        <f t="shared" si="42"/>
        <v>40428.759999999995</v>
      </c>
      <c r="O279" s="681"/>
      <c r="P279" s="38"/>
      <c r="Q279" s="658">
        <v>48748.299999999996</v>
      </c>
      <c r="R279" s="681"/>
      <c r="S279" s="658">
        <f>L279-Q279</f>
        <v>-8319.5400000000009</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1116" t="str">
        <f t="shared" si="41"/>
        <v>ServiceDéduction à la source</v>
      </c>
      <c r="B280" s="38" t="s">
        <v>157</v>
      </c>
      <c r="C280" s="992" t="s">
        <v>121</v>
      </c>
      <c r="D280" s="300"/>
      <c r="E280" s="301"/>
      <c r="F280" s="1136">
        <v>0</v>
      </c>
      <c r="G280" s="1150"/>
      <c r="H280" s="301"/>
      <c r="I280" s="1136">
        <v>0</v>
      </c>
      <c r="J280" s="1113"/>
      <c r="K280" s="301"/>
      <c r="L280" s="1138">
        <v>54671.37</v>
      </c>
      <c r="M280" s="1113"/>
      <c r="N280" s="1138">
        <f t="shared" si="42"/>
        <v>54671.37</v>
      </c>
      <c r="O280" s="1113"/>
      <c r="P280" s="301"/>
      <c r="Q280" s="1138">
        <v>64135.49</v>
      </c>
      <c r="R280" s="1113"/>
      <c r="S280" s="1138">
        <f t="shared" ref="S280:S290" si="44">L280-Q280</f>
        <v>-9464.1199999999953</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1116" t="str">
        <f t="shared" si="41"/>
        <v>ServiceBénéfices marginaux</v>
      </c>
      <c r="B281" s="38" t="s">
        <v>157</v>
      </c>
      <c r="C281" s="992" t="s">
        <v>122</v>
      </c>
      <c r="D281" s="287"/>
      <c r="E281" s="38"/>
      <c r="F281" s="244">
        <v>0</v>
      </c>
      <c r="G281" s="1143"/>
      <c r="H281" s="38"/>
      <c r="I281" s="244">
        <v>0</v>
      </c>
      <c r="J281" s="681"/>
      <c r="K281" s="38"/>
      <c r="L281" s="658">
        <v>17062.199999999997</v>
      </c>
      <c r="M281" s="681"/>
      <c r="N281" s="658">
        <f t="shared" si="42"/>
        <v>17062.199999999997</v>
      </c>
      <c r="O281" s="681"/>
      <c r="P281" s="38"/>
      <c r="Q281" s="658">
        <v>33608.769999999997</v>
      </c>
      <c r="R281" s="681"/>
      <c r="S281" s="658">
        <f t="shared" si="44"/>
        <v>-16546.57</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1116" t="str">
        <f t="shared" si="41"/>
        <v>ServiceCsst</v>
      </c>
      <c r="B282" s="38" t="s">
        <v>157</v>
      </c>
      <c r="C282" s="992" t="s">
        <v>123</v>
      </c>
      <c r="D282" s="287"/>
      <c r="E282" s="38"/>
      <c r="F282" s="244">
        <v>0</v>
      </c>
      <c r="G282" s="1143"/>
      <c r="H282" s="38"/>
      <c r="I282" s="244">
        <v>0</v>
      </c>
      <c r="J282" s="681"/>
      <c r="K282" s="38"/>
      <c r="L282" s="658">
        <v>11301.21</v>
      </c>
      <c r="M282" s="681"/>
      <c r="N282" s="658">
        <f t="shared" si="42"/>
        <v>11301.21</v>
      </c>
      <c r="O282" s="681"/>
      <c r="P282" s="38"/>
      <c r="Q282" s="658">
        <v>3272.49</v>
      </c>
      <c r="R282" s="681"/>
      <c r="S282" s="658">
        <f t="shared" si="44"/>
        <v>8028.7199999999993</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1116" t="str">
        <f t="shared" si="41"/>
        <v>Service[...]</v>
      </c>
      <c r="B283" s="38" t="s">
        <v>157</v>
      </c>
      <c r="C283" s="681" t="s">
        <v>55</v>
      </c>
      <c r="D283" s="1146"/>
      <c r="E283" s="1151"/>
      <c r="F283" s="244">
        <v>0</v>
      </c>
      <c r="G283" s="290"/>
      <c r="H283" s="1151"/>
      <c r="I283" s="244">
        <v>0</v>
      </c>
      <c r="J283" s="238"/>
      <c r="K283" s="1151"/>
      <c r="L283" s="658">
        <v>0</v>
      </c>
      <c r="M283" s="238"/>
      <c r="N283" s="967">
        <f t="shared" si="42"/>
        <v>0</v>
      </c>
      <c r="O283" s="238"/>
      <c r="P283" s="1151"/>
      <c r="Q283" s="658">
        <v>0</v>
      </c>
      <c r="R283" s="238"/>
      <c r="S283" s="1120">
        <f t="shared" si="4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1116" t="str">
        <f t="shared" si="41"/>
        <v>ServiceTOTAL PERSONNEL</v>
      </c>
      <c r="B284" s="38" t="s">
        <v>157</v>
      </c>
      <c r="C284" s="291" t="s">
        <v>124</v>
      </c>
      <c r="D284" s="1147" t="s">
        <v>171</v>
      </c>
      <c r="E284" s="1148" t="e">
        <f>F284/F$194</f>
        <v>#DIV/0!</v>
      </c>
      <c r="F284" s="1149">
        <f>+SUM(F272:F283)</f>
        <v>0</v>
      </c>
      <c r="G284" s="295" t="s">
        <v>171</v>
      </c>
      <c r="H284" s="1148" t="e">
        <f>I284/I$194</f>
        <v>#DIV/0!</v>
      </c>
      <c r="I284" s="1149">
        <f>+SUM(I272:I283)</f>
        <v>0</v>
      </c>
      <c r="J284" s="295" t="s">
        <v>171</v>
      </c>
      <c r="K284" s="1148" t="e">
        <f>L284/L$194</f>
        <v>#DIV/0!</v>
      </c>
      <c r="L284" s="1149">
        <f>+SUM(L272:L283)</f>
        <v>267087.76</v>
      </c>
      <c r="M284" s="296"/>
      <c r="N284" s="1149">
        <f t="shared" si="42"/>
        <v>267087.76</v>
      </c>
      <c r="O284" s="295" t="s">
        <v>171</v>
      </c>
      <c r="P284" s="1148" t="e">
        <f>Q284/Q$194</f>
        <v>#DIV/0!</v>
      </c>
      <c r="Q284" s="1149">
        <f>+SUM(Q272:Q283)</f>
        <v>351257.13</v>
      </c>
      <c r="R284" s="297"/>
      <c r="S284" s="1149">
        <f t="shared" si="44"/>
        <v>-84169.37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1116" t="str">
        <f t="shared" si="41"/>
        <v>ServicePublicité 2</v>
      </c>
      <c r="B285" s="38" t="s">
        <v>157</v>
      </c>
      <c r="C285" s="681" t="s">
        <v>125</v>
      </c>
      <c r="D285" s="287"/>
      <c r="E285" s="38"/>
      <c r="F285" s="244">
        <v>0</v>
      </c>
      <c r="G285" s="1143"/>
      <c r="H285" s="38"/>
      <c r="I285" s="244">
        <v>0</v>
      </c>
      <c r="J285" s="681"/>
      <c r="K285" s="38"/>
      <c r="L285" s="658">
        <v>8942.23</v>
      </c>
      <c r="M285" s="681"/>
      <c r="N285" s="658">
        <f t="shared" si="42"/>
        <v>8942.23</v>
      </c>
      <c r="O285" s="681"/>
      <c r="P285" s="38"/>
      <c r="Q285" s="658">
        <v>5287.47</v>
      </c>
      <c r="R285" s="681"/>
      <c r="S285" s="658">
        <f t="shared" si="44"/>
        <v>3654.7599999999993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1116" t="str">
        <f t="shared" si="41"/>
        <v>ServiceService gratuit 2</v>
      </c>
      <c r="B286" s="38" t="s">
        <v>157</v>
      </c>
      <c r="C286" s="681" t="s">
        <v>126</v>
      </c>
      <c r="D286" s="287"/>
      <c r="E286" s="38"/>
      <c r="F286" s="244">
        <v>0</v>
      </c>
      <c r="G286" s="1143"/>
      <c r="H286" s="38"/>
      <c r="I286" s="244">
        <v>0</v>
      </c>
      <c r="J286" s="681"/>
      <c r="K286" s="38"/>
      <c r="L286" s="658">
        <v>13305.73</v>
      </c>
      <c r="M286" s="681"/>
      <c r="N286" s="658">
        <f t="shared" si="42"/>
        <v>13305.73</v>
      </c>
      <c r="O286" s="681"/>
      <c r="P286" s="38"/>
      <c r="Q286" s="658">
        <v>9856.07</v>
      </c>
      <c r="R286" s="681"/>
      <c r="S286" s="658">
        <f t="shared" si="44"/>
        <v>3449.66</v>
      </c>
      <c r="T286" s="38"/>
      <c r="U286" s="1116"/>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1116" t="str">
        <f t="shared" si="41"/>
        <v>ServiceFrais véhicules de cie</v>
      </c>
      <c r="B287" s="38" t="s">
        <v>157</v>
      </c>
      <c r="C287" s="238" t="s">
        <v>127</v>
      </c>
      <c r="D287" s="1146"/>
      <c r="E287" s="1151"/>
      <c r="F287" s="1118">
        <v>0</v>
      </c>
      <c r="G287" s="290"/>
      <c r="H287" s="1151"/>
      <c r="I287" s="1118">
        <v>0</v>
      </c>
      <c r="J287" s="238"/>
      <c r="K287" s="1151"/>
      <c r="L287" s="658">
        <v>28358.39</v>
      </c>
      <c r="M287" s="238"/>
      <c r="N287" s="1120">
        <f t="shared" si="42"/>
        <v>28358.39</v>
      </c>
      <c r="O287" s="238"/>
      <c r="P287" s="1151"/>
      <c r="Q287" s="658">
        <v>-12281.04</v>
      </c>
      <c r="R287" s="238"/>
      <c r="S287" s="1120">
        <f t="shared" si="44"/>
        <v>40639.43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1116" t="str">
        <f t="shared" si="41"/>
        <v>ServiceInformatique</v>
      </c>
      <c r="B288" s="38" t="s">
        <v>157</v>
      </c>
      <c r="C288" s="681" t="s">
        <v>128</v>
      </c>
      <c r="D288" s="287"/>
      <c r="E288" s="38"/>
      <c r="F288" s="244">
        <v>0</v>
      </c>
      <c r="G288" s="1143"/>
      <c r="H288" s="38"/>
      <c r="I288" s="244">
        <v>0</v>
      </c>
      <c r="J288" s="681"/>
      <c r="K288" s="38"/>
      <c r="L288" s="1138">
        <v>9221.65</v>
      </c>
      <c r="M288" s="681"/>
      <c r="N288" s="658">
        <f t="shared" si="42"/>
        <v>9221.65</v>
      </c>
      <c r="O288" s="681"/>
      <c r="P288" s="38"/>
      <c r="Q288" s="1138">
        <v>9130.630000000001</v>
      </c>
      <c r="R288" s="681"/>
      <c r="S288" s="658">
        <f t="shared" si="44"/>
        <v>91.019999999998618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1116" t="str">
        <f t="shared" si="41"/>
        <v>ServiceFrais de déplacement</v>
      </c>
      <c r="B289" s="38" t="s">
        <v>157</v>
      </c>
      <c r="C289" s="681" t="s">
        <v>129</v>
      </c>
      <c r="D289" s="287"/>
      <c r="E289" s="38"/>
      <c r="F289" s="244">
        <v>0</v>
      </c>
      <c r="G289" s="1143"/>
      <c r="H289" s="38"/>
      <c r="I289" s="244">
        <v>0</v>
      </c>
      <c r="J289" s="681"/>
      <c r="K289" s="38"/>
      <c r="L289" s="658">
        <v>11503.169999999998</v>
      </c>
      <c r="M289" s="681"/>
      <c r="N289" s="658">
        <f t="shared" si="42"/>
        <v>11503.169999999998</v>
      </c>
      <c r="O289" s="681"/>
      <c r="P289" s="38"/>
      <c r="Q289" s="658">
        <v>17785.55</v>
      </c>
      <c r="R289" s="681"/>
      <c r="S289" s="658">
        <f t="shared" si="44"/>
        <v>-6282.380000000001</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1116" t="str">
        <f t="shared" si="41"/>
        <v>ServiceServices extérieurs</v>
      </c>
      <c r="B290" s="38" t="s">
        <v>157</v>
      </c>
      <c r="C290" s="238" t="s">
        <v>130</v>
      </c>
      <c r="D290" s="1146"/>
      <c r="E290" s="1151"/>
      <c r="F290" s="1118">
        <v>0</v>
      </c>
      <c r="G290" s="290"/>
      <c r="H290" s="1151"/>
      <c r="I290" s="1118">
        <v>0</v>
      </c>
      <c r="J290" s="238"/>
      <c r="K290" s="1151"/>
      <c r="L290" s="658">
        <v>35616.899999999994</v>
      </c>
      <c r="M290" s="238"/>
      <c r="N290" s="1120">
        <f t="shared" si="42"/>
        <v>35616.899999999994</v>
      </c>
      <c r="O290" s="238"/>
      <c r="P290" s="1151"/>
      <c r="Q290" s="658">
        <v>30383.599999999999</v>
      </c>
      <c r="R290" s="238"/>
      <c r="S290" s="1120">
        <f t="shared" si="44"/>
        <v>5233.2999999999956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1116" t="str">
        <f t="shared" si="41"/>
        <v>ServiceFournitures d'atelier</v>
      </c>
      <c r="B291" s="38" t="s">
        <v>157</v>
      </c>
      <c r="C291" s="681" t="s">
        <v>483</v>
      </c>
      <c r="D291" s="287"/>
      <c r="E291" s="38"/>
      <c r="F291" s="244">
        <v>0</v>
      </c>
      <c r="G291" s="1143"/>
      <c r="H291" s="38"/>
      <c r="I291" s="244">
        <v>0</v>
      </c>
      <c r="J291" s="681"/>
      <c r="K291" s="38"/>
      <c r="L291" s="1138">
        <v>0</v>
      </c>
      <c r="M291" s="681"/>
      <c r="N291" s="658">
        <f t="shared" si="42"/>
        <v>0</v>
      </c>
      <c r="O291" s="681"/>
      <c r="P291" s="38"/>
      <c r="Q291" s="1138">
        <v>0</v>
      </c>
      <c r="R291" s="681"/>
      <c r="S291" s="658">
        <f>L291-Q291</f>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1116" t="str">
        <f t="shared" si="41"/>
        <v>ServiceFournitures autres</v>
      </c>
      <c r="B292" s="38" t="s">
        <v>157</v>
      </c>
      <c r="C292" s="681" t="s">
        <v>131</v>
      </c>
      <c r="D292" s="287"/>
      <c r="E292" s="38"/>
      <c r="F292" s="244">
        <v>0</v>
      </c>
      <c r="G292" s="1143"/>
      <c r="H292" s="38"/>
      <c r="I292" s="244">
        <v>0</v>
      </c>
      <c r="J292" s="681"/>
      <c r="K292" s="38"/>
      <c r="L292" s="658">
        <v>14273.649999999998</v>
      </c>
      <c r="M292" s="681"/>
      <c r="N292" s="658">
        <f t="shared" si="42"/>
        <v>14273.649999999998</v>
      </c>
      <c r="O292" s="681"/>
      <c r="P292" s="38"/>
      <c r="Q292" s="658">
        <v>13260.7</v>
      </c>
      <c r="R292" s="681"/>
      <c r="S292" s="658">
        <f t="shared" ref="S292:S300" si="45">L292-Q292</f>
        <v>1012.9499999999971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1116" t="str">
        <f t="shared" si="41"/>
        <v>ServiceUniformes</v>
      </c>
      <c r="B293" s="38" t="s">
        <v>157</v>
      </c>
      <c r="C293" s="681" t="s">
        <v>132</v>
      </c>
      <c r="D293" s="287"/>
      <c r="E293" s="38"/>
      <c r="F293" s="244">
        <v>0</v>
      </c>
      <c r="G293" s="1143"/>
      <c r="H293" s="38"/>
      <c r="I293" s="244">
        <v>0</v>
      </c>
      <c r="J293" s="681"/>
      <c r="K293" s="38"/>
      <c r="L293" s="658">
        <v>0</v>
      </c>
      <c r="M293" s="681"/>
      <c r="N293" s="658">
        <f t="shared" si="42"/>
        <v>0</v>
      </c>
      <c r="O293" s="681"/>
      <c r="P293" s="38"/>
      <c r="Q293" s="658">
        <v>0</v>
      </c>
      <c r="R293" s="681"/>
      <c r="S293" s="658">
        <f t="shared" si="45"/>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1116" t="str">
        <f t="shared" si="41"/>
        <v>ServicePapeterie</v>
      </c>
      <c r="B294" s="38" t="s">
        <v>157</v>
      </c>
      <c r="C294" s="681" t="s">
        <v>133</v>
      </c>
      <c r="D294" s="287"/>
      <c r="E294" s="38"/>
      <c r="F294" s="244">
        <v>0</v>
      </c>
      <c r="G294" s="1143"/>
      <c r="H294" s="38"/>
      <c r="I294" s="244">
        <v>0</v>
      </c>
      <c r="J294" s="681"/>
      <c r="K294" s="38"/>
      <c r="L294" s="658">
        <v>4793.55</v>
      </c>
      <c r="M294" s="681"/>
      <c r="N294" s="658">
        <f t="shared" si="42"/>
        <v>4793.55</v>
      </c>
      <c r="O294" s="681"/>
      <c r="P294" s="281"/>
      <c r="Q294" s="658">
        <v>4253.3100000000004</v>
      </c>
      <c r="R294" s="681"/>
      <c r="S294" s="658">
        <f t="shared" si="45"/>
        <v>540.23999999999978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1116" t="str">
        <f t="shared" si="41"/>
        <v>ServiceTéléphone</v>
      </c>
      <c r="B295" s="38" t="s">
        <v>157</v>
      </c>
      <c r="C295" s="681" t="s">
        <v>134</v>
      </c>
      <c r="D295" s="287"/>
      <c r="E295" s="38"/>
      <c r="F295" s="244">
        <v>0</v>
      </c>
      <c r="G295" s="1143"/>
      <c r="H295" s="38"/>
      <c r="I295" s="244">
        <v>0</v>
      </c>
      <c r="J295" s="681"/>
      <c r="K295" s="38"/>
      <c r="L295" s="658">
        <v>2093.3100000000004</v>
      </c>
      <c r="M295" s="681"/>
      <c r="N295" s="658">
        <f t="shared" si="42"/>
        <v>2093.3100000000004</v>
      </c>
      <c r="O295" s="681"/>
      <c r="P295" s="38"/>
      <c r="Q295" s="658">
        <v>3939.4700000000003</v>
      </c>
      <c r="R295" s="681"/>
      <c r="S295" s="658">
        <f t="shared" si="45"/>
        <v>-1846.1599999999999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1116" t="str">
        <f t="shared" si="41"/>
        <v>ServiceFrais postaux</v>
      </c>
      <c r="B296" s="38" t="s">
        <v>157</v>
      </c>
      <c r="C296" s="681" t="s">
        <v>135</v>
      </c>
      <c r="D296" s="287"/>
      <c r="E296" s="38"/>
      <c r="F296" s="244">
        <v>0</v>
      </c>
      <c r="G296" s="1143"/>
      <c r="H296" s="38"/>
      <c r="I296" s="244">
        <v>0</v>
      </c>
      <c r="J296" s="681"/>
      <c r="K296" s="38"/>
      <c r="L296" s="658">
        <v>4046.15</v>
      </c>
      <c r="M296" s="681"/>
      <c r="N296" s="658">
        <f t="shared" si="42"/>
        <v>4046.15</v>
      </c>
      <c r="O296" s="681"/>
      <c r="P296" s="38"/>
      <c r="Q296" s="658">
        <v>2568.3599999999997</v>
      </c>
      <c r="R296" s="681"/>
      <c r="S296" s="658">
        <f t="shared" si="45"/>
        <v>1477.7900000000004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1116" t="str">
        <f t="shared" si="41"/>
        <v>ServiceDivers</v>
      </c>
      <c r="B297" s="38" t="s">
        <v>157</v>
      </c>
      <c r="C297" s="681" t="s">
        <v>136</v>
      </c>
      <c r="D297" s="287"/>
      <c r="E297" s="38"/>
      <c r="F297" s="244">
        <v>0</v>
      </c>
      <c r="G297" s="1143"/>
      <c r="H297" s="38"/>
      <c r="I297" s="244">
        <v>0</v>
      </c>
      <c r="J297" s="681"/>
      <c r="K297" s="38"/>
      <c r="L297" s="658">
        <v>524.03000000000088</v>
      </c>
      <c r="M297" s="681"/>
      <c r="N297" s="658">
        <f t="shared" si="42"/>
        <v>524.03000000000088</v>
      </c>
      <c r="O297" s="681"/>
      <c r="P297" s="38"/>
      <c r="Q297" s="658">
        <v>3251.9299999999994</v>
      </c>
      <c r="R297" s="681"/>
      <c r="S297" s="658">
        <f t="shared" si="45"/>
        <v>-2727.8999999999987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1116" t="str">
        <f t="shared" si="41"/>
        <v>ServiceFormation</v>
      </c>
      <c r="B298" s="38" t="s">
        <v>157</v>
      </c>
      <c r="C298" s="681" t="s">
        <v>137</v>
      </c>
      <c r="D298" s="287"/>
      <c r="E298" s="38"/>
      <c r="F298" s="244">
        <v>0</v>
      </c>
      <c r="G298" s="1143"/>
      <c r="H298" s="38"/>
      <c r="I298" s="244">
        <v>0</v>
      </c>
      <c r="J298" s="681"/>
      <c r="K298" s="38"/>
      <c r="L298" s="658">
        <v>3170.8099999999995</v>
      </c>
      <c r="M298" s="681"/>
      <c r="N298" s="658">
        <f t="shared" si="42"/>
        <v>3170.8099999999995</v>
      </c>
      <c r="O298" s="681"/>
      <c r="P298" s="38"/>
      <c r="Q298" s="658">
        <v>7091.4599999999991</v>
      </c>
      <c r="R298" s="681"/>
      <c r="S298" s="658">
        <f t="shared" si="45"/>
        <v>-3920.6499999999996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1116" t="str">
        <f t="shared" si="41"/>
        <v>ServiceFrais bancaires</v>
      </c>
      <c r="B299" s="38" t="s">
        <v>157</v>
      </c>
      <c r="C299" s="681" t="s">
        <v>138</v>
      </c>
      <c r="D299" s="287"/>
      <c r="E299" s="38"/>
      <c r="F299" s="244">
        <v>0</v>
      </c>
      <c r="G299" s="1143"/>
      <c r="H299" s="38"/>
      <c r="I299" s="244">
        <v>0</v>
      </c>
      <c r="J299" s="681"/>
      <c r="K299" s="38"/>
      <c r="L299" s="658">
        <v>5363.0300000000007</v>
      </c>
      <c r="M299" s="681"/>
      <c r="N299" s="658">
        <f t="shared" si="42"/>
        <v>5363.0300000000007</v>
      </c>
      <c r="O299" s="681"/>
      <c r="P299" s="38"/>
      <c r="Q299" s="658">
        <v>1009.8200000000002</v>
      </c>
      <c r="R299" s="681"/>
      <c r="S299" s="658">
        <f t="shared" si="45"/>
        <v>4353.2100000000009</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1116" t="str">
        <f t="shared" si="41"/>
        <v>Service[...]</v>
      </c>
      <c r="B300" s="38" t="s">
        <v>157</v>
      </c>
      <c r="C300" s="681" t="s">
        <v>55</v>
      </c>
      <c r="D300" s="287"/>
      <c r="E300" s="38"/>
      <c r="F300" s="244">
        <v>0</v>
      </c>
      <c r="G300" s="1143"/>
      <c r="H300" s="38"/>
      <c r="I300" s="244">
        <v>0</v>
      </c>
      <c r="J300" s="681"/>
      <c r="K300" s="38"/>
      <c r="L300" s="658">
        <v>0</v>
      </c>
      <c r="M300" s="681"/>
      <c r="N300" s="658">
        <f t="shared" si="42"/>
        <v>0</v>
      </c>
      <c r="O300" s="681"/>
      <c r="P300" s="38"/>
      <c r="Q300" s="658">
        <v>0</v>
      </c>
      <c r="R300" s="681"/>
      <c r="S300" s="658">
        <f t="shared" si="45"/>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1116"/>
      <c r="B301" s="38" t="s">
        <v>157</v>
      </c>
      <c r="C301" s="681" t="s">
        <v>55</v>
      </c>
      <c r="D301" s="287"/>
      <c r="E301" s="38"/>
      <c r="F301" s="244">
        <v>0</v>
      </c>
      <c r="G301" s="1143"/>
      <c r="H301" s="38"/>
      <c r="I301" s="244">
        <v>0</v>
      </c>
      <c r="J301" s="681"/>
      <c r="K301" s="38"/>
      <c r="L301" s="658">
        <v>0</v>
      </c>
      <c r="M301" s="681"/>
      <c r="N301" s="658">
        <f t="shared" si="42"/>
        <v>0</v>
      </c>
      <c r="O301" s="681"/>
      <c r="P301" s="38"/>
      <c r="Q301" s="658">
        <v>0</v>
      </c>
      <c r="R301" s="681"/>
      <c r="S301" s="658">
        <f>L301-Q301</f>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1116" t="str">
        <f t="shared" ref="A302" si="46">+B302&amp;C302</f>
        <v>Service[...]</v>
      </c>
      <c r="B302" s="38" t="s">
        <v>157</v>
      </c>
      <c r="C302" s="681" t="s">
        <v>55</v>
      </c>
      <c r="D302" s="287"/>
      <c r="E302" s="38"/>
      <c r="F302" s="244">
        <v>0</v>
      </c>
      <c r="G302" s="1143"/>
      <c r="H302" s="38"/>
      <c r="I302" s="244">
        <v>0</v>
      </c>
      <c r="J302" s="681"/>
      <c r="K302" s="38"/>
      <c r="L302" s="658">
        <v>0</v>
      </c>
      <c r="M302" s="681"/>
      <c r="N302" s="658">
        <f t="shared" si="42"/>
        <v>0</v>
      </c>
      <c r="O302" s="681"/>
      <c r="P302" s="38"/>
      <c r="Q302" s="658">
        <v>0</v>
      </c>
      <c r="R302" s="681"/>
      <c r="S302" s="658">
        <f t="shared" ref="S302" si="47">L302-Q302</f>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1116"/>
      <c r="B303" s="38"/>
      <c r="C303" s="291" t="s">
        <v>139</v>
      </c>
      <c r="D303" s="1147" t="s">
        <v>171</v>
      </c>
      <c r="E303" s="1148" t="e">
        <f>F303/F$194</f>
        <v>#DIV/0!</v>
      </c>
      <c r="F303" s="1149">
        <f>+SUM(F285:F302)</f>
        <v>0</v>
      </c>
      <c r="G303" s="295" t="s">
        <v>171</v>
      </c>
      <c r="H303" s="1148" t="e">
        <f>I303/I$194</f>
        <v>#DIV/0!</v>
      </c>
      <c r="I303" s="1149">
        <f>+SUM(I285:I302)</f>
        <v>0</v>
      </c>
      <c r="J303" s="295" t="s">
        <v>171</v>
      </c>
      <c r="K303" s="1148" t="e">
        <f>L303/L$194</f>
        <v>#DIV/0!</v>
      </c>
      <c r="L303" s="1149">
        <f>+SUM(L285:L302)</f>
        <v>141212.59999999998</v>
      </c>
      <c r="M303" s="296"/>
      <c r="N303" s="1149">
        <f t="shared" si="42"/>
        <v>141212.59999999998</v>
      </c>
      <c r="O303" s="295" t="s">
        <v>171</v>
      </c>
      <c r="P303" s="1148" t="e">
        <f>Q303/Q$194</f>
        <v>#DIV/0!</v>
      </c>
      <c r="Q303" s="1149">
        <f>+SUM(Q285:Q302)</f>
        <v>95537.329999999987</v>
      </c>
      <c r="R303" s="297"/>
      <c r="S303" s="1149">
        <f>L303-Q303</f>
        <v>45675.26999999999</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1146"/>
      <c r="E304" s="1151"/>
      <c r="F304" s="658"/>
      <c r="G304" s="290"/>
      <c r="H304" s="1151"/>
      <c r="I304" s="658"/>
      <c r="J304" s="238"/>
      <c r="K304" s="1151"/>
      <c r="L304" s="1120"/>
      <c r="M304" s="238"/>
      <c r="N304" s="1120"/>
      <c r="O304" s="238"/>
      <c r="P304" s="1151"/>
      <c r="Q304" s="1120"/>
      <c r="R304" s="238"/>
      <c r="S304" s="1120"/>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1116"/>
      <c r="B305" s="38"/>
      <c r="C305" s="291" t="s">
        <v>140</v>
      </c>
      <c r="D305" s="1147" t="s">
        <v>115</v>
      </c>
      <c r="E305" s="1148" t="e">
        <f>F305/F$194</f>
        <v>#DIV/0!</v>
      </c>
      <c r="F305" s="1149">
        <f>F284+F303</f>
        <v>0</v>
      </c>
      <c r="G305" s="295" t="s">
        <v>115</v>
      </c>
      <c r="H305" s="1148" t="e">
        <f>I305/I$194</f>
        <v>#DIV/0!</v>
      </c>
      <c r="I305" s="1149">
        <f>I284+I303</f>
        <v>0</v>
      </c>
      <c r="J305" s="295" t="s">
        <v>115</v>
      </c>
      <c r="K305" s="1148" t="e">
        <f>L305/L$194</f>
        <v>#DIV/0!</v>
      </c>
      <c r="L305" s="1149">
        <f>L284+L303</f>
        <v>408300.36</v>
      </c>
      <c r="M305" s="296"/>
      <c r="N305" s="1149">
        <f>L305-F305</f>
        <v>408300.36</v>
      </c>
      <c r="O305" s="295" t="s">
        <v>115</v>
      </c>
      <c r="P305" s="1148" t="e">
        <f>Q305/Q$194</f>
        <v>#DIV/0!</v>
      </c>
      <c r="Q305" s="1149">
        <f>Q284+Q303</f>
        <v>446794.45999999996</v>
      </c>
      <c r="R305" s="297"/>
      <c r="S305" s="1149">
        <f>L305-Q305</f>
        <v>-38494.099999999977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681"/>
      <c r="D306" s="287"/>
      <c r="E306" s="38"/>
      <c r="F306" s="658"/>
      <c r="G306" s="1143"/>
      <c r="H306" s="38"/>
      <c r="I306" s="658"/>
      <c r="J306" s="681"/>
      <c r="K306" s="38"/>
      <c r="L306" s="658"/>
      <c r="M306" s="681"/>
      <c r="N306" s="658">
        <f>L306-F306</f>
        <v>0</v>
      </c>
      <c r="O306" s="681"/>
      <c r="P306" s="38"/>
      <c r="Q306" s="658"/>
      <c r="R306" s="681"/>
      <c r="S306" s="658"/>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1116"/>
      <c r="B307" s="38"/>
      <c r="C307" s="953" t="s">
        <v>147</v>
      </c>
      <c r="D307" s="954"/>
      <c r="E307" s="955"/>
      <c r="F307" s="956">
        <f>F268-F305</f>
        <v>0</v>
      </c>
      <c r="G307" s="957"/>
      <c r="H307" s="955"/>
      <c r="I307" s="956">
        <f>I268-I305</f>
        <v>0</v>
      </c>
      <c r="J307" s="957"/>
      <c r="K307" s="955"/>
      <c r="L307" s="956">
        <f>L268-L305</f>
        <v>-16090.799999999872</v>
      </c>
      <c r="M307" s="958"/>
      <c r="N307" s="956">
        <f>L307-F307</f>
        <v>-16090.799999999872</v>
      </c>
      <c r="O307" s="957"/>
      <c r="P307" s="955"/>
      <c r="Q307" s="956">
        <f>Q268-Q305</f>
        <v>110687.04000000015</v>
      </c>
      <c r="R307" s="959"/>
      <c r="S307" s="956">
        <f>L307-Q307</f>
        <v>-126777.84000000003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1105" t="str">
        <f>C1</f>
        <v>Ste-Marie Auto</v>
      </c>
      <c r="D310" s="911"/>
      <c r="E310" s="912"/>
      <c r="F310" s="911"/>
      <c r="G310" s="911"/>
      <c r="H310" s="913"/>
      <c r="I310" s="911"/>
      <c r="J310" s="913"/>
      <c r="K310" s="914" t="s">
        <v>172</v>
      </c>
      <c r="L310" s="911"/>
      <c r="M310" s="911"/>
      <c r="N310" s="915"/>
      <c r="O310" s="1105"/>
      <c r="P310" s="1106"/>
      <c r="Q310" s="1105"/>
      <c r="R310" s="1106"/>
      <c r="S310" s="1107" t="str">
        <f>$S$1</f>
        <v>Réalisé  Q2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1111"/>
      <c r="D312" s="1244" t="s">
        <v>339</v>
      </c>
      <c r="E312" s="1245"/>
      <c r="F312" s="1248"/>
      <c r="G312" s="1247" t="s">
        <v>3379</v>
      </c>
      <c r="H312" s="1245"/>
      <c r="I312" s="1248"/>
      <c r="J312" s="1247" t="s">
        <v>340</v>
      </c>
      <c r="K312" s="1245"/>
      <c r="L312" s="1248"/>
      <c r="M312" s="1247" t="s">
        <v>668</v>
      </c>
      <c r="N312" s="1248"/>
      <c r="O312" s="1244" t="s">
        <v>341</v>
      </c>
      <c r="P312" s="1245"/>
      <c r="Q312" s="1248"/>
      <c r="R312" s="1247" t="s">
        <v>670</v>
      </c>
      <c r="S312" s="124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1116" t="str">
        <f t="shared" ref="A313:A323" si="48">+B313&amp;C313</f>
        <v>Carrosserie</v>
      </c>
      <c r="B313" s="38" t="s">
        <v>172</v>
      </c>
      <c r="C313" s="681"/>
      <c r="D313" s="36" t="s">
        <v>158</v>
      </c>
      <c r="E313" s="36" t="s">
        <v>159</v>
      </c>
      <c r="F313" s="920" t="s">
        <v>91</v>
      </c>
      <c r="G313" s="919" t="s">
        <v>158</v>
      </c>
      <c r="H313" s="36" t="s">
        <v>159</v>
      </c>
      <c r="I313" s="920" t="s">
        <v>91</v>
      </c>
      <c r="J313" s="919" t="s">
        <v>158</v>
      </c>
      <c r="K313" s="36" t="s">
        <v>159</v>
      </c>
      <c r="L313" s="920" t="s">
        <v>91</v>
      </c>
      <c r="M313" s="919" t="s">
        <v>158</v>
      </c>
      <c r="N313" s="920" t="s">
        <v>669</v>
      </c>
      <c r="O313" s="36" t="s">
        <v>158</v>
      </c>
      <c r="P313" s="36" t="s">
        <v>159</v>
      </c>
      <c r="Q313" s="920" t="s">
        <v>91</v>
      </c>
      <c r="R313" s="919" t="s">
        <v>453</v>
      </c>
      <c r="S313" s="920"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1116" t="str">
        <f t="shared" si="48"/>
        <v>Carrosserie</v>
      </c>
      <c r="B314" s="38" t="s">
        <v>172</v>
      </c>
      <c r="C314" s="681"/>
      <c r="D314" s="36"/>
      <c r="E314" s="36"/>
      <c r="F314" s="920"/>
      <c r="G314" s="919"/>
      <c r="H314" s="36"/>
      <c r="I314" s="920"/>
      <c r="J314" s="919"/>
      <c r="K314" s="244"/>
      <c r="L314" s="967"/>
      <c r="M314" s="919"/>
      <c r="N314" s="920"/>
      <c r="O314" s="36"/>
      <c r="P314" s="36"/>
      <c r="Q314" s="920"/>
      <c r="R314" s="919"/>
      <c r="S314" s="920"/>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1116" t="str">
        <f t="shared" si="48"/>
        <v>CarrosserieM/O Sous-traitement</v>
      </c>
      <c r="B315" s="38" t="s">
        <v>172</v>
      </c>
      <c r="C315" s="681" t="s">
        <v>173</v>
      </c>
      <c r="D315" s="364">
        <v>0</v>
      </c>
      <c r="E315" s="281">
        <v>0</v>
      </c>
      <c r="F315" s="281">
        <v>0</v>
      </c>
      <c r="G315" s="923">
        <v>0</v>
      </c>
      <c r="H315" s="281">
        <v>0</v>
      </c>
      <c r="I315" s="281">
        <v>0</v>
      </c>
      <c r="J315" s="924">
        <v>0</v>
      </c>
      <c r="K315" s="281">
        <v>372948.61</v>
      </c>
      <c r="L315" s="658">
        <v>151241.85999999999</v>
      </c>
      <c r="M315" s="925">
        <f>IFERROR((K315-E315)/E315,0)</f>
        <v>0</v>
      </c>
      <c r="N315" s="658">
        <f>L315-F315</f>
        <v>151241.85999999999</v>
      </c>
      <c r="O315" s="924">
        <v>0</v>
      </c>
      <c r="P315" s="281">
        <v>400906.26</v>
      </c>
      <c r="Q315" s="658">
        <v>177281.77</v>
      </c>
      <c r="R315" s="925">
        <f>IF(O315=0,0,J315/O315)</f>
        <v>0</v>
      </c>
      <c r="S315" s="658">
        <f>L315-Q315</f>
        <v>-26039.910000000003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1116" t="str">
        <f t="shared" si="48"/>
        <v>Carrosserie% profit / ventes</v>
      </c>
      <c r="B316" s="38" t="s">
        <v>172</v>
      </c>
      <c r="C316" s="681" t="s">
        <v>161</v>
      </c>
      <c r="D316" s="36"/>
      <c r="E316" s="325"/>
      <c r="F316" s="927">
        <f>IFERROR(F315/E315,0)</f>
        <v>0</v>
      </c>
      <c r="G316" s="681"/>
      <c r="H316" s="325"/>
      <c r="I316" s="927">
        <f>IFERROR(I315/H315,0)</f>
        <v>0</v>
      </c>
      <c r="J316" s="924"/>
      <c r="K316" s="38"/>
      <c r="L316" s="927">
        <f>IFERROR(L315/K315,0)</f>
        <v>0.40553002731395082</v>
      </c>
      <c r="M316" s="925"/>
      <c r="N316" s="658">
        <f>IFERROR(N315/M315,0)</f>
        <v>0</v>
      </c>
      <c r="O316" s="924"/>
      <c r="P316" s="38"/>
      <c r="Q316" s="927">
        <f>IFERROR(Q315/P315,0)</f>
        <v>0.44220254879532184</v>
      </c>
      <c r="R316" s="924"/>
      <c r="S316" s="927">
        <f>IFERROR(S315/R315,0)</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1116" t="str">
        <f t="shared" si="48"/>
        <v>Carrosserie</v>
      </c>
      <c r="B317" s="38" t="s">
        <v>172</v>
      </c>
      <c r="C317" s="681"/>
      <c r="D317" s="36"/>
      <c r="E317" s="1176"/>
      <c r="F317" s="1158"/>
      <c r="G317" s="919"/>
      <c r="H317" s="1176"/>
      <c r="I317" s="1158"/>
      <c r="J317" s="919"/>
      <c r="K317" s="36"/>
      <c r="L317" s="920"/>
      <c r="M317" s="919"/>
      <c r="N317" s="920"/>
      <c r="O317" s="919"/>
      <c r="P317" s="36"/>
      <c r="Q317" s="920"/>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1116" t="str">
        <f t="shared" si="48"/>
        <v>CarrosserieM/O Carrosserie</v>
      </c>
      <c r="B318" s="38" t="s">
        <v>172</v>
      </c>
      <c r="C318" s="1113" t="s">
        <v>174</v>
      </c>
      <c r="D318" s="336">
        <v>0</v>
      </c>
      <c r="E318" s="281">
        <v>0</v>
      </c>
      <c r="F318" s="281">
        <v>0</v>
      </c>
      <c r="G318" s="1177">
        <v>0</v>
      </c>
      <c r="H318" s="281">
        <v>0</v>
      </c>
      <c r="I318" s="281">
        <v>0</v>
      </c>
      <c r="J318" s="1139">
        <v>0</v>
      </c>
      <c r="K318" s="336">
        <v>16642.22</v>
      </c>
      <c r="L318" s="1138">
        <v>6727.7499999999982</v>
      </c>
      <c r="M318" s="1167">
        <f>IFERROR((K318-E318)/E318,0)</f>
        <v>0</v>
      </c>
      <c r="N318" s="1138">
        <f>L318-F318</f>
        <v>6727.7499999999982</v>
      </c>
      <c r="O318" s="1139">
        <v>0</v>
      </c>
      <c r="P318" s="336">
        <v>16686.93</v>
      </c>
      <c r="Q318" s="1138">
        <v>7960.0700000000006</v>
      </c>
      <c r="R318" s="925">
        <f>IF(O318=0,0,J318/O318)</f>
        <v>0</v>
      </c>
      <c r="S318" s="658">
        <f>L318-Q318</f>
        <v>-1232.3200000000024</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1116" t="str">
        <f t="shared" si="48"/>
        <v>Carrosserie% profit / ventes</v>
      </c>
      <c r="B319" s="38" t="s">
        <v>172</v>
      </c>
      <c r="C319" s="681" t="s">
        <v>161</v>
      </c>
      <c r="D319" s="38"/>
      <c r="E319" s="325"/>
      <c r="F319" s="927" t="e">
        <f>F318/E318</f>
        <v>#DIV/0!</v>
      </c>
      <c r="G319" s="681"/>
      <c r="H319" s="325"/>
      <c r="I319" s="927" t="e">
        <f>I318/H318</f>
        <v>#DIV/0!</v>
      </c>
      <c r="J319" s="924"/>
      <c r="K319" s="38"/>
      <c r="L319" s="927">
        <f>IFERROR(L318/K318,0)</f>
        <v>0.40425796558391836</v>
      </c>
      <c r="M319" s="925"/>
      <c r="N319" s="658">
        <f>IFERROR(N318/F318,0)</f>
        <v>0</v>
      </c>
      <c r="O319" s="924"/>
      <c r="P319" s="38"/>
      <c r="Q319" s="927">
        <f>IFERROR(Q318/P318,0)</f>
        <v>0.47702423393638016</v>
      </c>
      <c r="R319" s="924"/>
      <c r="S319" s="927">
        <f>IF(Q318=0,0,S318/Q318)</f>
        <v>-0.15481270893346444</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1116" t="str">
        <f t="shared" si="48"/>
        <v>Carrosserie</v>
      </c>
      <c r="B320" s="38" t="s">
        <v>172</v>
      </c>
      <c r="C320" s="238"/>
      <c r="D320" s="1151"/>
      <c r="E320" s="1168"/>
      <c r="F320" s="1166"/>
      <c r="G320" s="238"/>
      <c r="H320" s="1168"/>
      <c r="I320" s="1166"/>
      <c r="J320" s="335"/>
      <c r="K320" s="1178"/>
      <c r="L320" s="1166"/>
      <c r="M320" s="285"/>
      <c r="N320" s="1120"/>
      <c r="O320" s="335"/>
      <c r="P320" s="1178"/>
      <c r="Q320" s="1166"/>
      <c r="R320" s="335"/>
      <c r="S320" s="1120"/>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1116" t="str">
        <f t="shared" si="48"/>
        <v>CarrosserieM/O Esthétique Carr.</v>
      </c>
      <c r="B321" s="38" t="s">
        <v>172</v>
      </c>
      <c r="C321" s="1113" t="s">
        <v>175</v>
      </c>
      <c r="D321" s="336">
        <v>0</v>
      </c>
      <c r="E321" s="281">
        <v>0</v>
      </c>
      <c r="F321" s="281">
        <v>0</v>
      </c>
      <c r="G321" s="1139">
        <v>0</v>
      </c>
      <c r="H321" s="281">
        <v>0</v>
      </c>
      <c r="I321" s="281">
        <v>0</v>
      </c>
      <c r="J321" s="1139">
        <v>0</v>
      </c>
      <c r="K321" s="281">
        <v>102201.93</v>
      </c>
      <c r="L321" s="658">
        <v>64961.679999999986</v>
      </c>
      <c r="M321" s="925">
        <f>IFERROR((K321-E321)/E321,0)</f>
        <v>0</v>
      </c>
      <c r="N321" s="1138">
        <f>L321-F321</f>
        <v>64961.679999999986</v>
      </c>
      <c r="O321" s="1139">
        <v>0</v>
      </c>
      <c r="P321" s="281">
        <v>0</v>
      </c>
      <c r="Q321" s="658">
        <v>0</v>
      </c>
      <c r="R321" s="925">
        <f>IF(O321=0,0,J321/O321)</f>
        <v>0</v>
      </c>
      <c r="S321" s="658">
        <f>L321-Q321</f>
        <v>64961.679999999986</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1116" t="str">
        <f t="shared" si="48"/>
        <v>Carrosserie% profit / ventes</v>
      </c>
      <c r="B322" s="38" t="s">
        <v>172</v>
      </c>
      <c r="C322" s="681" t="s">
        <v>161</v>
      </c>
      <c r="D322" s="38"/>
      <c r="E322" s="38"/>
      <c r="F322" s="927" t="e">
        <f>F321/E321</f>
        <v>#DIV/0!</v>
      </c>
      <c r="G322" s="681"/>
      <c r="H322" s="38"/>
      <c r="I322" s="927" t="e">
        <f>I321/H321</f>
        <v>#DIV/0!</v>
      </c>
      <c r="J322" s="681"/>
      <c r="K322" s="38"/>
      <c r="L322" s="927">
        <f>IFERROR(L321/K321,0)</f>
        <v>0.63562087330444728</v>
      </c>
      <c r="M322" s="928"/>
      <c r="N322" s="929">
        <f>IF(L321=0,0,N321/L321)</f>
        <v>1</v>
      </c>
      <c r="O322" s="681"/>
      <c r="P322" s="38"/>
      <c r="Q322" s="927">
        <f>IFERROR(Q321/P321,0)</f>
        <v>0</v>
      </c>
      <c r="R322" s="924"/>
      <c r="S322" s="927">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1116" t="str">
        <f t="shared" si="48"/>
        <v>Carrosserie</v>
      </c>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1116"/>
      <c r="B324" s="38" t="s">
        <v>172</v>
      </c>
      <c r="C324" s="681" t="s">
        <v>1175</v>
      </c>
      <c r="D324" s="38"/>
      <c r="E324" s="38"/>
      <c r="F324" s="927">
        <v>0</v>
      </c>
      <c r="G324" s="681"/>
      <c r="H324" s="38"/>
      <c r="I324" s="927"/>
      <c r="J324" s="681"/>
      <c r="K324" s="38"/>
      <c r="L324" s="658">
        <v>-8213.36</v>
      </c>
      <c r="M324" s="928"/>
      <c r="N324" s="929"/>
      <c r="O324" s="681"/>
      <c r="P324" s="38"/>
      <c r="Q324" s="658">
        <v>3504.1999999999994</v>
      </c>
      <c r="R324" s="925">
        <f>IF(O324=0,0,J324/O324)</f>
        <v>0</v>
      </c>
      <c r="S324" s="658">
        <f>L324-Q324</f>
        <v>-11717.56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1116" t="s">
        <v>172</v>
      </c>
      <c r="B325" s="38" t="s">
        <v>172</v>
      </c>
      <c r="C325" s="681"/>
      <c r="D325" s="38"/>
      <c r="E325" s="38"/>
      <c r="F325" s="927"/>
      <c r="G325" s="681"/>
      <c r="H325" s="38"/>
      <c r="I325" s="927"/>
      <c r="J325" s="681"/>
      <c r="K325" s="38"/>
      <c r="L325" s="658"/>
      <c r="M325" s="928"/>
      <c r="N325" s="929"/>
      <c r="O325" s="681"/>
      <c r="P325" s="38"/>
      <c r="Q325" s="658"/>
      <c r="R325" s="928"/>
      <c r="S325" s="929"/>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1116" t="s">
        <v>496</v>
      </c>
      <c r="B326" s="38" t="s">
        <v>172</v>
      </c>
      <c r="C326" s="268" t="s">
        <v>3108</v>
      </c>
      <c r="D326" s="269"/>
      <c r="E326" s="270">
        <f>E318+E321+E315</f>
        <v>0</v>
      </c>
      <c r="F326" s="1140">
        <f>F318+F321+F315</f>
        <v>0</v>
      </c>
      <c r="G326" s="272"/>
      <c r="H326" s="270"/>
      <c r="I326" s="1140"/>
      <c r="J326" s="272"/>
      <c r="K326" s="269">
        <f t="shared" ref="K326" si="49">K318+K321+K315</f>
        <v>491792.76</v>
      </c>
      <c r="L326" s="1140">
        <f>L318+L321+L315+L324</f>
        <v>214717.93</v>
      </c>
      <c r="M326" s="272" t="e">
        <f>L327-F327</f>
        <v>#DIV/0!</v>
      </c>
      <c r="N326" s="1140">
        <f>L326-F326</f>
        <v>214717.93</v>
      </c>
      <c r="O326" s="272"/>
      <c r="P326" s="269">
        <f t="shared" ref="P326" si="50">P318+P321+P315</f>
        <v>417593.19</v>
      </c>
      <c r="Q326" s="1140">
        <f>Q318+Q321+Q315+Q324</f>
        <v>188746.04</v>
      </c>
      <c r="R326" s="272"/>
      <c r="S326" s="1140">
        <f>L326-Q326</f>
        <v>25971.889999999985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1116" t="s">
        <v>172</v>
      </c>
      <c r="B327" s="38" t="s">
        <v>172</v>
      </c>
      <c r="C327" s="273"/>
      <c r="D327" s="274"/>
      <c r="E327" s="274"/>
      <c r="F327" s="275" t="e">
        <f>F326/E326</f>
        <v>#DIV/0!</v>
      </c>
      <c r="G327" s="273"/>
      <c r="H327" s="274"/>
      <c r="I327" s="275"/>
      <c r="J327" s="273"/>
      <c r="K327" s="945"/>
      <c r="L327" s="326"/>
      <c r="M327" s="276"/>
      <c r="N327" s="277" t="e">
        <f>N326/F326</f>
        <v>#DIV/0!</v>
      </c>
      <c r="O327" s="273"/>
      <c r="P327" s="945"/>
      <c r="Q327" s="326"/>
      <c r="R327" s="276"/>
      <c r="S327" s="326">
        <f>S326/Q326</f>
        <v>0.13760230413310914</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1116" t="str">
        <f t="shared" ref="A328:A360" si="51">+B328&amp;C328</f>
        <v>Carrosserie</v>
      </c>
      <c r="B328" s="38" t="s">
        <v>172</v>
      </c>
      <c r="C328" s="681"/>
      <c r="D328" s="38"/>
      <c r="E328" s="38"/>
      <c r="F328" s="658"/>
      <c r="G328" s="681"/>
      <c r="H328" s="38"/>
      <c r="I328" s="658"/>
      <c r="J328" s="681"/>
      <c r="K328" s="38"/>
      <c r="L328" s="1134"/>
      <c r="M328" s="681"/>
      <c r="N328" s="1134"/>
      <c r="O328" s="681"/>
      <c r="P328" s="38"/>
      <c r="Q328" s="1134"/>
      <c r="R328" s="681"/>
      <c r="S328" s="1134"/>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1116" t="str">
        <f t="shared" si="51"/>
        <v>CarrosserieDEPENSES</v>
      </c>
      <c r="B329" s="38" t="s">
        <v>172</v>
      </c>
      <c r="C329" s="1141" t="s">
        <v>106</v>
      </c>
      <c r="D329" s="38"/>
      <c r="E329" s="38"/>
      <c r="F329" s="658"/>
      <c r="G329" s="681"/>
      <c r="H329" s="38"/>
      <c r="I329" s="658"/>
      <c r="J329" s="681"/>
      <c r="K329" s="38"/>
      <c r="L329" s="1134"/>
      <c r="M329" s="681"/>
      <c r="N329" s="1134"/>
      <c r="O329" s="681"/>
      <c r="P329" s="38"/>
      <c r="Q329" s="1134"/>
      <c r="R329" s="681"/>
      <c r="S329" s="1134"/>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1116" t="str">
        <f t="shared" si="51"/>
        <v>CarrosserieSalaires cadres</v>
      </c>
      <c r="B330" s="38" t="s">
        <v>172</v>
      </c>
      <c r="C330" s="992" t="s">
        <v>116</v>
      </c>
      <c r="D330" s="38"/>
      <c r="E330" s="38"/>
      <c r="F330" s="244">
        <v>0</v>
      </c>
      <c r="G330" s="681"/>
      <c r="H330" s="38"/>
      <c r="I330" s="244">
        <v>0</v>
      </c>
      <c r="J330" s="681"/>
      <c r="K330" s="38"/>
      <c r="L330" s="658">
        <v>28126.400000000001</v>
      </c>
      <c r="M330" s="681"/>
      <c r="N330" s="658">
        <f t="shared" ref="N330:N340" si="52">L330-F330</f>
        <v>28126.400000000001</v>
      </c>
      <c r="O330" s="681"/>
      <c r="P330" s="38"/>
      <c r="Q330" s="658">
        <v>26040.15</v>
      </c>
      <c r="R330" s="681"/>
      <c r="S330" s="658">
        <f t="shared" ref="S330" si="53">L330-Q330</f>
        <v>2086.25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1116" t="str">
        <f t="shared" si="51"/>
        <v>CarrosserieSalaires commis</v>
      </c>
      <c r="B331" s="38" t="s">
        <v>172</v>
      </c>
      <c r="C331" s="299" t="s">
        <v>117</v>
      </c>
      <c r="D331" s="287"/>
      <c r="E331" s="38"/>
      <c r="F331" s="1118">
        <v>0</v>
      </c>
      <c r="G331" s="1143"/>
      <c r="H331" s="38"/>
      <c r="I331" s="1118">
        <v>0</v>
      </c>
      <c r="J331" s="681"/>
      <c r="K331" s="38"/>
      <c r="L331" s="658">
        <v>20587.52</v>
      </c>
      <c r="M331" s="681"/>
      <c r="N331" s="658">
        <f t="shared" si="52"/>
        <v>20587.52</v>
      </c>
      <c r="O331" s="681"/>
      <c r="P331" s="38"/>
      <c r="Q331" s="658">
        <v>21664.070000000003</v>
      </c>
      <c r="R331" s="681"/>
      <c r="S331" s="658">
        <f>L331-Q331</f>
        <v>-1076.5500000000029</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1116" t="str">
        <f t="shared" si="51"/>
        <v>CarrosserieSalaires autres</v>
      </c>
      <c r="B332" s="38" t="s">
        <v>172</v>
      </c>
      <c r="C332" s="992" t="s">
        <v>118</v>
      </c>
      <c r="D332" s="300"/>
      <c r="E332" s="301"/>
      <c r="F332" s="244">
        <v>0</v>
      </c>
      <c r="G332" s="1150"/>
      <c r="H332" s="301"/>
      <c r="I332" s="244">
        <v>0</v>
      </c>
      <c r="J332" s="1113"/>
      <c r="K332" s="301"/>
      <c r="L332" s="1138">
        <v>184.04999999999995</v>
      </c>
      <c r="M332" s="1113"/>
      <c r="N332" s="1138">
        <f t="shared" si="52"/>
        <v>184.04999999999995</v>
      </c>
      <c r="O332" s="1113"/>
      <c r="P332" s="301"/>
      <c r="Q332" s="1138">
        <v>0</v>
      </c>
      <c r="R332" s="1113"/>
      <c r="S332" s="1138">
        <f t="shared" ref="S332:S340" si="54">L332-Q332</f>
        <v>184.04999999999995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1116" t="str">
        <f t="shared" si="51"/>
        <v>CarrosserieSalaires spécialistes</v>
      </c>
      <c r="B333" s="38" t="s">
        <v>172</v>
      </c>
      <c r="C333" s="992" t="s">
        <v>119</v>
      </c>
      <c r="D333" s="287"/>
      <c r="E333" s="38"/>
      <c r="F333" s="244">
        <v>0</v>
      </c>
      <c r="G333" s="1143"/>
      <c r="H333" s="38"/>
      <c r="I333" s="244">
        <v>0</v>
      </c>
      <c r="J333" s="681"/>
      <c r="K333" s="38"/>
      <c r="L333" s="658">
        <v>0</v>
      </c>
      <c r="M333" s="681"/>
      <c r="N333" s="658">
        <f t="shared" si="52"/>
        <v>0</v>
      </c>
      <c r="O333" s="681"/>
      <c r="P333" s="38"/>
      <c r="Q333" s="658">
        <v>0</v>
      </c>
      <c r="R333" s="681"/>
      <c r="S333" s="658">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1116" t="str">
        <f t="shared" si="51"/>
        <v>Carrosserie[...]</v>
      </c>
      <c r="B334" s="38" t="s">
        <v>172</v>
      </c>
      <c r="C334" s="681" t="s">
        <v>55</v>
      </c>
      <c r="D334" s="287"/>
      <c r="E334" s="38"/>
      <c r="F334" s="244">
        <v>0</v>
      </c>
      <c r="G334" s="1143"/>
      <c r="H334" s="38"/>
      <c r="I334" s="244">
        <v>0</v>
      </c>
      <c r="J334" s="681"/>
      <c r="K334" s="38"/>
      <c r="L334" s="658">
        <v>0</v>
      </c>
      <c r="M334" s="681"/>
      <c r="N334" s="658">
        <f t="shared" si="52"/>
        <v>0</v>
      </c>
      <c r="O334" s="681"/>
      <c r="P334" s="38"/>
      <c r="Q334" s="658">
        <v>0</v>
      </c>
      <c r="R334" s="681"/>
      <c r="S334" s="658">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1116" t="str">
        <f t="shared" si="51"/>
        <v>Carrosserie[...]</v>
      </c>
      <c r="B335" s="38" t="s">
        <v>172</v>
      </c>
      <c r="C335" s="681" t="s">
        <v>55</v>
      </c>
      <c r="D335" s="287"/>
      <c r="E335" s="38"/>
      <c r="F335" s="244">
        <v>0</v>
      </c>
      <c r="G335" s="1143"/>
      <c r="H335" s="38"/>
      <c r="I335" s="244">
        <v>0</v>
      </c>
      <c r="J335" s="681"/>
      <c r="K335" s="38"/>
      <c r="L335" s="658">
        <v>0</v>
      </c>
      <c r="M335" s="681"/>
      <c r="N335" s="658">
        <f t="shared" si="52"/>
        <v>0</v>
      </c>
      <c r="O335" s="681"/>
      <c r="P335" s="38"/>
      <c r="Q335" s="658">
        <v>0</v>
      </c>
      <c r="R335" s="681"/>
      <c r="S335" s="658">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1116" t="str">
        <f t="shared" si="51"/>
        <v>Carrosserie[...]</v>
      </c>
      <c r="B336" s="38" t="s">
        <v>172</v>
      </c>
      <c r="C336" s="681" t="s">
        <v>55</v>
      </c>
      <c r="D336" s="287"/>
      <c r="E336" s="38"/>
      <c r="F336" s="244">
        <v>0</v>
      </c>
      <c r="G336" s="1143"/>
      <c r="H336" s="38"/>
      <c r="I336" s="244">
        <v>0</v>
      </c>
      <c r="J336" s="681"/>
      <c r="K336" s="38"/>
      <c r="L336" s="658">
        <v>0</v>
      </c>
      <c r="M336" s="681"/>
      <c r="N336" s="658">
        <f t="shared" si="52"/>
        <v>0</v>
      </c>
      <c r="O336" s="681"/>
      <c r="P336" s="38"/>
      <c r="Q336" s="658">
        <v>0</v>
      </c>
      <c r="R336" s="681"/>
      <c r="S336" s="658">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1116" t="str">
        <f t="shared" si="51"/>
        <v>CarrosserieSalaires en absences</v>
      </c>
      <c r="B337" s="38" t="s">
        <v>172</v>
      </c>
      <c r="C337" s="299" t="s">
        <v>120</v>
      </c>
      <c r="D337" s="287"/>
      <c r="E337" s="38"/>
      <c r="F337" s="1118">
        <v>0</v>
      </c>
      <c r="G337" s="1143"/>
      <c r="H337" s="38"/>
      <c r="I337" s="1118">
        <v>0</v>
      </c>
      <c r="J337" s="681"/>
      <c r="K337" s="38"/>
      <c r="L337" s="658">
        <v>15045.87</v>
      </c>
      <c r="M337" s="681"/>
      <c r="N337" s="658">
        <f t="shared" si="52"/>
        <v>15045.87</v>
      </c>
      <c r="O337" s="681"/>
      <c r="P337" s="38"/>
      <c r="Q337" s="658">
        <v>9367.9700000000012</v>
      </c>
      <c r="R337" s="681"/>
      <c r="S337" s="658">
        <f t="shared" si="54"/>
        <v>5677.9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1116" t="str">
        <f t="shared" si="51"/>
        <v>CarrosserieDéduction à la source</v>
      </c>
      <c r="B338" s="38" t="s">
        <v>172</v>
      </c>
      <c r="C338" s="992" t="s">
        <v>121</v>
      </c>
      <c r="D338" s="300"/>
      <c r="E338" s="301"/>
      <c r="F338" s="244">
        <v>0</v>
      </c>
      <c r="G338" s="1150"/>
      <c r="H338" s="301"/>
      <c r="I338" s="244">
        <v>0</v>
      </c>
      <c r="J338" s="1113"/>
      <c r="K338" s="301"/>
      <c r="L338" s="1138">
        <v>17725.989999999998</v>
      </c>
      <c r="M338" s="1113"/>
      <c r="N338" s="1138">
        <f t="shared" si="52"/>
        <v>17725.989999999998</v>
      </c>
      <c r="O338" s="1113"/>
      <c r="P338" s="301"/>
      <c r="Q338" s="1138">
        <v>14180.05</v>
      </c>
      <c r="R338" s="1113"/>
      <c r="S338" s="1138">
        <f t="shared" si="54"/>
        <v>3545.9399999999987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1116" t="str">
        <f t="shared" si="51"/>
        <v>CarrosserieBénéfices marginaux</v>
      </c>
      <c r="B339" s="38" t="s">
        <v>172</v>
      </c>
      <c r="C339" s="992" t="s">
        <v>122</v>
      </c>
      <c r="D339" s="287"/>
      <c r="E339" s="38"/>
      <c r="F339" s="244">
        <v>0</v>
      </c>
      <c r="G339" s="1143"/>
      <c r="H339" s="38"/>
      <c r="I339" s="244">
        <v>0</v>
      </c>
      <c r="J339" s="681"/>
      <c r="K339" s="38"/>
      <c r="L339" s="658">
        <v>4150.45</v>
      </c>
      <c r="M339" s="681"/>
      <c r="N339" s="658">
        <f t="shared" si="52"/>
        <v>4150.45</v>
      </c>
      <c r="O339" s="681"/>
      <c r="P339" s="38"/>
      <c r="Q339" s="658">
        <v>8170.18</v>
      </c>
      <c r="R339" s="681"/>
      <c r="S339" s="658">
        <f t="shared" si="54"/>
        <v>-4019.7300000000005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1116" t="str">
        <f t="shared" si="51"/>
        <v>CarrosserieCsst</v>
      </c>
      <c r="B340" s="38" t="s">
        <v>172</v>
      </c>
      <c r="C340" s="992" t="s">
        <v>123</v>
      </c>
      <c r="D340" s="287"/>
      <c r="E340" s="38"/>
      <c r="F340" s="244">
        <v>0</v>
      </c>
      <c r="G340" s="1143"/>
      <c r="H340" s="38"/>
      <c r="I340" s="244">
        <v>0</v>
      </c>
      <c r="J340" s="681"/>
      <c r="K340" s="38"/>
      <c r="L340" s="658">
        <v>3337.98</v>
      </c>
      <c r="M340" s="681"/>
      <c r="N340" s="658">
        <f t="shared" si="52"/>
        <v>3337.98</v>
      </c>
      <c r="O340" s="681"/>
      <c r="P340" s="38"/>
      <c r="Q340" s="658">
        <v>116.27</v>
      </c>
      <c r="R340" s="681"/>
      <c r="S340" s="658">
        <f t="shared" si="54"/>
        <v>3221.71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1116" t="str">
        <f t="shared" si="51"/>
        <v>Carrosserie[...]</v>
      </c>
      <c r="B341" s="38" t="s">
        <v>172</v>
      </c>
      <c r="C341" s="681" t="s">
        <v>55</v>
      </c>
      <c r="D341" s="1146"/>
      <c r="E341" s="1151"/>
      <c r="F341" s="244">
        <v>0</v>
      </c>
      <c r="G341" s="290"/>
      <c r="H341" s="1151"/>
      <c r="I341" s="244">
        <v>0</v>
      </c>
      <c r="J341" s="238"/>
      <c r="K341" s="1151"/>
      <c r="L341" s="658">
        <v>0</v>
      </c>
      <c r="M341" s="238"/>
      <c r="N341" s="1120">
        <f>L341-F341</f>
        <v>0</v>
      </c>
      <c r="O341" s="238"/>
      <c r="P341" s="1151"/>
      <c r="Q341" s="658">
        <v>0</v>
      </c>
      <c r="R341" s="238"/>
      <c r="S341" s="1120">
        <f>L341-Q341</f>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1116" t="str">
        <f t="shared" si="51"/>
        <v>CarrosserieTOTAL PERSONNEL</v>
      </c>
      <c r="B342" s="38" t="s">
        <v>172</v>
      </c>
      <c r="C342" s="291" t="s">
        <v>124</v>
      </c>
      <c r="D342" s="1147" t="s">
        <v>115</v>
      </c>
      <c r="E342" s="1148" t="e">
        <f>F342/F$244</f>
        <v>#DIV/0!</v>
      </c>
      <c r="F342" s="1149">
        <f>+SUM(F330:F341)</f>
        <v>0</v>
      </c>
      <c r="G342" s="295" t="s">
        <v>115</v>
      </c>
      <c r="H342" s="1148" t="e">
        <f>I342/I$244</f>
        <v>#DIV/0!</v>
      </c>
      <c r="I342" s="1149">
        <f>+SUM(I330:I341)</f>
        <v>0</v>
      </c>
      <c r="J342" s="295" t="s">
        <v>115</v>
      </c>
      <c r="K342" s="1148">
        <f>IF(L320=0,0,L342/L$244)</f>
        <v>0</v>
      </c>
      <c r="L342" s="1149">
        <f>+SUM(L330:L341)</f>
        <v>89158.26</v>
      </c>
      <c r="M342" s="296"/>
      <c r="N342" s="1149">
        <f>L342-F342</f>
        <v>89158.26</v>
      </c>
      <c r="O342" s="295" t="s">
        <v>115</v>
      </c>
      <c r="P342" s="1148">
        <f>IF(Q320=0,0,Q342/Q$244)</f>
        <v>0</v>
      </c>
      <c r="Q342" s="1149">
        <f>+SUM(Q330:Q341)</f>
        <v>79538.690000000017</v>
      </c>
      <c r="R342" s="297"/>
      <c r="S342" s="1149">
        <f t="shared" ref="S342:S348" si="55">L342-Q342</f>
        <v>9619.5699999999779</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1116" t="str">
        <f t="shared" si="51"/>
        <v>CarrosseriePublicité 2</v>
      </c>
      <c r="B343" s="38" t="s">
        <v>172</v>
      </c>
      <c r="C343" s="1179" t="s">
        <v>125</v>
      </c>
      <c r="D343" s="287"/>
      <c r="E343" s="38"/>
      <c r="F343" s="244">
        <v>0</v>
      </c>
      <c r="G343" s="1143"/>
      <c r="H343" s="38"/>
      <c r="I343" s="244">
        <v>0</v>
      </c>
      <c r="J343" s="681"/>
      <c r="K343" s="38"/>
      <c r="L343" s="658">
        <v>5548.72</v>
      </c>
      <c r="M343" s="681"/>
      <c r="N343" s="658">
        <f t="shared" ref="N343:N360" si="56">L343-F343</f>
        <v>5548.72</v>
      </c>
      <c r="O343" s="681"/>
      <c r="P343" s="38"/>
      <c r="Q343" s="658">
        <v>250.32999999999998</v>
      </c>
      <c r="R343" s="681"/>
      <c r="S343" s="658">
        <f t="shared" si="55"/>
        <v>5298.39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1116" t="str">
        <f t="shared" si="51"/>
        <v>CarrosserieService gratuit 2</v>
      </c>
      <c r="B344" s="38" t="s">
        <v>172</v>
      </c>
      <c r="C344" s="992" t="s">
        <v>126</v>
      </c>
      <c r="D344" s="287"/>
      <c r="E344" s="38"/>
      <c r="F344" s="244">
        <v>0</v>
      </c>
      <c r="G344" s="1143"/>
      <c r="H344" s="38"/>
      <c r="I344" s="244">
        <v>0</v>
      </c>
      <c r="J344" s="681"/>
      <c r="K344" s="38"/>
      <c r="L344" s="658">
        <v>1113.0699999999997</v>
      </c>
      <c r="M344" s="681"/>
      <c r="N344" s="658">
        <f t="shared" si="56"/>
        <v>1113.0699999999997</v>
      </c>
      <c r="O344" s="681"/>
      <c r="P344" s="38"/>
      <c r="Q344" s="658">
        <v>2957.8900000000012</v>
      </c>
      <c r="R344" s="681"/>
      <c r="S344" s="658">
        <f t="shared" si="55"/>
        <v>-1844.8200000000015</v>
      </c>
      <c r="T344" s="38"/>
      <c r="U344" s="1116"/>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1116" t="str">
        <f t="shared" si="51"/>
        <v>CarrosserieFrais véhicules de cie</v>
      </c>
      <c r="B345" s="38" t="s">
        <v>172</v>
      </c>
      <c r="C345" s="299" t="s">
        <v>127</v>
      </c>
      <c r="D345" s="1146"/>
      <c r="E345" s="1151"/>
      <c r="F345" s="1118">
        <v>0</v>
      </c>
      <c r="G345" s="290"/>
      <c r="H345" s="1151"/>
      <c r="I345" s="1118">
        <v>0</v>
      </c>
      <c r="J345" s="238"/>
      <c r="K345" s="1151"/>
      <c r="L345" s="658">
        <v>1462.5100000000002</v>
      </c>
      <c r="M345" s="238"/>
      <c r="N345" s="1120">
        <f t="shared" si="56"/>
        <v>1462.5100000000002</v>
      </c>
      <c r="O345" s="238"/>
      <c r="P345" s="1151"/>
      <c r="Q345" s="658">
        <v>-1675.8300000000004</v>
      </c>
      <c r="R345" s="238"/>
      <c r="S345" s="1120">
        <f t="shared" si="55"/>
        <v>3138.3400000000006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1116" t="str">
        <f t="shared" si="51"/>
        <v>CarrosserieInformatique</v>
      </c>
      <c r="B346" s="38" t="s">
        <v>172</v>
      </c>
      <c r="C346" s="992" t="s">
        <v>128</v>
      </c>
      <c r="D346" s="287"/>
      <c r="E346" s="38"/>
      <c r="F346" s="244">
        <v>0</v>
      </c>
      <c r="G346" s="1143"/>
      <c r="H346" s="38"/>
      <c r="I346" s="244">
        <v>0</v>
      </c>
      <c r="J346" s="681"/>
      <c r="K346" s="38"/>
      <c r="L346" s="1138">
        <v>6261.46</v>
      </c>
      <c r="M346" s="681"/>
      <c r="N346" s="658">
        <f t="shared" si="56"/>
        <v>6261.46</v>
      </c>
      <c r="O346" s="681"/>
      <c r="P346" s="38"/>
      <c r="Q346" s="1138">
        <v>6247.75</v>
      </c>
      <c r="R346" s="681"/>
      <c r="S346" s="658">
        <f t="shared" si="55"/>
        <v>13.710000000000036</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1116" t="str">
        <f t="shared" si="51"/>
        <v>CarrosserieFrais de déplacement</v>
      </c>
      <c r="B347" s="38" t="s">
        <v>172</v>
      </c>
      <c r="C347" s="992" t="s">
        <v>129</v>
      </c>
      <c r="D347" s="287"/>
      <c r="E347" s="38"/>
      <c r="F347" s="244">
        <v>0</v>
      </c>
      <c r="G347" s="1143"/>
      <c r="H347" s="38"/>
      <c r="I347" s="244">
        <v>0</v>
      </c>
      <c r="J347" s="681"/>
      <c r="K347" s="38"/>
      <c r="L347" s="658">
        <v>3834.3899999999994</v>
      </c>
      <c r="M347" s="681"/>
      <c r="N347" s="658">
        <f t="shared" si="56"/>
        <v>3834.3899999999994</v>
      </c>
      <c r="O347" s="681"/>
      <c r="P347" s="38"/>
      <c r="Q347" s="658">
        <v>5810.24</v>
      </c>
      <c r="R347" s="681"/>
      <c r="S347" s="658">
        <f t="shared" si="55"/>
        <v>-1975.8500000000004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1116" t="str">
        <f t="shared" si="51"/>
        <v>CarrosserieServices extérieurs</v>
      </c>
      <c r="B348" s="38" t="s">
        <v>172</v>
      </c>
      <c r="C348" s="992" t="s">
        <v>130</v>
      </c>
      <c r="D348" s="1146"/>
      <c r="E348" s="1151"/>
      <c r="F348" s="1118">
        <v>0</v>
      </c>
      <c r="G348" s="290"/>
      <c r="H348" s="1151"/>
      <c r="I348" s="1118">
        <v>0</v>
      </c>
      <c r="J348" s="238"/>
      <c r="K348" s="1151"/>
      <c r="L348" s="658">
        <v>11490.720000000001</v>
      </c>
      <c r="M348" s="238"/>
      <c r="N348" s="1120">
        <f t="shared" si="56"/>
        <v>11490.720000000001</v>
      </c>
      <c r="O348" s="238"/>
      <c r="P348" s="1151"/>
      <c r="Q348" s="658">
        <v>20166.080000000002</v>
      </c>
      <c r="R348" s="238"/>
      <c r="S348" s="1120">
        <f t="shared" si="55"/>
        <v>-8675.36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1116" t="str">
        <f t="shared" si="51"/>
        <v>CarrosserieFournitures d'atelier</v>
      </c>
      <c r="B349" s="38" t="s">
        <v>172</v>
      </c>
      <c r="C349" s="1179" t="s">
        <v>483</v>
      </c>
      <c r="D349" s="287"/>
      <c r="E349" s="38"/>
      <c r="F349" s="244">
        <v>0</v>
      </c>
      <c r="G349" s="1143"/>
      <c r="H349" s="38"/>
      <c r="I349" s="244">
        <v>0</v>
      </c>
      <c r="J349" s="681"/>
      <c r="K349" s="38"/>
      <c r="L349" s="1138">
        <v>0</v>
      </c>
      <c r="M349" s="681"/>
      <c r="N349" s="658">
        <f t="shared" si="56"/>
        <v>0</v>
      </c>
      <c r="O349" s="681"/>
      <c r="P349" s="38"/>
      <c r="Q349" s="1138">
        <v>0</v>
      </c>
      <c r="R349" s="681"/>
      <c r="S349" s="658">
        <f>L349-Q349</f>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1116" t="str">
        <f t="shared" si="51"/>
        <v>CarrosserieFournitures autres</v>
      </c>
      <c r="B350" s="38" t="s">
        <v>172</v>
      </c>
      <c r="C350" s="992" t="s">
        <v>131</v>
      </c>
      <c r="D350" s="287"/>
      <c r="E350" s="38"/>
      <c r="F350" s="244">
        <v>0</v>
      </c>
      <c r="G350" s="1143"/>
      <c r="H350" s="38"/>
      <c r="I350" s="244">
        <v>0</v>
      </c>
      <c r="J350" s="681"/>
      <c r="K350" s="38"/>
      <c r="L350" s="658">
        <v>32683.340000000004</v>
      </c>
      <c r="M350" s="681"/>
      <c r="N350" s="658">
        <f t="shared" si="56"/>
        <v>32683.340000000004</v>
      </c>
      <c r="O350" s="681"/>
      <c r="P350" s="38"/>
      <c r="Q350" s="658">
        <v>10503.17</v>
      </c>
      <c r="R350" s="681"/>
      <c r="S350" s="658">
        <f t="shared" ref="S350:S358" si="57">L350-Q350</f>
        <v>22180.170000000006</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1116" t="str">
        <f t="shared" si="51"/>
        <v>CarrosserieUniformes</v>
      </c>
      <c r="B351" s="38" t="s">
        <v>172</v>
      </c>
      <c r="C351" s="992" t="s">
        <v>132</v>
      </c>
      <c r="D351" s="287"/>
      <c r="E351" s="38"/>
      <c r="F351" s="244">
        <v>0</v>
      </c>
      <c r="G351" s="1143"/>
      <c r="H351" s="38"/>
      <c r="I351" s="244">
        <v>0</v>
      </c>
      <c r="J351" s="681"/>
      <c r="K351" s="38"/>
      <c r="L351" s="658">
        <v>0</v>
      </c>
      <c r="M351" s="681"/>
      <c r="N351" s="658">
        <f t="shared" si="56"/>
        <v>0</v>
      </c>
      <c r="O351" s="681"/>
      <c r="P351" s="38"/>
      <c r="Q351" s="658">
        <v>0</v>
      </c>
      <c r="R351" s="681"/>
      <c r="S351" s="658">
        <f t="shared" si="57"/>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1116" t="str">
        <f t="shared" si="51"/>
        <v>CarrosseriePapeterie</v>
      </c>
      <c r="B352" s="38" t="s">
        <v>172</v>
      </c>
      <c r="C352" s="992" t="s">
        <v>133</v>
      </c>
      <c r="D352" s="287"/>
      <c r="E352" s="38"/>
      <c r="F352" s="244">
        <v>0</v>
      </c>
      <c r="G352" s="1143"/>
      <c r="H352" s="38"/>
      <c r="I352" s="244">
        <v>0</v>
      </c>
      <c r="J352" s="681"/>
      <c r="K352" s="38"/>
      <c r="L352" s="658">
        <v>1562.41</v>
      </c>
      <c r="M352" s="681"/>
      <c r="N352" s="658">
        <f t="shared" si="56"/>
        <v>1562.41</v>
      </c>
      <c r="O352" s="681"/>
      <c r="P352" s="38"/>
      <c r="Q352" s="658">
        <v>1860.34</v>
      </c>
      <c r="R352" s="681"/>
      <c r="S352" s="658">
        <f t="shared" si="57"/>
        <v>-297.92999999999984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1116" t="str">
        <f t="shared" si="51"/>
        <v>CarrosserieTéléphone</v>
      </c>
      <c r="B353" s="38" t="s">
        <v>172</v>
      </c>
      <c r="C353" s="992" t="s">
        <v>134</v>
      </c>
      <c r="D353" s="287"/>
      <c r="E353" s="38"/>
      <c r="F353" s="244">
        <v>0</v>
      </c>
      <c r="G353" s="1143"/>
      <c r="H353" s="38"/>
      <c r="I353" s="244">
        <v>0</v>
      </c>
      <c r="J353" s="681"/>
      <c r="K353" s="38"/>
      <c r="L353" s="658">
        <v>686.92</v>
      </c>
      <c r="M353" s="681"/>
      <c r="N353" s="658">
        <f t="shared" si="56"/>
        <v>686.92</v>
      </c>
      <c r="O353" s="681"/>
      <c r="P353" s="38"/>
      <c r="Q353" s="658">
        <v>1097.67</v>
      </c>
      <c r="R353" s="681"/>
      <c r="S353" s="658">
        <f t="shared" si="57"/>
        <v>-410.75000000000011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1116" t="str">
        <f t="shared" si="51"/>
        <v>CarrosserieFrais postaux</v>
      </c>
      <c r="B354" s="38" t="s">
        <v>172</v>
      </c>
      <c r="C354" s="992" t="s">
        <v>135</v>
      </c>
      <c r="D354" s="287"/>
      <c r="E354" s="38"/>
      <c r="F354" s="244">
        <v>0</v>
      </c>
      <c r="G354" s="1143"/>
      <c r="H354" s="38"/>
      <c r="I354" s="244">
        <v>0</v>
      </c>
      <c r="J354" s="681"/>
      <c r="K354" s="38"/>
      <c r="L354" s="658">
        <v>1340.04</v>
      </c>
      <c r="M354" s="681"/>
      <c r="N354" s="658">
        <f t="shared" si="56"/>
        <v>1340.04</v>
      </c>
      <c r="O354" s="681"/>
      <c r="P354" s="38"/>
      <c r="Q354" s="658">
        <v>855.20999999999992</v>
      </c>
      <c r="R354" s="681"/>
      <c r="S354" s="658">
        <f t="shared" si="57"/>
        <v>484.83000000000004</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1116" t="str">
        <f t="shared" si="51"/>
        <v>CarrosserieDivers</v>
      </c>
      <c r="B355" s="38" t="s">
        <v>172</v>
      </c>
      <c r="C355" s="992" t="s">
        <v>136</v>
      </c>
      <c r="D355" s="287"/>
      <c r="E355" s="38"/>
      <c r="F355" s="244">
        <v>0</v>
      </c>
      <c r="G355" s="1143"/>
      <c r="H355" s="38"/>
      <c r="I355" s="244">
        <v>0</v>
      </c>
      <c r="J355" s="681"/>
      <c r="K355" s="38"/>
      <c r="L355" s="658">
        <v>5855.84</v>
      </c>
      <c r="M355" s="681"/>
      <c r="N355" s="658">
        <f t="shared" si="56"/>
        <v>5855.84</v>
      </c>
      <c r="O355" s="681"/>
      <c r="P355" s="38"/>
      <c r="Q355" s="658">
        <v>5925.0999999999995</v>
      </c>
      <c r="R355" s="681"/>
      <c r="S355" s="658">
        <f t="shared" si="57"/>
        <v>-69.259999999999309</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1116" t="str">
        <f t="shared" si="51"/>
        <v>CarrosserieFormation</v>
      </c>
      <c r="B356" s="38" t="s">
        <v>172</v>
      </c>
      <c r="C356" s="992" t="s">
        <v>137</v>
      </c>
      <c r="D356" s="287"/>
      <c r="E356" s="38"/>
      <c r="F356" s="244">
        <v>0</v>
      </c>
      <c r="G356" s="1143"/>
      <c r="H356" s="38"/>
      <c r="I356" s="244">
        <v>0</v>
      </c>
      <c r="J356" s="681"/>
      <c r="K356" s="38"/>
      <c r="L356" s="658">
        <v>0</v>
      </c>
      <c r="M356" s="681"/>
      <c r="N356" s="658">
        <f t="shared" si="56"/>
        <v>0</v>
      </c>
      <c r="O356" s="681"/>
      <c r="P356" s="38"/>
      <c r="Q356" s="658">
        <v>0</v>
      </c>
      <c r="R356" s="681"/>
      <c r="S356" s="658">
        <f t="shared" si="57"/>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1116" t="str">
        <f t="shared" si="51"/>
        <v>CarrosserieFrais bancaires</v>
      </c>
      <c r="B357" s="38" t="s">
        <v>172</v>
      </c>
      <c r="C357" s="992" t="s">
        <v>138</v>
      </c>
      <c r="D357" s="287"/>
      <c r="E357" s="38"/>
      <c r="F357" s="244">
        <v>0</v>
      </c>
      <c r="G357" s="1143"/>
      <c r="H357" s="38"/>
      <c r="I357" s="244">
        <v>0</v>
      </c>
      <c r="J357" s="681"/>
      <c r="K357" s="38"/>
      <c r="L357" s="658">
        <v>1760.6399999999999</v>
      </c>
      <c r="M357" s="681"/>
      <c r="N357" s="658">
        <f t="shared" si="56"/>
        <v>1760.6399999999999</v>
      </c>
      <c r="O357" s="681"/>
      <c r="P357" s="38"/>
      <c r="Q357" s="658">
        <v>315.79999999999995</v>
      </c>
      <c r="R357" s="681"/>
      <c r="S357" s="658">
        <f t="shared" si="57"/>
        <v>1444.84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1116" t="str">
        <f t="shared" si="51"/>
        <v>Carrosserie[...]</v>
      </c>
      <c r="B358" s="38" t="s">
        <v>172</v>
      </c>
      <c r="C358" s="992" t="s">
        <v>55</v>
      </c>
      <c r="D358" s="287"/>
      <c r="E358" s="38"/>
      <c r="F358" s="244">
        <v>0</v>
      </c>
      <c r="G358" s="1143"/>
      <c r="H358" s="38"/>
      <c r="I358" s="244">
        <v>0</v>
      </c>
      <c r="J358" s="681"/>
      <c r="K358" s="38"/>
      <c r="L358" s="658">
        <v>5439.79</v>
      </c>
      <c r="M358" s="681"/>
      <c r="N358" s="658">
        <f t="shared" si="56"/>
        <v>5439.79</v>
      </c>
      <c r="O358" s="681"/>
      <c r="P358" s="38"/>
      <c r="Q358" s="658">
        <v>0</v>
      </c>
      <c r="R358" s="681"/>
      <c r="S358" s="658">
        <f t="shared" si="57"/>
        <v>5439.79</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1116" t="str">
        <f t="shared" si="51"/>
        <v>Carrosserie[...]</v>
      </c>
      <c r="B359" s="38" t="s">
        <v>172</v>
      </c>
      <c r="C359" s="992" t="s">
        <v>55</v>
      </c>
      <c r="D359" s="287"/>
      <c r="E359" s="38"/>
      <c r="F359" s="244">
        <v>0</v>
      </c>
      <c r="G359" s="1143"/>
      <c r="H359" s="38"/>
      <c r="I359" s="244">
        <v>0</v>
      </c>
      <c r="J359" s="681"/>
      <c r="K359" s="38"/>
      <c r="L359" s="658">
        <v>0</v>
      </c>
      <c r="M359" s="681"/>
      <c r="N359" s="658">
        <f t="shared" si="56"/>
        <v>0</v>
      </c>
      <c r="O359" s="681"/>
      <c r="P359" s="38"/>
      <c r="Q359" s="658">
        <v>0</v>
      </c>
      <c r="R359" s="681"/>
      <c r="S359" s="658">
        <f>L359-Q359</f>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1116" t="str">
        <f t="shared" si="51"/>
        <v>Carrosserie[...]</v>
      </c>
      <c r="B360" s="38" t="s">
        <v>172</v>
      </c>
      <c r="C360" s="992" t="s">
        <v>55</v>
      </c>
      <c r="D360" s="287"/>
      <c r="E360" s="38"/>
      <c r="F360" s="244">
        <v>0</v>
      </c>
      <c r="G360" s="1143"/>
      <c r="H360" s="38"/>
      <c r="I360" s="244">
        <v>0</v>
      </c>
      <c r="J360" s="681"/>
      <c r="K360" s="38"/>
      <c r="L360" s="658">
        <v>0</v>
      </c>
      <c r="M360" s="681"/>
      <c r="N360" s="658">
        <f t="shared" si="56"/>
        <v>0</v>
      </c>
      <c r="O360" s="681"/>
      <c r="P360" s="38"/>
      <c r="Q360" s="658">
        <v>0</v>
      </c>
      <c r="R360" s="681"/>
      <c r="S360" s="658">
        <f t="shared" ref="S360" si="58">L360-Q360</f>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1116"/>
      <c r="B361" s="38"/>
      <c r="C361" s="291" t="s">
        <v>139</v>
      </c>
      <c r="D361" s="1147" t="s">
        <v>115</v>
      </c>
      <c r="E361" s="1148" t="e">
        <f>F361/F$250</f>
        <v>#DIV/0!</v>
      </c>
      <c r="F361" s="1149">
        <f>+SUM(F343:F360)</f>
        <v>0</v>
      </c>
      <c r="G361" s="295" t="s">
        <v>115</v>
      </c>
      <c r="H361" s="1148" t="e">
        <f>I361/I$250</f>
        <v>#DIV/0!</v>
      </c>
      <c r="I361" s="1149">
        <f>+SUM(I343:I360)</f>
        <v>0</v>
      </c>
      <c r="J361" s="295" t="s">
        <v>115</v>
      </c>
      <c r="K361" s="1148">
        <f>L361/L$250</f>
        <v>123459.65156290316</v>
      </c>
      <c r="L361" s="1149">
        <f>+SUM(L343:L360)</f>
        <v>79039.849999999991</v>
      </c>
      <c r="M361" s="296"/>
      <c r="N361" s="1149">
        <f>+SUM(N343:N360)</f>
        <v>79039.849999999991</v>
      </c>
      <c r="O361" s="295" t="s">
        <v>115</v>
      </c>
      <c r="P361" s="1148">
        <f>Q361/Q$250</f>
        <v>78895.875578615829</v>
      </c>
      <c r="Q361" s="1149">
        <f>+SUM(Q343:Q360)</f>
        <v>54313.75</v>
      </c>
      <c r="R361" s="297"/>
      <c r="S361" s="1149">
        <f>L361-Q361</f>
        <v>24726.099999999991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1146"/>
      <c r="E362" s="1151"/>
      <c r="F362" s="658"/>
      <c r="G362" s="290"/>
      <c r="H362" s="1151"/>
      <c r="I362" s="658"/>
      <c r="J362" s="238"/>
      <c r="K362" s="1151"/>
      <c r="L362" s="1120"/>
      <c r="M362" s="238"/>
      <c r="N362" s="1120"/>
      <c r="O362" s="238"/>
      <c r="P362" s="1151"/>
      <c r="Q362" s="1120"/>
      <c r="R362" s="238"/>
      <c r="S362" s="1120"/>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1116"/>
      <c r="B363" s="38"/>
      <c r="C363" s="291" t="s">
        <v>140</v>
      </c>
      <c r="D363" s="1147" t="s">
        <v>115</v>
      </c>
      <c r="E363" s="1148" t="e">
        <f>F363/F$250</f>
        <v>#DIV/0!</v>
      </c>
      <c r="F363" s="1149">
        <f>F342+F361</f>
        <v>0</v>
      </c>
      <c r="G363" s="295" t="s">
        <v>115</v>
      </c>
      <c r="H363" s="1148" t="e">
        <f>I363/I$250</f>
        <v>#DIV/0!</v>
      </c>
      <c r="I363" s="1149">
        <f>I342+I361</f>
        <v>0</v>
      </c>
      <c r="J363" s="295" t="s">
        <v>115</v>
      </c>
      <c r="K363" s="1148">
        <f>L363/L$250</f>
        <v>262724.18348641676</v>
      </c>
      <c r="L363" s="1149">
        <f>L342+L361</f>
        <v>168198.11</v>
      </c>
      <c r="M363" s="296"/>
      <c r="N363" s="1149">
        <f>L363-F363</f>
        <v>168198.11</v>
      </c>
      <c r="O363" s="295" t="s">
        <v>115</v>
      </c>
      <c r="P363" s="1148">
        <f>Q363/Q$250</f>
        <v>194433.37004228469</v>
      </c>
      <c r="Q363" s="1149">
        <f>Q342+Q361</f>
        <v>133852.44</v>
      </c>
      <c r="R363" s="297"/>
      <c r="S363" s="1149">
        <f>L363-Q363</f>
        <v>34345.669999999984</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681"/>
      <c r="D364" s="287"/>
      <c r="E364" s="38"/>
      <c r="F364" s="658"/>
      <c r="G364" s="1143"/>
      <c r="H364" s="38"/>
      <c r="I364" s="658"/>
      <c r="J364" s="681"/>
      <c r="K364" s="38"/>
      <c r="L364" s="658"/>
      <c r="M364" s="681"/>
      <c r="N364" s="658">
        <f>L364-F364</f>
        <v>0</v>
      </c>
      <c r="O364" s="681"/>
      <c r="P364" s="38"/>
      <c r="Q364" s="658"/>
      <c r="R364" s="681"/>
      <c r="S364" s="658"/>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1116"/>
      <c r="B365" s="38"/>
      <c r="C365" s="953" t="s">
        <v>147</v>
      </c>
      <c r="D365" s="954"/>
      <c r="E365" s="955"/>
      <c r="F365" s="956">
        <f>F326-F363</f>
        <v>0</v>
      </c>
      <c r="G365" s="957"/>
      <c r="H365" s="955"/>
      <c r="I365" s="956">
        <f>I326-I363</f>
        <v>0</v>
      </c>
      <c r="J365" s="957"/>
      <c r="K365" s="955"/>
      <c r="L365" s="956">
        <f>L326-L363</f>
        <v>46519.820000000007</v>
      </c>
      <c r="M365" s="958"/>
      <c r="N365" s="956">
        <f>L365-F365</f>
        <v>46519.820000000007</v>
      </c>
      <c r="O365" s="957"/>
      <c r="P365" s="955"/>
      <c r="Q365" s="956">
        <f>Q326-Q363</f>
        <v>54893.600000000006</v>
      </c>
      <c r="R365" s="959"/>
      <c r="S365" s="956">
        <f>L365-Q365</f>
        <v>-8373.7799999999988</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1105" t="str">
        <f>C1</f>
        <v>Ste-Marie Auto</v>
      </c>
      <c r="D367" s="911"/>
      <c r="E367" s="912"/>
      <c r="F367" s="911"/>
      <c r="G367" s="911"/>
      <c r="H367" s="913"/>
      <c r="I367" s="911"/>
      <c r="J367" s="913"/>
      <c r="K367" s="914" t="s">
        <v>176</v>
      </c>
      <c r="L367" s="911"/>
      <c r="M367" s="911"/>
      <c r="N367" s="915"/>
      <c r="O367" s="1105"/>
      <c r="P367" s="1106"/>
      <c r="Q367" s="1105"/>
      <c r="R367" s="1106"/>
      <c r="S367" s="1107" t="str">
        <f>$S$1</f>
        <v>Réalisé  Q2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1111"/>
      <c r="D369" s="1244" t="s">
        <v>339</v>
      </c>
      <c r="E369" s="1245"/>
      <c r="F369" s="1248"/>
      <c r="G369" s="1247" t="s">
        <v>3379</v>
      </c>
      <c r="H369" s="1245"/>
      <c r="I369" s="1248"/>
      <c r="J369" s="1247" t="s">
        <v>340</v>
      </c>
      <c r="K369" s="1245"/>
      <c r="L369" s="1248"/>
      <c r="M369" s="1247" t="s">
        <v>668</v>
      </c>
      <c r="N369" s="1248"/>
      <c r="O369" s="1244" t="s">
        <v>341</v>
      </c>
      <c r="P369" s="1245"/>
      <c r="Q369" s="1248"/>
      <c r="R369" s="1247" t="s">
        <v>670</v>
      </c>
      <c r="S369" s="124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1116" t="str">
        <f t="shared" ref="A370:A424" si="59">+B370&amp;C370</f>
        <v>Pièces</v>
      </c>
      <c r="B370" s="38" t="s">
        <v>176</v>
      </c>
      <c r="C370" s="906"/>
      <c r="D370" s="36" t="s">
        <v>159</v>
      </c>
      <c r="E370" s="36" t="s">
        <v>177</v>
      </c>
      <c r="F370" s="920" t="s">
        <v>91</v>
      </c>
      <c r="G370" s="919" t="s">
        <v>159</v>
      </c>
      <c r="H370" s="36" t="s">
        <v>177</v>
      </c>
      <c r="I370" s="920" t="s">
        <v>91</v>
      </c>
      <c r="J370" s="36" t="s">
        <v>159</v>
      </c>
      <c r="K370" s="36" t="s">
        <v>177</v>
      </c>
      <c r="L370" s="920" t="s">
        <v>91</v>
      </c>
      <c r="M370" s="919" t="s">
        <v>158</v>
      </c>
      <c r="N370" s="920" t="s">
        <v>669</v>
      </c>
      <c r="O370" s="36" t="s">
        <v>159</v>
      </c>
      <c r="P370" s="36" t="s">
        <v>177</v>
      </c>
      <c r="Q370" s="920" t="s">
        <v>91</v>
      </c>
      <c r="R370" s="919" t="s">
        <v>453</v>
      </c>
      <c r="S370" s="920"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1116" t="str">
        <f t="shared" si="59"/>
        <v>PiècesPièces Ro Clients</v>
      </c>
      <c r="B371" s="38" t="s">
        <v>176</v>
      </c>
      <c r="C371" s="907" t="s">
        <v>178</v>
      </c>
      <c r="D371" s="281">
        <v>0</v>
      </c>
      <c r="E371" s="327">
        <f>IF(D371=0,0,F371/D371)</f>
        <v>0</v>
      </c>
      <c r="F371" s="658">
        <v>0</v>
      </c>
      <c r="G371" s="281">
        <v>0</v>
      </c>
      <c r="H371" s="327">
        <f>IF(G371=0,0,I371/G371)</f>
        <v>0</v>
      </c>
      <c r="I371" s="658">
        <v>0</v>
      </c>
      <c r="J371" s="281">
        <v>131964.57999999999</v>
      </c>
      <c r="K371" s="327">
        <f>IF(J371=0,0,L371/J371)</f>
        <v>0.36094905163188495</v>
      </c>
      <c r="L371" s="658">
        <v>47632.490000000005</v>
      </c>
      <c r="M371" s="925" t="e">
        <f t="shared" ref="M371:M377" si="60">(+J371-D371)/D371</f>
        <v>#DIV/0!</v>
      </c>
      <c r="N371" s="658">
        <f t="shared" ref="N371:N380" si="61">L371-F371</f>
        <v>47632.490000000005</v>
      </c>
      <c r="O371" s="281">
        <v>190715.57</v>
      </c>
      <c r="P371" s="327">
        <f>IF(O371=0,0,Q371/O371)</f>
        <v>0.38139581367163672</v>
      </c>
      <c r="Q371" s="658">
        <v>72738.12</v>
      </c>
      <c r="R371" s="925">
        <f>IF(O371=0,0,(J371-O371)/O371)</f>
        <v>-0.30805555099670162</v>
      </c>
      <c r="S371" s="658">
        <f t="shared" ref="S371:S376" si="62">L371-Q371</f>
        <v>-25105.62999999999</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1116" t="str">
        <f t="shared" si="59"/>
        <v>PiècesPièces Ro Carrosserie</v>
      </c>
      <c r="B372" s="38" t="s">
        <v>176</v>
      </c>
      <c r="C372" s="907" t="s">
        <v>179</v>
      </c>
      <c r="D372" s="281">
        <v>0</v>
      </c>
      <c r="E372" s="327">
        <f t="shared" ref="E372:E379" si="63">IF(D372=0,0,F372/D372)</f>
        <v>0</v>
      </c>
      <c r="F372" s="658">
        <v>0</v>
      </c>
      <c r="G372" s="281">
        <v>0</v>
      </c>
      <c r="H372" s="327">
        <f t="shared" ref="H372:H379" si="64">IF(G372=0,0,I372/G372)</f>
        <v>0</v>
      </c>
      <c r="I372" s="658">
        <v>0</v>
      </c>
      <c r="J372" s="281">
        <v>100.64</v>
      </c>
      <c r="K372" s="327">
        <f t="shared" ref="K372:K379" si="65">IF(J372=0,0,L372/J372)</f>
        <v>0.51281796502384736</v>
      </c>
      <c r="L372" s="658">
        <v>51.61</v>
      </c>
      <c r="M372" s="925" t="e">
        <f t="shared" si="60"/>
        <v>#DIV/0!</v>
      </c>
      <c r="N372" s="658">
        <f t="shared" si="61"/>
        <v>51.61</v>
      </c>
      <c r="O372" s="281">
        <v>18.350000000000001</v>
      </c>
      <c r="P372" s="327">
        <f t="shared" ref="P372:P379" si="66">IF(O372=0,0,Q372/O372)</f>
        <v>0.35476839237057228</v>
      </c>
      <c r="Q372" s="658">
        <v>6.5100000000000016</v>
      </c>
      <c r="R372" s="925">
        <f t="shared" ref="R372:R376" si="67">IF(O372=0,0,(J372-O372)/O372)</f>
        <v>4.4844686648501355</v>
      </c>
      <c r="S372" s="658">
        <f t="shared" si="62"/>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1116" t="str">
        <f t="shared" si="59"/>
        <v>PiècesP/A Garantie</v>
      </c>
      <c r="B373" s="38" t="s">
        <v>176</v>
      </c>
      <c r="C373" s="907" t="s">
        <v>180</v>
      </c>
      <c r="D373" s="281">
        <v>0</v>
      </c>
      <c r="E373" s="327">
        <f t="shared" si="63"/>
        <v>0</v>
      </c>
      <c r="F373" s="658">
        <v>0</v>
      </c>
      <c r="G373" s="281">
        <v>0</v>
      </c>
      <c r="H373" s="327">
        <f t="shared" si="64"/>
        <v>0</v>
      </c>
      <c r="I373" s="658">
        <v>0</v>
      </c>
      <c r="J373" s="281">
        <v>176126.97000000003</v>
      </c>
      <c r="K373" s="327">
        <f t="shared" si="65"/>
        <v>0.29018747100458275</v>
      </c>
      <c r="L373" s="658">
        <v>51109.840000000026</v>
      </c>
      <c r="M373" s="925" t="e">
        <f t="shared" si="60"/>
        <v>#DIV/0!</v>
      </c>
      <c r="N373" s="658">
        <f t="shared" si="61"/>
        <v>51109.840000000026</v>
      </c>
      <c r="O373" s="281">
        <v>162708.29</v>
      </c>
      <c r="P373" s="327">
        <f t="shared" si="66"/>
        <v>0.27557501833496023</v>
      </c>
      <c r="Q373" s="658">
        <v>44838.340000000026</v>
      </c>
      <c r="R373" s="925">
        <f t="shared" si="67"/>
        <v>8.247078252743005E-2</v>
      </c>
      <c r="S373" s="658">
        <f t="shared" si="62"/>
        <v>6271.5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1116" t="str">
        <f t="shared" si="59"/>
        <v>PiècesVentes Internes</v>
      </c>
      <c r="B374" s="38" t="s">
        <v>176</v>
      </c>
      <c r="C374" s="907" t="s">
        <v>181</v>
      </c>
      <c r="D374" s="281">
        <v>0</v>
      </c>
      <c r="E374" s="327">
        <f t="shared" si="63"/>
        <v>0</v>
      </c>
      <c r="F374" s="658">
        <v>0</v>
      </c>
      <c r="G374" s="281">
        <v>0</v>
      </c>
      <c r="H374" s="327">
        <f t="shared" si="64"/>
        <v>0</v>
      </c>
      <c r="I374" s="658">
        <v>0</v>
      </c>
      <c r="J374" s="281">
        <v>157695.1</v>
      </c>
      <c r="K374" s="327">
        <f t="shared" si="65"/>
        <v>0.31471034927527869</v>
      </c>
      <c r="L374" s="658">
        <v>49628.28</v>
      </c>
      <c r="M374" s="925" t="e">
        <f t="shared" si="60"/>
        <v>#DIV/0!</v>
      </c>
      <c r="N374" s="658">
        <f t="shared" si="61"/>
        <v>49628.28</v>
      </c>
      <c r="O374" s="281">
        <v>181245.57</v>
      </c>
      <c r="P374" s="327">
        <f t="shared" si="66"/>
        <v>0.3365527775382316</v>
      </c>
      <c r="Q374" s="658">
        <v>60998.699999999983</v>
      </c>
      <c r="R374" s="925">
        <f t="shared" si="67"/>
        <v>-0.12993680342090569</v>
      </c>
      <c r="S374" s="658">
        <f t="shared" si="62"/>
        <v>-11370.419999999984</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1116" t="str">
        <f t="shared" si="59"/>
        <v>PiècesVentes Détails</v>
      </c>
      <c r="B375" s="38" t="s">
        <v>176</v>
      </c>
      <c r="C375" s="907" t="s">
        <v>182</v>
      </c>
      <c r="D375" s="281">
        <v>0</v>
      </c>
      <c r="E375" s="327">
        <f t="shared" si="63"/>
        <v>0</v>
      </c>
      <c r="F375" s="658">
        <v>0</v>
      </c>
      <c r="G375" s="281">
        <v>0</v>
      </c>
      <c r="H375" s="327">
        <f t="shared" si="64"/>
        <v>0</v>
      </c>
      <c r="I375" s="658">
        <v>0</v>
      </c>
      <c r="J375" s="281">
        <v>127040.95</v>
      </c>
      <c r="K375" s="327">
        <f t="shared" si="65"/>
        <v>0.22671508674958749</v>
      </c>
      <c r="L375" s="658">
        <v>28802.100000000006</v>
      </c>
      <c r="M375" s="925" t="e">
        <f t="shared" si="60"/>
        <v>#DIV/0!</v>
      </c>
      <c r="N375" s="658">
        <f t="shared" si="61"/>
        <v>28802.100000000006</v>
      </c>
      <c r="O375" s="281">
        <v>89308.999999999985</v>
      </c>
      <c r="P375" s="327">
        <f t="shared" si="66"/>
        <v>0.21476838840430387</v>
      </c>
      <c r="Q375" s="658">
        <v>19180.749999999971</v>
      </c>
      <c r="R375" s="925">
        <f t="shared" si="67"/>
        <v>0.42248765521951898</v>
      </c>
      <c r="S375" s="658">
        <f t="shared" si="62"/>
        <v>9621.3500000000349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1116" t="str">
        <f t="shared" si="59"/>
        <v>PiècesVentes de Gros</v>
      </c>
      <c r="B376" s="38" t="s">
        <v>176</v>
      </c>
      <c r="C376" s="907" t="s">
        <v>183</v>
      </c>
      <c r="D376" s="281">
        <v>0</v>
      </c>
      <c r="E376" s="327">
        <f t="shared" si="63"/>
        <v>0</v>
      </c>
      <c r="F376" s="658">
        <v>0</v>
      </c>
      <c r="G376" s="281">
        <v>0</v>
      </c>
      <c r="H376" s="327">
        <f t="shared" si="64"/>
        <v>0</v>
      </c>
      <c r="I376" s="658">
        <v>0</v>
      </c>
      <c r="J376" s="281">
        <v>349381.87</v>
      </c>
      <c r="K376" s="327">
        <f t="shared" si="65"/>
        <v>0.17963402050598659</v>
      </c>
      <c r="L376" s="658">
        <v>62760.869999999937</v>
      </c>
      <c r="M376" s="925" t="e">
        <f t="shared" si="60"/>
        <v>#DIV/0!</v>
      </c>
      <c r="N376" s="658">
        <f t="shared" si="61"/>
        <v>62760.869999999937</v>
      </c>
      <c r="O376" s="281">
        <v>446311.25999999995</v>
      </c>
      <c r="P376" s="327">
        <f t="shared" si="66"/>
        <v>0.10982158505254828</v>
      </c>
      <c r="Q376" s="658">
        <v>49014.609999999986</v>
      </c>
      <c r="R376" s="925">
        <f t="shared" si="67"/>
        <v>-0.21717890335099313</v>
      </c>
      <c r="S376" s="658">
        <f t="shared" si="62"/>
        <v>13746.259999999951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1116" t="str">
        <f t="shared" si="59"/>
        <v>Pièces[...]</v>
      </c>
      <c r="B377" s="38" t="s">
        <v>176</v>
      </c>
      <c r="C377" s="907" t="s">
        <v>55</v>
      </c>
      <c r="D377" s="281">
        <v>0</v>
      </c>
      <c r="E377" s="327">
        <f t="shared" si="63"/>
        <v>0</v>
      </c>
      <c r="F377" s="658">
        <v>0</v>
      </c>
      <c r="G377" s="281">
        <v>0</v>
      </c>
      <c r="H377" s="327">
        <f t="shared" si="64"/>
        <v>0</v>
      </c>
      <c r="I377" s="658">
        <v>0</v>
      </c>
      <c r="J377" s="281">
        <v>0</v>
      </c>
      <c r="K377" s="327">
        <f t="shared" si="65"/>
        <v>0</v>
      </c>
      <c r="L377" s="658">
        <v>0</v>
      </c>
      <c r="M377" s="925" t="e">
        <f t="shared" si="60"/>
        <v>#DIV/0!</v>
      </c>
      <c r="N377" s="658">
        <f t="shared" si="61"/>
        <v>0</v>
      </c>
      <c r="O377" s="281">
        <v>0</v>
      </c>
      <c r="P377" s="327">
        <f t="shared" si="66"/>
        <v>0</v>
      </c>
      <c r="Q377" s="658">
        <v>0</v>
      </c>
      <c r="R377" s="925">
        <f>IF(O377=0,0,(J377-O377)/O377)</f>
        <v>0</v>
      </c>
      <c r="S377" s="658">
        <f>L377-Q377</f>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1116" t="str">
        <f t="shared" si="59"/>
        <v>PiècesEscomptes</v>
      </c>
      <c r="B378" s="38" t="s">
        <v>176</v>
      </c>
      <c r="C378" s="907" t="s">
        <v>184</v>
      </c>
      <c r="D378" s="281">
        <v>0</v>
      </c>
      <c r="E378" s="327">
        <f t="shared" si="63"/>
        <v>0</v>
      </c>
      <c r="F378" s="658">
        <v>0</v>
      </c>
      <c r="G378" s="281">
        <v>0</v>
      </c>
      <c r="H378" s="327">
        <f t="shared" si="64"/>
        <v>0</v>
      </c>
      <c r="I378" s="658">
        <v>0</v>
      </c>
      <c r="J378" s="281">
        <v>0</v>
      </c>
      <c r="K378" s="327">
        <f t="shared" si="65"/>
        <v>0</v>
      </c>
      <c r="L378" s="658">
        <v>35636.979999999996</v>
      </c>
      <c r="M378" s="925"/>
      <c r="N378" s="658">
        <f t="shared" si="61"/>
        <v>35636.979999999996</v>
      </c>
      <c r="O378" s="281">
        <v>0</v>
      </c>
      <c r="P378" s="327">
        <f t="shared" si="66"/>
        <v>0</v>
      </c>
      <c r="Q378" s="658">
        <v>32359.679999999997</v>
      </c>
      <c r="R378" s="925">
        <f t="shared" ref="R378:R379" si="68">IF(O378=0,0,(J378-O378)/O378)</f>
        <v>0</v>
      </c>
      <c r="S378" s="658">
        <f>L378-Q378</f>
        <v>3277.2999999999993</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1116" t="str">
        <f t="shared" si="59"/>
        <v>PiècesRectif. Inventaire</v>
      </c>
      <c r="B379" s="38" t="s">
        <v>176</v>
      </c>
      <c r="C379" s="908" t="s">
        <v>185</v>
      </c>
      <c r="D379" s="281">
        <v>0</v>
      </c>
      <c r="E379" s="327">
        <f t="shared" si="63"/>
        <v>0</v>
      </c>
      <c r="F379" s="658">
        <v>0</v>
      </c>
      <c r="G379" s="281">
        <v>0</v>
      </c>
      <c r="H379" s="327">
        <f t="shared" si="64"/>
        <v>0</v>
      </c>
      <c r="I379" s="658">
        <v>0</v>
      </c>
      <c r="J379" s="281">
        <v>0</v>
      </c>
      <c r="K379" s="327">
        <f t="shared" si="65"/>
        <v>0</v>
      </c>
      <c r="L379" s="658">
        <v>2029.92</v>
      </c>
      <c r="M379" s="925"/>
      <c r="N379" s="658">
        <f t="shared" si="61"/>
        <v>2029.92</v>
      </c>
      <c r="O379" s="281">
        <v>0</v>
      </c>
      <c r="P379" s="327">
        <f t="shared" si="66"/>
        <v>0</v>
      </c>
      <c r="Q379" s="658">
        <v>14077.12</v>
      </c>
      <c r="R379" s="925">
        <f t="shared" si="68"/>
        <v>0</v>
      </c>
      <c r="S379" s="658">
        <f>L379-Q379</f>
        <v>-12047.2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1116" t="str">
        <f t="shared" si="59"/>
        <v>PiècesSous-total Pièces</v>
      </c>
      <c r="B380" s="38" t="s">
        <v>176</v>
      </c>
      <c r="C380" s="909" t="s">
        <v>186</v>
      </c>
      <c r="D380" s="355">
        <f>SUM(D371:D379)</f>
        <v>0</v>
      </c>
      <c r="E380" s="370">
        <f>IF(D380&lt;=0,0,F380/D380)</f>
        <v>0</v>
      </c>
      <c r="F380" s="1127">
        <f>SUM(F371:F379)</f>
        <v>0</v>
      </c>
      <c r="G380" s="355">
        <f>SUM(G371:G379)</f>
        <v>0</v>
      </c>
      <c r="H380" s="370">
        <f>IF(G380&lt;=0,0,I380/G380)</f>
        <v>0</v>
      </c>
      <c r="I380" s="1127">
        <f>SUM(I371:I379)</f>
        <v>0</v>
      </c>
      <c r="J380" s="355">
        <f>SUM(J371:J379)</f>
        <v>942310.11</v>
      </c>
      <c r="K380" s="370">
        <f>IF(J380&lt;=0,0,L380/J380)</f>
        <v>0.29465044156217318</v>
      </c>
      <c r="L380" s="1127">
        <f>SUM(L371:L379)</f>
        <v>277652.08999999997</v>
      </c>
      <c r="M380" s="1180" t="e">
        <f>(+J380-D380)/D380</f>
        <v>#DIV/0!</v>
      </c>
      <c r="N380" s="1127">
        <f t="shared" si="61"/>
        <v>277652.08999999997</v>
      </c>
      <c r="O380" s="355">
        <f>SUM(O371:O379)</f>
        <v>1070308.04</v>
      </c>
      <c r="P380" s="370">
        <f>IF(O380&lt;=0,0,Q380/O380)</f>
        <v>0.2739527491543462</v>
      </c>
      <c r="Q380" s="1127">
        <f>SUM(Q371:Q379)</f>
        <v>293213.82999999996</v>
      </c>
      <c r="R380" s="1180">
        <f>IF(O380=0,0,(J380-O380)/O380)</f>
        <v>-0.11958980519290507</v>
      </c>
      <c r="S380" s="1127">
        <f>L380-Q380</f>
        <v>-15561.739999999991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1116" t="str">
        <f t="shared" si="59"/>
        <v>Pièces</v>
      </c>
      <c r="B381" s="38" t="s">
        <v>176</v>
      </c>
      <c r="C381" s="907"/>
      <c r="D381" s="38"/>
      <c r="E381" s="38"/>
      <c r="F381" s="1134"/>
      <c r="G381" s="681"/>
      <c r="H381" s="38"/>
      <c r="I381" s="1134"/>
      <c r="J381" s="924"/>
      <c r="K381" s="38"/>
      <c r="L381" s="658"/>
      <c r="M381" s="681"/>
      <c r="N381" s="929" t="e">
        <f>N380/F380</f>
        <v>#DIV/0!</v>
      </c>
      <c r="O381" s="924"/>
      <c r="P381" s="38"/>
      <c r="Q381" s="658"/>
      <c r="R381" s="681"/>
      <c r="S381" s="929">
        <f>IF(Q380=0,0,S380/Q380)</f>
        <v>-5.3073008186551064E-2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1116" t="str">
        <f t="shared" si="59"/>
        <v>Pièces</v>
      </c>
      <c r="B382" s="38" t="s">
        <v>176</v>
      </c>
      <c r="C382" s="908"/>
      <c r="D382" s="1151"/>
      <c r="E382" s="1151"/>
      <c r="F382" s="1181"/>
      <c r="G382" s="238"/>
      <c r="H382" s="1151"/>
      <c r="I382" s="1181"/>
      <c r="J382" s="335"/>
      <c r="K382" s="1151"/>
      <c r="L382" s="1120"/>
      <c r="M382" s="238"/>
      <c r="N382" s="979"/>
      <c r="O382" s="335"/>
      <c r="P382" s="1151"/>
      <c r="Q382" s="1120"/>
      <c r="R382" s="238"/>
      <c r="S382" s="1159"/>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1116" t="str">
        <f t="shared" si="59"/>
        <v>PiècesVentes Pneus</v>
      </c>
      <c r="B383" s="38" t="s">
        <v>176</v>
      </c>
      <c r="C383" s="907" t="s">
        <v>187</v>
      </c>
      <c r="D383" s="281">
        <v>0</v>
      </c>
      <c r="E383" s="327">
        <f>IF(D383=0,0,F383/D383)</f>
        <v>0</v>
      </c>
      <c r="F383" s="1138">
        <v>0</v>
      </c>
      <c r="G383" s="281">
        <v>0</v>
      </c>
      <c r="H383" s="327">
        <f>IF(G383=0,0,I383/G383)</f>
        <v>0</v>
      </c>
      <c r="I383" s="1138">
        <v>0</v>
      </c>
      <c r="J383" s="281">
        <v>59391.929999999993</v>
      </c>
      <c r="K383" s="327">
        <f>IF(J383=0,0,L383/J383)</f>
        <v>0.17916979630060839</v>
      </c>
      <c r="L383" s="1138">
        <v>10641.239999999991</v>
      </c>
      <c r="M383" s="925" t="e">
        <f>(+J383-D383)/D383</f>
        <v>#DIV/0!</v>
      </c>
      <c r="N383" s="658">
        <f>L383-F383</f>
        <v>10641.239999999991</v>
      </c>
      <c r="O383" s="281">
        <v>31082.119999999995</v>
      </c>
      <c r="P383" s="327">
        <f>IF(O383=0,0,Q383/O383)</f>
        <v>2.9614131854583847E-2</v>
      </c>
      <c r="Q383" s="1138">
        <v>920.46999999999753</v>
      </c>
      <c r="R383" s="925">
        <f>IF(O383=0,0,(J383-O383)/O383)</f>
        <v>0.91080692050606593</v>
      </c>
      <c r="S383" s="658">
        <f>L383-Q383</f>
        <v>9720.7699999999932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1116" t="str">
        <f t="shared" si="59"/>
        <v>PiècesHuiles et Graisse</v>
      </c>
      <c r="B384" s="38" t="s">
        <v>176</v>
      </c>
      <c r="C384" s="908" t="s">
        <v>188</v>
      </c>
      <c r="D384" s="281">
        <v>0</v>
      </c>
      <c r="E384" s="327">
        <f>IF(D384=0,0,F384/D384)</f>
        <v>0</v>
      </c>
      <c r="F384" s="1120">
        <v>0</v>
      </c>
      <c r="G384" s="281">
        <v>0</v>
      </c>
      <c r="H384" s="327">
        <f>IF(G384=0,0,I384/G384)</f>
        <v>0</v>
      </c>
      <c r="I384" s="1120">
        <v>0</v>
      </c>
      <c r="J384" s="281">
        <v>37925.14</v>
      </c>
      <c r="K384" s="327">
        <f>IF(J384=0,0,L384/J384)</f>
        <v>0.27626134010316111</v>
      </c>
      <c r="L384" s="1120">
        <v>10477.25</v>
      </c>
      <c r="M384" s="925" t="e">
        <f>(+J384-D384)/D384</f>
        <v>#DIV/0!</v>
      </c>
      <c r="N384" s="658">
        <f>L384-F384</f>
        <v>10477.25</v>
      </c>
      <c r="O384" s="281">
        <v>16914.82</v>
      </c>
      <c r="P384" s="327">
        <f>IF(O384=0,0,Q384/O384)</f>
        <v>6.2234182805374134E-2</v>
      </c>
      <c r="Q384" s="1120">
        <v>1052.6799999999985</v>
      </c>
      <c r="R384" s="925">
        <f>IF(O384=0,0,(J384-O384)/O384)</f>
        <v>1.2421249531475949</v>
      </c>
      <c r="S384" s="658">
        <f>L384-Q384</f>
        <v>9424.5700000000015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1116" t="str">
        <f t="shared" si="59"/>
        <v>PiècesSous-total Pièces et Acc.</v>
      </c>
      <c r="B385" s="38" t="s">
        <v>176</v>
      </c>
      <c r="C385" s="970" t="s">
        <v>189</v>
      </c>
      <c r="D385" s="355">
        <f>D380+D383+D384</f>
        <v>0</v>
      </c>
      <c r="E385" s="370">
        <f>IF(D385&lt;=0,0,F385/D385)</f>
        <v>0</v>
      </c>
      <c r="F385" s="1127">
        <f>F380+F383+F384</f>
        <v>0</v>
      </c>
      <c r="G385" s="1160">
        <f>G380+G383+G384</f>
        <v>0</v>
      </c>
      <c r="H385" s="370">
        <f>IF(G385&lt;=0,0,I385/G385)</f>
        <v>0</v>
      </c>
      <c r="I385" s="1127">
        <f>I380+I383+I384</f>
        <v>0</v>
      </c>
      <c r="J385" s="1160">
        <f>J380+J383+J384</f>
        <v>1039627.18</v>
      </c>
      <c r="K385" s="370">
        <f>IF(J385&lt;=0,0,L385/J385)</f>
        <v>0.28738242491890215</v>
      </c>
      <c r="L385" s="1127">
        <f>L380+L383+L384</f>
        <v>298770.57999999996</v>
      </c>
      <c r="M385" s="1180" t="e">
        <f>(+J385-D385)/D385</f>
        <v>#DIV/0!</v>
      </c>
      <c r="N385" s="1127">
        <f>L385-F385</f>
        <v>298770.57999999996</v>
      </c>
      <c r="O385" s="1160">
        <f>O380+O383+O384</f>
        <v>1118304.9800000002</v>
      </c>
      <c r="P385" s="370">
        <f>IF(O385&lt;=0,0,Q385/O385)</f>
        <v>0.26395928237751376</v>
      </c>
      <c r="Q385" s="1127">
        <f>Q380+Q383+Q384</f>
        <v>295186.97999999992</v>
      </c>
      <c r="R385" s="1180">
        <f>IF(O385=0,0,(J385-O385)/O385)</f>
        <v>-7.0354510985008889E-2</v>
      </c>
      <c r="S385" s="1127">
        <f>L385-Q385</f>
        <v>3583.6000000000349</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1116" t="str">
        <f t="shared" si="59"/>
        <v>Pièces</v>
      </c>
      <c r="B386" s="38" t="s">
        <v>176</v>
      </c>
      <c r="C386" s="681"/>
      <c r="D386" s="38"/>
      <c r="E386" s="38"/>
      <c r="F386" s="1134"/>
      <c r="G386" s="681"/>
      <c r="H386" s="38"/>
      <c r="I386" s="1134"/>
      <c r="J386" s="924"/>
      <c r="K386" s="38"/>
      <c r="L386" s="658"/>
      <c r="M386" s="681"/>
      <c r="N386" s="929" t="e">
        <f>N385/F385</f>
        <v>#DIV/0!</v>
      </c>
      <c r="O386" s="924"/>
      <c r="P386" s="38"/>
      <c r="Q386" s="658"/>
      <c r="R386" s="681"/>
      <c r="S386" s="1129">
        <f>IF(Q385=0,0,S385/Q385)</f>
        <v>1.2140101843245375E-2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1116" t="str">
        <f t="shared" si="59"/>
        <v>PiècesPièces recond. MCPA</v>
      </c>
      <c r="B387" s="38" t="s">
        <v>176</v>
      </c>
      <c r="C387" s="681" t="s">
        <v>1082</v>
      </c>
      <c r="D387" s="38">
        <v>0</v>
      </c>
      <c r="E387" s="38">
        <f>IF(D387=0,0,F387/D387)</f>
        <v>0</v>
      </c>
      <c r="F387" s="1134">
        <v>0</v>
      </c>
      <c r="G387" s="681">
        <v>0</v>
      </c>
      <c r="H387" s="38">
        <f>IF(G387=0,0,I387/G387)</f>
        <v>0</v>
      </c>
      <c r="I387" s="1134">
        <v>0</v>
      </c>
      <c r="J387" s="924">
        <v>0</v>
      </c>
      <c r="K387" s="38">
        <f>IF(J387=0,0,L387/J387)</f>
        <v>0</v>
      </c>
      <c r="L387" s="658">
        <v>0</v>
      </c>
      <c r="M387" s="681"/>
      <c r="N387" s="929"/>
      <c r="O387" s="924">
        <v>0</v>
      </c>
      <c r="P387" s="38">
        <f>IF(O387=0,0,Q387/O387)</f>
        <v>0</v>
      </c>
      <c r="Q387" s="658">
        <v>0</v>
      </c>
      <c r="R387" s="681"/>
      <c r="S387" s="1129"/>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1116" t="str">
        <f t="shared" si="59"/>
        <v>PiècesAutostock</v>
      </c>
      <c r="B388" s="38" t="s">
        <v>176</v>
      </c>
      <c r="C388" s="238" t="s">
        <v>190</v>
      </c>
      <c r="D388" s="966">
        <v>0</v>
      </c>
      <c r="E388" s="1182">
        <f>IF(D388=0,0,F388/D388)</f>
        <v>0</v>
      </c>
      <c r="F388" s="1120">
        <v>0</v>
      </c>
      <c r="G388" s="335">
        <v>0</v>
      </c>
      <c r="H388" s="1182">
        <f>IF(G388=0,0,I388/G388)</f>
        <v>0</v>
      </c>
      <c r="I388" s="1120">
        <v>0</v>
      </c>
      <c r="J388" s="335">
        <v>0</v>
      </c>
      <c r="K388" s="1182">
        <f>IF(J388=0,0,L388/J388)</f>
        <v>0</v>
      </c>
      <c r="L388" s="1120">
        <v>0</v>
      </c>
      <c r="M388" s="1182">
        <f>IF(F388=0,0,(+L388-F388)/F388)</f>
        <v>0</v>
      </c>
      <c r="N388" s="1120">
        <f>L388-F388</f>
        <v>0</v>
      </c>
      <c r="O388" s="335">
        <v>0</v>
      </c>
      <c r="P388" s="1182">
        <f>IF(O388=0,0,Q388/O388)</f>
        <v>0</v>
      </c>
      <c r="Q388" s="1120">
        <v>0</v>
      </c>
      <c r="R388" s="1182">
        <f>IF(S388=0,0,(+O388-K388)/K388)</f>
        <v>0</v>
      </c>
      <c r="S388" s="1120">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1116" t="str">
        <f t="shared" si="59"/>
        <v>Pièces</v>
      </c>
      <c r="B389" s="38" t="s">
        <v>176</v>
      </c>
      <c r="C389" s="681"/>
      <c r="D389" s="281"/>
      <c r="E389" s="327"/>
      <c r="F389" s="658"/>
      <c r="G389" s="924"/>
      <c r="H389" s="327"/>
      <c r="I389" s="658"/>
      <c r="J389" s="924"/>
      <c r="K389" s="327"/>
      <c r="L389" s="658"/>
      <c r="M389" s="925"/>
      <c r="N389" s="658"/>
      <c r="O389" s="924"/>
      <c r="P389" s="327"/>
      <c r="Q389" s="658"/>
      <c r="R389" s="925"/>
      <c r="S389" s="658"/>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1116" t="str">
        <f t="shared" si="59"/>
        <v>PiècesTotal Dépt. Pièces</v>
      </c>
      <c r="B390" s="38" t="s">
        <v>176</v>
      </c>
      <c r="C390" s="268" t="s">
        <v>191</v>
      </c>
      <c r="D390" s="269">
        <f>D385+D388+D387</f>
        <v>0</v>
      </c>
      <c r="E390" s="270">
        <f>IF(D390&lt;=0,0,F390/D390)</f>
        <v>0</v>
      </c>
      <c r="F390" s="1140">
        <f>F385+F388+F387</f>
        <v>0</v>
      </c>
      <c r="G390" s="272">
        <f>G385+G388+G387</f>
        <v>0</v>
      </c>
      <c r="H390" s="270">
        <f>IF(G390&lt;=0,0,I390/G390)</f>
        <v>0</v>
      </c>
      <c r="I390" s="1140">
        <f>I385+I388+I387</f>
        <v>0</v>
      </c>
      <c r="J390" s="272">
        <f>J385+J388+J387</f>
        <v>1039627.18</v>
      </c>
      <c r="K390" s="373">
        <f>IF(J390&lt;=0,0,L390/J390)</f>
        <v>0.28738242491890215</v>
      </c>
      <c r="L390" s="1140">
        <f>L385+L388+L387</f>
        <v>298770.57999999996</v>
      </c>
      <c r="M390" s="272" t="e">
        <f>(+J390-D390)/D390</f>
        <v>#DIV/0!</v>
      </c>
      <c r="N390" s="1140">
        <f>L390-F390</f>
        <v>298770.57999999996</v>
      </c>
      <c r="O390" s="272">
        <f>O385+O388+O387</f>
        <v>1118304.9800000002</v>
      </c>
      <c r="P390" s="373">
        <f>IF(O390&lt;=0,0,Q390/O390)</f>
        <v>0.26395928237751376</v>
      </c>
      <c r="Q390" s="1140">
        <f>Q385+Q388+Q387</f>
        <v>295186.97999999992</v>
      </c>
      <c r="R390" s="363">
        <f>IF(O390=0,0,(J390-O390)/O390)</f>
        <v>-7.0354510985008889E-2</v>
      </c>
      <c r="S390" s="1140">
        <f>L390-Q390</f>
        <v>3583.6000000000349</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1116" t="str">
        <f t="shared" si="59"/>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1.2140101843245375E-2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1116" t="str">
        <f t="shared" si="59"/>
        <v>Pièces</v>
      </c>
      <c r="B392" s="38" t="s">
        <v>176</v>
      </c>
      <c r="C392" s="970"/>
      <c r="D392" s="305"/>
      <c r="E392" s="341"/>
      <c r="F392" s="1129"/>
      <c r="G392" s="1161"/>
      <c r="H392" s="341"/>
      <c r="I392" s="1129"/>
      <c r="J392" s="1161"/>
      <c r="K392" s="341"/>
      <c r="L392" s="1129"/>
      <c r="M392" s="681"/>
      <c r="N392" s="929"/>
      <c r="O392" s="1161"/>
      <c r="P392" s="341"/>
      <c r="Q392" s="1129"/>
      <c r="R392" s="681"/>
      <c r="S392" s="929"/>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1116" t="str">
        <f t="shared" si="59"/>
        <v>PiècesDEPENSES</v>
      </c>
      <c r="B393" s="38" t="s">
        <v>176</v>
      </c>
      <c r="C393" s="1141" t="s">
        <v>106</v>
      </c>
      <c r="D393" s="38"/>
      <c r="E393" s="38"/>
      <c r="F393" s="658"/>
      <c r="G393" s="681"/>
      <c r="H393" s="38"/>
      <c r="I393" s="658"/>
      <c r="J393" s="681"/>
      <c r="K393" s="38"/>
      <c r="L393" s="1134"/>
      <c r="M393" s="681"/>
      <c r="N393" s="1134"/>
      <c r="O393" s="681"/>
      <c r="P393" s="38"/>
      <c r="Q393" s="1134"/>
      <c r="R393" s="681"/>
      <c r="S393" s="1134"/>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1116" t="str">
        <f t="shared" si="59"/>
        <v>PiècesSalaires cadres</v>
      </c>
      <c r="B394" s="38" t="s">
        <v>176</v>
      </c>
      <c r="C394" s="992" t="s">
        <v>116</v>
      </c>
      <c r="D394" s="38"/>
      <c r="E394" s="38"/>
      <c r="F394" s="244">
        <v>0</v>
      </c>
      <c r="G394" s="681"/>
      <c r="H394" s="38"/>
      <c r="I394" s="244">
        <v>0</v>
      </c>
      <c r="J394" s="681"/>
      <c r="K394" s="38"/>
      <c r="L394" s="658">
        <v>8363.61</v>
      </c>
      <c r="M394" s="681"/>
      <c r="N394" s="967">
        <f t="shared" ref="N394:N404" si="69">L394-F394</f>
        <v>8363.61</v>
      </c>
      <c r="O394" s="681"/>
      <c r="P394" s="38"/>
      <c r="Q394" s="658">
        <v>2058.7000000000007</v>
      </c>
      <c r="R394" s="681"/>
      <c r="S394" s="658">
        <f t="shared" ref="S394:S397" si="70">L394-Q394</f>
        <v>6304.91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1116" t="str">
        <f t="shared" si="59"/>
        <v>PiècesSalaires commis</v>
      </c>
      <c r="B395" s="38" t="s">
        <v>176</v>
      </c>
      <c r="C395" s="299" t="s">
        <v>117</v>
      </c>
      <c r="D395" s="287"/>
      <c r="E395" s="38"/>
      <c r="F395" s="1118">
        <v>0</v>
      </c>
      <c r="G395" s="1143"/>
      <c r="H395" s="38"/>
      <c r="I395" s="1118">
        <v>0</v>
      </c>
      <c r="J395" s="681"/>
      <c r="K395" s="38"/>
      <c r="L395" s="658">
        <v>8527.7299999999977</v>
      </c>
      <c r="M395" s="681"/>
      <c r="N395" s="967">
        <f t="shared" si="69"/>
        <v>8527.7299999999977</v>
      </c>
      <c r="O395" s="681"/>
      <c r="P395" s="38"/>
      <c r="Q395" s="658">
        <v>7546.89</v>
      </c>
      <c r="R395" s="681"/>
      <c r="S395" s="658">
        <f t="shared" si="70"/>
        <v>980.83999999999742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1116" t="str">
        <f t="shared" si="59"/>
        <v>PiècesSalaires autres</v>
      </c>
      <c r="B396" s="38" t="s">
        <v>176</v>
      </c>
      <c r="C396" s="992" t="s">
        <v>118</v>
      </c>
      <c r="D396" s="300"/>
      <c r="E396" s="301"/>
      <c r="F396" s="244">
        <v>0</v>
      </c>
      <c r="G396" s="1150"/>
      <c r="H396" s="301"/>
      <c r="I396" s="244">
        <v>0</v>
      </c>
      <c r="J396" s="1113"/>
      <c r="K396" s="301"/>
      <c r="L396" s="1138">
        <v>57571.439999999995</v>
      </c>
      <c r="M396" s="1113"/>
      <c r="N396" s="1136">
        <f t="shared" si="69"/>
        <v>57571.439999999995</v>
      </c>
      <c r="O396" s="1113"/>
      <c r="P396" s="301"/>
      <c r="Q396" s="1138">
        <v>56630.189999999995</v>
      </c>
      <c r="R396" s="1113"/>
      <c r="S396" s="1138">
        <f t="shared" si="70"/>
        <v>941.25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1116" t="str">
        <f t="shared" si="59"/>
        <v>PiècesSalaires spécialistes</v>
      </c>
      <c r="B397" s="38" t="s">
        <v>176</v>
      </c>
      <c r="C397" s="992" t="s">
        <v>119</v>
      </c>
      <c r="D397" s="287"/>
      <c r="E397" s="38"/>
      <c r="F397" s="244">
        <v>0</v>
      </c>
      <c r="G397" s="1143"/>
      <c r="H397" s="38"/>
      <c r="I397" s="244">
        <v>0</v>
      </c>
      <c r="J397" s="681"/>
      <c r="K397" s="38"/>
      <c r="L397" s="658">
        <v>0</v>
      </c>
      <c r="M397" s="681"/>
      <c r="N397" s="967">
        <f t="shared" si="69"/>
        <v>0</v>
      </c>
      <c r="O397" s="681"/>
      <c r="P397" s="38"/>
      <c r="Q397" s="658">
        <v>0</v>
      </c>
      <c r="R397" s="681"/>
      <c r="S397" s="658">
        <f t="shared" si="70"/>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1116" t="str">
        <f t="shared" si="59"/>
        <v>Pièces[...]</v>
      </c>
      <c r="B398" s="38" t="s">
        <v>176</v>
      </c>
      <c r="C398" s="681" t="s">
        <v>55</v>
      </c>
      <c r="D398" s="287"/>
      <c r="E398" s="38"/>
      <c r="F398" s="244">
        <v>0</v>
      </c>
      <c r="G398" s="1143"/>
      <c r="H398" s="38"/>
      <c r="I398" s="244">
        <v>0</v>
      </c>
      <c r="J398" s="681"/>
      <c r="K398" s="38"/>
      <c r="L398" s="658">
        <v>0</v>
      </c>
      <c r="M398" s="681"/>
      <c r="N398" s="967">
        <f t="shared" si="69"/>
        <v>0</v>
      </c>
      <c r="O398" s="681"/>
      <c r="P398" s="38"/>
      <c r="Q398" s="658">
        <v>0</v>
      </c>
      <c r="R398" s="681"/>
      <c r="S398" s="658">
        <f>L398-Q398</f>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1116" t="str">
        <f t="shared" si="59"/>
        <v>Pièces[...]</v>
      </c>
      <c r="B399" s="38" t="s">
        <v>176</v>
      </c>
      <c r="C399" s="681" t="s">
        <v>55</v>
      </c>
      <c r="D399" s="287"/>
      <c r="E399" s="38"/>
      <c r="F399" s="244">
        <v>0</v>
      </c>
      <c r="G399" s="1143"/>
      <c r="H399" s="38"/>
      <c r="I399" s="244">
        <v>0</v>
      </c>
      <c r="J399" s="681"/>
      <c r="K399" s="38"/>
      <c r="L399" s="658">
        <v>0</v>
      </c>
      <c r="M399" s="681"/>
      <c r="N399" s="967">
        <f t="shared" si="69"/>
        <v>0</v>
      </c>
      <c r="O399" s="681"/>
      <c r="P399" s="38"/>
      <c r="Q399" s="658">
        <v>0</v>
      </c>
      <c r="R399" s="681"/>
      <c r="S399" s="658">
        <f>L399-Q399</f>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1116" t="str">
        <f t="shared" si="59"/>
        <v>Pièces[...]</v>
      </c>
      <c r="B400" s="38" t="s">
        <v>176</v>
      </c>
      <c r="C400" s="681" t="s">
        <v>55</v>
      </c>
      <c r="D400" s="287"/>
      <c r="E400" s="38"/>
      <c r="F400" s="244">
        <v>0</v>
      </c>
      <c r="G400" s="1143"/>
      <c r="H400" s="38"/>
      <c r="I400" s="244">
        <v>0</v>
      </c>
      <c r="J400" s="681"/>
      <c r="K400" s="38"/>
      <c r="L400" s="658">
        <v>0</v>
      </c>
      <c r="M400" s="681"/>
      <c r="N400" s="967">
        <f t="shared" si="69"/>
        <v>0</v>
      </c>
      <c r="O400" s="681"/>
      <c r="P400" s="38"/>
      <c r="Q400" s="658">
        <v>0</v>
      </c>
      <c r="R400" s="681"/>
      <c r="S400" s="658">
        <f>L400-Q400</f>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1116" t="str">
        <f t="shared" si="59"/>
        <v>PiècesSalaires en absences</v>
      </c>
      <c r="B401" s="38" t="s">
        <v>176</v>
      </c>
      <c r="C401" s="299" t="s">
        <v>120</v>
      </c>
      <c r="D401" s="287"/>
      <c r="E401" s="38"/>
      <c r="F401" s="1118">
        <v>0</v>
      </c>
      <c r="G401" s="1143"/>
      <c r="H401" s="38"/>
      <c r="I401" s="1118">
        <v>0</v>
      </c>
      <c r="J401" s="681"/>
      <c r="K401" s="38"/>
      <c r="L401" s="658">
        <v>8645.7000000000007</v>
      </c>
      <c r="M401" s="681"/>
      <c r="N401" s="967">
        <f t="shared" si="69"/>
        <v>8645.7000000000007</v>
      </c>
      <c r="O401" s="681"/>
      <c r="P401" s="38"/>
      <c r="Q401" s="658">
        <v>6591.9100000000008</v>
      </c>
      <c r="R401" s="681"/>
      <c r="S401" s="658">
        <f t="shared" ref="S401:S404" si="71">L401-Q401</f>
        <v>2053.79</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1116" t="str">
        <f t="shared" si="59"/>
        <v>PiècesDéduction à la source</v>
      </c>
      <c r="B402" s="38" t="s">
        <v>176</v>
      </c>
      <c r="C402" s="992" t="s">
        <v>121</v>
      </c>
      <c r="D402" s="300"/>
      <c r="E402" s="301"/>
      <c r="F402" s="244">
        <v>0</v>
      </c>
      <c r="G402" s="1150"/>
      <c r="H402" s="301"/>
      <c r="I402" s="244">
        <v>0</v>
      </c>
      <c r="J402" s="1113"/>
      <c r="K402" s="301"/>
      <c r="L402" s="1138">
        <v>9706.6400000000012</v>
      </c>
      <c r="M402" s="1113"/>
      <c r="N402" s="1136">
        <f t="shared" si="69"/>
        <v>9706.6400000000012</v>
      </c>
      <c r="O402" s="1113"/>
      <c r="P402" s="301"/>
      <c r="Q402" s="1138">
        <v>9081.2400000000016</v>
      </c>
      <c r="R402" s="1113"/>
      <c r="S402" s="1138">
        <f t="shared" si="71"/>
        <v>625.39999999999964</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1116" t="str">
        <f t="shared" si="59"/>
        <v>PiècesBénéfices marginaux</v>
      </c>
      <c r="B403" s="38" t="s">
        <v>176</v>
      </c>
      <c r="C403" s="992" t="s">
        <v>122</v>
      </c>
      <c r="D403" s="287"/>
      <c r="E403" s="38"/>
      <c r="F403" s="244">
        <v>0</v>
      </c>
      <c r="G403" s="1143"/>
      <c r="H403" s="38"/>
      <c r="I403" s="244">
        <v>0</v>
      </c>
      <c r="J403" s="681"/>
      <c r="K403" s="38"/>
      <c r="L403" s="658">
        <v>2190.0599999999995</v>
      </c>
      <c r="M403" s="681"/>
      <c r="N403" s="967">
        <f t="shared" si="69"/>
        <v>2190.0599999999995</v>
      </c>
      <c r="O403" s="681"/>
      <c r="P403" s="38"/>
      <c r="Q403" s="658">
        <v>4828.92</v>
      </c>
      <c r="R403" s="681"/>
      <c r="S403" s="658">
        <f t="shared" si="71"/>
        <v>-2638.8600000000006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1116" t="str">
        <f t="shared" si="59"/>
        <v>PiècesCsst</v>
      </c>
      <c r="B404" s="38" t="s">
        <v>176</v>
      </c>
      <c r="C404" s="992" t="s">
        <v>123</v>
      </c>
      <c r="D404" s="287"/>
      <c r="E404" s="38"/>
      <c r="F404" s="244">
        <v>0</v>
      </c>
      <c r="G404" s="1143"/>
      <c r="H404" s="38"/>
      <c r="I404" s="244">
        <v>0</v>
      </c>
      <c r="J404" s="681"/>
      <c r="K404" s="38"/>
      <c r="L404" s="658">
        <v>3176.4100000000003</v>
      </c>
      <c r="M404" s="681"/>
      <c r="N404" s="967">
        <f t="shared" si="69"/>
        <v>3176.4100000000003</v>
      </c>
      <c r="O404" s="681"/>
      <c r="P404" s="38"/>
      <c r="Q404" s="658">
        <v>319.99</v>
      </c>
      <c r="R404" s="681"/>
      <c r="S404" s="658">
        <f t="shared" si="71"/>
        <v>2856.42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1116" t="str">
        <f t="shared" si="59"/>
        <v>Pièces[...]</v>
      </c>
      <c r="B405" s="38" t="s">
        <v>176</v>
      </c>
      <c r="C405" s="681" t="s">
        <v>55</v>
      </c>
      <c r="D405" s="1146"/>
      <c r="E405" s="1151"/>
      <c r="F405" s="244">
        <v>0</v>
      </c>
      <c r="G405" s="290"/>
      <c r="H405" s="1151"/>
      <c r="I405" s="244">
        <v>0</v>
      </c>
      <c r="J405" s="238"/>
      <c r="K405" s="1151"/>
      <c r="L405" s="658">
        <v>0</v>
      </c>
      <c r="M405" s="238"/>
      <c r="N405" s="1120">
        <f>L405-F405</f>
        <v>0</v>
      </c>
      <c r="O405" s="238"/>
      <c r="P405" s="1151"/>
      <c r="Q405" s="658">
        <v>0</v>
      </c>
      <c r="R405" s="238"/>
      <c r="S405" s="1120">
        <f>L405-Q405</f>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1116" t="str">
        <f t="shared" si="59"/>
        <v>PiècesTOTAL PERSONNEL</v>
      </c>
      <c r="B406" s="38" t="s">
        <v>176</v>
      </c>
      <c r="C406" s="291" t="s">
        <v>124</v>
      </c>
      <c r="D406" s="1147" t="s">
        <v>115</v>
      </c>
      <c r="E406" s="1148" t="e">
        <f>F406/F$314</f>
        <v>#DIV/0!</v>
      </c>
      <c r="F406" s="1149">
        <f>+SUM(F394:F405)</f>
        <v>0</v>
      </c>
      <c r="G406" s="295" t="s">
        <v>115</v>
      </c>
      <c r="H406" s="1148" t="e">
        <f>I406/I$314</f>
        <v>#DIV/0!</v>
      </c>
      <c r="I406" s="1149">
        <f>+SUM(I394:I405)</f>
        <v>0</v>
      </c>
      <c r="J406" s="295" t="s">
        <v>115</v>
      </c>
      <c r="K406" s="1148" t="e">
        <f>L406/L$314</f>
        <v>#DIV/0!</v>
      </c>
      <c r="L406" s="1149">
        <f>+SUM(L394:L405)</f>
        <v>98181.59</v>
      </c>
      <c r="M406" s="296"/>
      <c r="N406" s="1149">
        <f t="shared" ref="N406:N424" si="72">L406-F406</f>
        <v>98181.59</v>
      </c>
      <c r="O406" s="295" t="s">
        <v>115</v>
      </c>
      <c r="P406" s="1148" t="e">
        <f>Q406/Q$314</f>
        <v>#DIV/0!</v>
      </c>
      <c r="Q406" s="1149">
        <f>+SUM(Q394:Q405)</f>
        <v>87057.840000000011</v>
      </c>
      <c r="R406" s="297"/>
      <c r="S406" s="1149">
        <f t="shared" ref="S406:S412" si="73">L406-Q406</f>
        <v>11123.749999999985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1116" t="str">
        <f t="shared" si="59"/>
        <v>PiècesPublicité 2</v>
      </c>
      <c r="B407" s="38" t="s">
        <v>176</v>
      </c>
      <c r="C407" s="1179" t="s">
        <v>125</v>
      </c>
      <c r="D407" s="287"/>
      <c r="E407" s="38"/>
      <c r="F407" s="244">
        <v>0</v>
      </c>
      <c r="G407" s="1143"/>
      <c r="H407" s="38"/>
      <c r="I407" s="244">
        <v>0</v>
      </c>
      <c r="J407" s="681"/>
      <c r="K407" s="38"/>
      <c r="L407" s="658">
        <v>2629.95</v>
      </c>
      <c r="M407" s="681"/>
      <c r="N407" s="658">
        <f t="shared" si="72"/>
        <v>2629.95</v>
      </c>
      <c r="O407" s="681"/>
      <c r="P407" s="38"/>
      <c r="Q407" s="658">
        <v>3535.96</v>
      </c>
      <c r="R407" s="681"/>
      <c r="S407" s="658">
        <f t="shared" si="73"/>
        <v>-906.01000000000022</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1116" t="str">
        <f t="shared" si="59"/>
        <v>PiècesService gratuit 2</v>
      </c>
      <c r="B408" s="38" t="s">
        <v>176</v>
      </c>
      <c r="C408" s="992" t="s">
        <v>126</v>
      </c>
      <c r="D408" s="287"/>
      <c r="E408" s="38"/>
      <c r="F408" s="244">
        <v>0</v>
      </c>
      <c r="G408" s="1143"/>
      <c r="H408" s="38"/>
      <c r="I408" s="244">
        <v>0</v>
      </c>
      <c r="J408" s="681"/>
      <c r="K408" s="38"/>
      <c r="L408" s="658">
        <v>0</v>
      </c>
      <c r="M408" s="681"/>
      <c r="N408" s="658">
        <f t="shared" si="72"/>
        <v>0</v>
      </c>
      <c r="O408" s="681"/>
      <c r="P408" s="38"/>
      <c r="Q408" s="658">
        <v>231.95000000000005</v>
      </c>
      <c r="R408" s="681"/>
      <c r="S408" s="658">
        <f t="shared" si="73"/>
        <v>-231.95000000000005</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1116" t="str">
        <f t="shared" si="59"/>
        <v>PiècesFrais véhicules de cie</v>
      </c>
      <c r="B409" s="38" t="s">
        <v>176</v>
      </c>
      <c r="C409" s="299" t="s">
        <v>127</v>
      </c>
      <c r="D409" s="1146"/>
      <c r="E409" s="1151"/>
      <c r="F409" s="1118">
        <v>0</v>
      </c>
      <c r="G409" s="290"/>
      <c r="H409" s="1151"/>
      <c r="I409" s="1118">
        <v>0</v>
      </c>
      <c r="J409" s="238"/>
      <c r="K409" s="1151"/>
      <c r="L409" s="1120">
        <v>7453.13</v>
      </c>
      <c r="M409" s="238"/>
      <c r="N409" s="1120">
        <f t="shared" si="72"/>
        <v>7453.13</v>
      </c>
      <c r="O409" s="238"/>
      <c r="P409" s="1151"/>
      <c r="Q409" s="1120">
        <v>6708.8500000000022</v>
      </c>
      <c r="R409" s="238"/>
      <c r="S409" s="1120">
        <f t="shared" si="73"/>
        <v>744.27999999999793</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1116" t="str">
        <f t="shared" si="59"/>
        <v>PiècesInformatique</v>
      </c>
      <c r="B410" s="38" t="s">
        <v>176</v>
      </c>
      <c r="C410" s="992" t="s">
        <v>128</v>
      </c>
      <c r="D410" s="287"/>
      <c r="E410" s="38"/>
      <c r="F410" s="244">
        <v>0</v>
      </c>
      <c r="G410" s="1143"/>
      <c r="H410" s="38"/>
      <c r="I410" s="244">
        <v>0</v>
      </c>
      <c r="J410" s="681"/>
      <c r="K410" s="38"/>
      <c r="L410" s="658">
        <v>6118.7899999999991</v>
      </c>
      <c r="M410" s="681"/>
      <c r="N410" s="658">
        <f t="shared" si="72"/>
        <v>6118.7899999999991</v>
      </c>
      <c r="O410" s="681"/>
      <c r="P410" s="38"/>
      <c r="Q410" s="658">
        <v>5254.7300000000005</v>
      </c>
      <c r="R410" s="681"/>
      <c r="S410" s="658">
        <f t="shared" si="73"/>
        <v>864.05999999999858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1116" t="str">
        <f t="shared" si="59"/>
        <v>PiècesFrais de déplacement</v>
      </c>
      <c r="B411" s="38" t="s">
        <v>176</v>
      </c>
      <c r="C411" s="992" t="s">
        <v>129</v>
      </c>
      <c r="D411" s="287"/>
      <c r="E411" s="38"/>
      <c r="F411" s="244">
        <v>0</v>
      </c>
      <c r="G411" s="1143"/>
      <c r="H411" s="38"/>
      <c r="I411" s="244">
        <v>0</v>
      </c>
      <c r="J411" s="681"/>
      <c r="K411" s="38"/>
      <c r="L411" s="658">
        <v>3834.3599999999997</v>
      </c>
      <c r="M411" s="681"/>
      <c r="N411" s="658">
        <f t="shared" si="72"/>
        <v>3834.3599999999997</v>
      </c>
      <c r="O411" s="681"/>
      <c r="P411" s="38"/>
      <c r="Q411" s="658">
        <v>5810.2199999999993</v>
      </c>
      <c r="R411" s="681"/>
      <c r="S411" s="658">
        <f t="shared" si="73"/>
        <v>-1975.8599999999997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1116" t="str">
        <f t="shared" si="59"/>
        <v>PiècesServices extérieurs</v>
      </c>
      <c r="B412" s="38" t="s">
        <v>176</v>
      </c>
      <c r="C412" s="299" t="s">
        <v>130</v>
      </c>
      <c r="D412" s="1146"/>
      <c r="E412" s="1151"/>
      <c r="F412" s="1118">
        <v>0</v>
      </c>
      <c r="G412" s="290"/>
      <c r="H412" s="1151"/>
      <c r="I412" s="1118">
        <v>0</v>
      </c>
      <c r="J412" s="238"/>
      <c r="K412" s="1151"/>
      <c r="L412" s="1120">
        <v>7734.52</v>
      </c>
      <c r="M412" s="238"/>
      <c r="N412" s="1120">
        <f t="shared" si="72"/>
        <v>7734.52</v>
      </c>
      <c r="O412" s="238"/>
      <c r="P412" s="1151"/>
      <c r="Q412" s="1120">
        <v>7819.93</v>
      </c>
      <c r="R412" s="238"/>
      <c r="S412" s="1120">
        <f t="shared" si="73"/>
        <v>-85.409999999999854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1116" t="str">
        <f t="shared" si="59"/>
        <v>PiècesFournitures d'atelier</v>
      </c>
      <c r="B413" s="38" t="s">
        <v>176</v>
      </c>
      <c r="C413" s="992" t="s">
        <v>483</v>
      </c>
      <c r="D413" s="287"/>
      <c r="E413" s="38"/>
      <c r="F413" s="244">
        <v>0</v>
      </c>
      <c r="G413" s="1143"/>
      <c r="H413" s="38"/>
      <c r="I413" s="244">
        <v>0</v>
      </c>
      <c r="J413" s="681"/>
      <c r="K413" s="38"/>
      <c r="L413" s="658">
        <v>0</v>
      </c>
      <c r="M413" s="681"/>
      <c r="N413" s="658">
        <f t="shared" si="72"/>
        <v>0</v>
      </c>
      <c r="O413" s="681"/>
      <c r="P413" s="38"/>
      <c r="Q413" s="658">
        <v>0</v>
      </c>
      <c r="R413" s="681"/>
      <c r="S413" s="658">
        <f>L413-Q413</f>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1116" t="str">
        <f t="shared" si="59"/>
        <v>PiècesFournitures autres</v>
      </c>
      <c r="B414" s="38" t="s">
        <v>176</v>
      </c>
      <c r="C414" s="992" t="s">
        <v>131</v>
      </c>
      <c r="D414" s="287"/>
      <c r="E414" s="38"/>
      <c r="F414" s="244">
        <v>0</v>
      </c>
      <c r="G414" s="1143"/>
      <c r="H414" s="38"/>
      <c r="I414" s="244">
        <v>0</v>
      </c>
      <c r="J414" s="681"/>
      <c r="K414" s="38"/>
      <c r="L414" s="658">
        <v>412.96000000000004</v>
      </c>
      <c r="M414" s="681"/>
      <c r="N414" s="658">
        <f t="shared" si="72"/>
        <v>412.96000000000004</v>
      </c>
      <c r="O414" s="681"/>
      <c r="P414" s="38"/>
      <c r="Q414" s="658">
        <v>402.19000000000005</v>
      </c>
      <c r="R414" s="681"/>
      <c r="S414" s="658">
        <f t="shared" ref="S414:S419" si="74">L414-Q414</f>
        <v>10.769999999999982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1116" t="str">
        <f t="shared" si="59"/>
        <v>PiècesUniformes</v>
      </c>
      <c r="B415" s="38" t="s">
        <v>176</v>
      </c>
      <c r="C415" s="992" t="s">
        <v>132</v>
      </c>
      <c r="D415" s="287"/>
      <c r="E415" s="38"/>
      <c r="F415" s="244">
        <v>0</v>
      </c>
      <c r="G415" s="1143"/>
      <c r="H415" s="38"/>
      <c r="I415" s="244">
        <v>0</v>
      </c>
      <c r="J415" s="681"/>
      <c r="K415" s="38"/>
      <c r="L415" s="658">
        <v>0</v>
      </c>
      <c r="M415" s="681"/>
      <c r="N415" s="658">
        <f t="shared" si="72"/>
        <v>0</v>
      </c>
      <c r="O415" s="681"/>
      <c r="P415" s="38"/>
      <c r="Q415" s="658">
        <v>0</v>
      </c>
      <c r="R415" s="681"/>
      <c r="S415" s="658">
        <f t="shared" si="7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1116" t="str">
        <f t="shared" si="59"/>
        <v>PiècesPapeterie</v>
      </c>
      <c r="B416" s="38" t="s">
        <v>176</v>
      </c>
      <c r="C416" s="992" t="s">
        <v>133</v>
      </c>
      <c r="D416" s="287"/>
      <c r="E416" s="38"/>
      <c r="F416" s="244">
        <v>0</v>
      </c>
      <c r="G416" s="1143"/>
      <c r="H416" s="38"/>
      <c r="I416" s="244">
        <v>0</v>
      </c>
      <c r="J416" s="681"/>
      <c r="K416" s="38"/>
      <c r="L416" s="658">
        <v>1209.7600000000002</v>
      </c>
      <c r="M416" s="681"/>
      <c r="N416" s="658">
        <f t="shared" si="72"/>
        <v>1209.7600000000002</v>
      </c>
      <c r="O416" s="681"/>
      <c r="P416" s="38"/>
      <c r="Q416" s="658">
        <v>1383.46</v>
      </c>
      <c r="R416" s="681"/>
      <c r="S416" s="658">
        <f t="shared" si="74"/>
        <v>-173.69999999999982</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1116" t="str">
        <f t="shared" si="59"/>
        <v>PiècesTéléphone</v>
      </c>
      <c r="B417" s="38" t="s">
        <v>176</v>
      </c>
      <c r="C417" s="992" t="s">
        <v>134</v>
      </c>
      <c r="D417" s="287"/>
      <c r="E417" s="38"/>
      <c r="F417" s="244">
        <v>0</v>
      </c>
      <c r="G417" s="1143"/>
      <c r="H417" s="38"/>
      <c r="I417" s="244">
        <v>0</v>
      </c>
      <c r="J417" s="681"/>
      <c r="K417" s="38"/>
      <c r="L417" s="658">
        <v>686.89</v>
      </c>
      <c r="M417" s="681"/>
      <c r="N417" s="658">
        <f t="shared" si="72"/>
        <v>686.89</v>
      </c>
      <c r="O417" s="681"/>
      <c r="P417" s="38"/>
      <c r="Q417" s="658">
        <v>1097.6299999999999</v>
      </c>
      <c r="R417" s="681"/>
      <c r="S417" s="658">
        <f t="shared" si="74"/>
        <v>-410.7399999999999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1116" t="str">
        <f t="shared" si="59"/>
        <v>PiècesFrais postaux</v>
      </c>
      <c r="B418" s="38" t="s">
        <v>176</v>
      </c>
      <c r="C418" s="992" t="s">
        <v>135</v>
      </c>
      <c r="D418" s="287"/>
      <c r="E418" s="38"/>
      <c r="F418" s="244">
        <v>0</v>
      </c>
      <c r="G418" s="1143"/>
      <c r="H418" s="38"/>
      <c r="I418" s="244">
        <v>0</v>
      </c>
      <c r="J418" s="681"/>
      <c r="K418" s="38"/>
      <c r="L418" s="658">
        <v>2554.25</v>
      </c>
      <c r="M418" s="681"/>
      <c r="N418" s="658">
        <f t="shared" si="72"/>
        <v>2554.25</v>
      </c>
      <c r="O418" s="681"/>
      <c r="P418" s="38"/>
      <c r="Q418" s="658">
        <v>1759.48</v>
      </c>
      <c r="R418" s="681"/>
      <c r="S418" s="658">
        <f t="shared" si="74"/>
        <v>794.77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1116" t="str">
        <f t="shared" si="59"/>
        <v>PiècesDivers</v>
      </c>
      <c r="B419" s="38" t="s">
        <v>176</v>
      </c>
      <c r="C419" s="992" t="s">
        <v>136</v>
      </c>
      <c r="D419" s="287"/>
      <c r="E419" s="38"/>
      <c r="F419" s="244">
        <v>0</v>
      </c>
      <c r="G419" s="1143"/>
      <c r="H419" s="38"/>
      <c r="I419" s="244">
        <v>0</v>
      </c>
      <c r="J419" s="681"/>
      <c r="K419" s="38"/>
      <c r="L419" s="658">
        <v>7250.85</v>
      </c>
      <c r="M419" s="681"/>
      <c r="N419" s="658">
        <f t="shared" si="72"/>
        <v>7250.85</v>
      </c>
      <c r="O419" s="681"/>
      <c r="P419" s="38"/>
      <c r="Q419" s="658">
        <v>5457.1</v>
      </c>
      <c r="R419" s="681"/>
      <c r="S419" s="658">
        <f t="shared" si="74"/>
        <v>1793.75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1116" t="str">
        <f t="shared" si="59"/>
        <v>PiècesFormation</v>
      </c>
      <c r="B420" s="38" t="s">
        <v>176</v>
      </c>
      <c r="C420" s="992" t="s">
        <v>137</v>
      </c>
      <c r="D420" s="287"/>
      <c r="E420" s="38"/>
      <c r="F420" s="244">
        <v>0</v>
      </c>
      <c r="G420" s="1143"/>
      <c r="H420" s="38"/>
      <c r="I420" s="244">
        <v>0</v>
      </c>
      <c r="J420" s="681"/>
      <c r="K420" s="38"/>
      <c r="L420" s="658">
        <v>0</v>
      </c>
      <c r="M420" s="681"/>
      <c r="N420" s="658">
        <f t="shared" si="72"/>
        <v>0</v>
      </c>
      <c r="O420" s="681"/>
      <c r="P420" s="38"/>
      <c r="Q420" s="658">
        <v>6793</v>
      </c>
      <c r="R420" s="681"/>
      <c r="S420" s="658">
        <f>L420-Q420</f>
        <v>-6793</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1116" t="str">
        <f t="shared" si="59"/>
        <v>PiècesFrais bancaires</v>
      </c>
      <c r="B421" s="38" t="s">
        <v>176</v>
      </c>
      <c r="C421" s="992" t="s">
        <v>138</v>
      </c>
      <c r="D421" s="287"/>
      <c r="E421" s="38"/>
      <c r="F421" s="244">
        <v>0</v>
      </c>
      <c r="G421" s="1143"/>
      <c r="H421" s="38"/>
      <c r="I421" s="244">
        <v>0</v>
      </c>
      <c r="J421" s="681"/>
      <c r="K421" s="38"/>
      <c r="L421" s="658">
        <v>1760.59</v>
      </c>
      <c r="M421" s="681"/>
      <c r="N421" s="658">
        <f t="shared" si="72"/>
        <v>1760.59</v>
      </c>
      <c r="O421" s="681"/>
      <c r="P421" s="38"/>
      <c r="Q421" s="658">
        <v>315.78999999999996</v>
      </c>
      <c r="R421" s="681"/>
      <c r="S421" s="658">
        <f>L421-Q421</f>
        <v>1444.8</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1116" t="str">
        <f t="shared" si="59"/>
        <v>Pièces[...]</v>
      </c>
      <c r="B422" s="38" t="s">
        <v>176</v>
      </c>
      <c r="C422" s="992" t="s">
        <v>55</v>
      </c>
      <c r="D422" s="287"/>
      <c r="E422" s="38"/>
      <c r="F422" s="244">
        <v>0</v>
      </c>
      <c r="G422" s="1143"/>
      <c r="H422" s="38"/>
      <c r="I422" s="244">
        <v>0</v>
      </c>
      <c r="J422" s="681"/>
      <c r="K422" s="38"/>
      <c r="L422" s="658">
        <v>0</v>
      </c>
      <c r="M422" s="681"/>
      <c r="N422" s="658">
        <f t="shared" si="72"/>
        <v>0</v>
      </c>
      <c r="O422" s="681"/>
      <c r="P422" s="38"/>
      <c r="Q422" s="658">
        <v>0</v>
      </c>
      <c r="R422" s="681"/>
      <c r="S422" s="658">
        <f>L422-Q422</f>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1116" t="str">
        <f t="shared" si="59"/>
        <v>Pièces[...]</v>
      </c>
      <c r="B423" s="38" t="s">
        <v>176</v>
      </c>
      <c r="C423" s="992" t="s">
        <v>55</v>
      </c>
      <c r="D423" s="287"/>
      <c r="E423" s="38"/>
      <c r="F423" s="244">
        <v>0</v>
      </c>
      <c r="G423" s="1143"/>
      <c r="H423" s="38"/>
      <c r="I423" s="244">
        <v>0</v>
      </c>
      <c r="J423" s="681"/>
      <c r="K423" s="38"/>
      <c r="L423" s="658">
        <v>0</v>
      </c>
      <c r="M423" s="681"/>
      <c r="N423" s="658">
        <f t="shared" si="72"/>
        <v>0</v>
      </c>
      <c r="O423" s="681"/>
      <c r="P423" s="38"/>
      <c r="Q423" s="658">
        <v>0</v>
      </c>
      <c r="R423" s="681"/>
      <c r="S423" s="658">
        <f>L423-Q423</f>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1116" t="str">
        <f t="shared" si="59"/>
        <v>Pièces[...]</v>
      </c>
      <c r="B424" s="38" t="s">
        <v>176</v>
      </c>
      <c r="C424" s="992" t="s">
        <v>55</v>
      </c>
      <c r="D424" s="287"/>
      <c r="E424" s="38"/>
      <c r="F424" s="244">
        <v>0</v>
      </c>
      <c r="G424" s="1143"/>
      <c r="H424" s="38"/>
      <c r="I424" s="244">
        <v>0</v>
      </c>
      <c r="J424" s="681"/>
      <c r="K424" s="38"/>
      <c r="L424" s="658">
        <v>0</v>
      </c>
      <c r="M424" s="681"/>
      <c r="N424" s="658">
        <f t="shared" si="72"/>
        <v>0</v>
      </c>
      <c r="O424" s="681"/>
      <c r="P424" s="38"/>
      <c r="Q424" s="658">
        <v>0</v>
      </c>
      <c r="R424" s="681"/>
      <c r="S424" s="658">
        <f>L424-Q424</f>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1116"/>
      <c r="B425" s="38"/>
      <c r="C425" s="291" t="s">
        <v>139</v>
      </c>
      <c r="D425" s="1147" t="s">
        <v>115</v>
      </c>
      <c r="E425" s="1148" t="e">
        <f>F425/F$314</f>
        <v>#DIV/0!</v>
      </c>
      <c r="F425" s="1149">
        <f>+SUM(F407:F424)</f>
        <v>0</v>
      </c>
      <c r="G425" s="295" t="s">
        <v>115</v>
      </c>
      <c r="H425" s="1148" t="e">
        <f>I425/I$314</f>
        <v>#DIV/0!</v>
      </c>
      <c r="I425" s="1149">
        <f>+SUM(I407:I424)</f>
        <v>0</v>
      </c>
      <c r="J425" s="295" t="s">
        <v>115</v>
      </c>
      <c r="K425" s="1148" t="e">
        <f>L425/L$314</f>
        <v>#DIV/0!</v>
      </c>
      <c r="L425" s="1149">
        <f>+SUM(L407:L424)</f>
        <v>41646.049999999996</v>
      </c>
      <c r="M425" s="296"/>
      <c r="N425" s="1149">
        <f>+SUM(N407:N424)</f>
        <v>41646.049999999996</v>
      </c>
      <c r="O425" s="295" t="s">
        <v>115</v>
      </c>
      <c r="P425" s="1148" t="e">
        <f>Q425/Q$314</f>
        <v>#DIV/0!</v>
      </c>
      <c r="Q425" s="1149">
        <f>+SUM(Q407:Q424)</f>
        <v>46570.29</v>
      </c>
      <c r="R425" s="297"/>
      <c r="S425" s="1149">
        <f>+SUM(S407:S424)</f>
        <v>-4924.2400000000025</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1146"/>
      <c r="E426" s="1151"/>
      <c r="F426" s="658"/>
      <c r="G426" s="290"/>
      <c r="H426" s="1151"/>
      <c r="I426" s="658"/>
      <c r="J426" s="238"/>
      <c r="K426" s="1151"/>
      <c r="L426" s="1120"/>
      <c r="M426" s="238"/>
      <c r="N426" s="1120"/>
      <c r="O426" s="238"/>
      <c r="P426" s="1151"/>
      <c r="Q426" s="1120"/>
      <c r="R426" s="238"/>
      <c r="S426" s="1120"/>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1116"/>
      <c r="B427" s="38"/>
      <c r="C427" s="291" t="s">
        <v>140</v>
      </c>
      <c r="D427" s="1147" t="s">
        <v>115</v>
      </c>
      <c r="E427" s="1148" t="e">
        <f>F427/F$314</f>
        <v>#DIV/0!</v>
      </c>
      <c r="F427" s="1149">
        <f>F406+F425</f>
        <v>0</v>
      </c>
      <c r="G427" s="295" t="s">
        <v>115</v>
      </c>
      <c r="H427" s="1148" t="e">
        <f>I427/I$314</f>
        <v>#DIV/0!</v>
      </c>
      <c r="I427" s="1149">
        <f>I406+I425</f>
        <v>0</v>
      </c>
      <c r="J427" s="295" t="s">
        <v>115</v>
      </c>
      <c r="K427" s="1148" t="e">
        <f>L427/L$314</f>
        <v>#DIV/0!</v>
      </c>
      <c r="L427" s="1149">
        <f>L406+L425</f>
        <v>139827.63999999998</v>
      </c>
      <c r="M427" s="296"/>
      <c r="N427" s="1149">
        <f>L427-F427</f>
        <v>139827.63999999998</v>
      </c>
      <c r="O427" s="295" t="s">
        <v>115</v>
      </c>
      <c r="P427" s="1148" t="e">
        <f>Q427/Q$314</f>
        <v>#DIV/0!</v>
      </c>
      <c r="Q427" s="1149">
        <f>Q406+Q425</f>
        <v>133628.13</v>
      </c>
      <c r="R427" s="297"/>
      <c r="S427" s="1149">
        <f>L427-Q427</f>
        <v>6199.5099999999802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681"/>
      <c r="D428" s="287"/>
      <c r="E428" s="38"/>
      <c r="F428" s="658"/>
      <c r="G428" s="1143"/>
      <c r="H428" s="38"/>
      <c r="I428" s="658"/>
      <c r="J428" s="681"/>
      <c r="K428" s="38"/>
      <c r="L428" s="658"/>
      <c r="M428" s="681"/>
      <c r="N428" s="658">
        <f>L428-F428</f>
        <v>0</v>
      </c>
      <c r="O428" s="681"/>
      <c r="P428" s="38"/>
      <c r="Q428" s="658"/>
      <c r="R428" s="681"/>
      <c r="S428" s="658"/>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1116"/>
      <c r="B429" s="38"/>
      <c r="C429" s="953" t="s">
        <v>147</v>
      </c>
      <c r="D429" s="954"/>
      <c r="E429" s="955"/>
      <c r="F429" s="956">
        <f>F390-F427</f>
        <v>0</v>
      </c>
      <c r="G429" s="957"/>
      <c r="H429" s="955"/>
      <c r="I429" s="956">
        <f>I390-I427</f>
        <v>0</v>
      </c>
      <c r="J429" s="957"/>
      <c r="K429" s="955"/>
      <c r="L429" s="956">
        <f>L390-L427</f>
        <v>158942.93999999997</v>
      </c>
      <c r="M429" s="958"/>
      <c r="N429" s="956">
        <f>L429-F429</f>
        <v>158942.93999999997</v>
      </c>
      <c r="O429" s="957"/>
      <c r="P429" s="955"/>
      <c r="Q429" s="956">
        <f>Q390-Q427</f>
        <v>161558.84999999992</v>
      </c>
      <c r="R429" s="959"/>
      <c r="S429" s="956">
        <f>L429-Q429</f>
        <v>-2615.9099999999453</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1105" t="str">
        <f>C1</f>
        <v>Ste-Marie Auto</v>
      </c>
      <c r="D432" s="911"/>
      <c r="E432" s="912"/>
      <c r="F432" s="911"/>
      <c r="G432" s="911"/>
      <c r="H432" s="913"/>
      <c r="I432" s="911"/>
      <c r="J432" s="913"/>
      <c r="K432" s="914" t="s">
        <v>1162</v>
      </c>
      <c r="L432" s="911"/>
      <c r="M432" s="911"/>
      <c r="N432" s="915"/>
      <c r="O432" s="1105"/>
      <c r="P432" s="1106"/>
      <c r="Q432" s="1105"/>
      <c r="R432" s="1106"/>
      <c r="S432" s="1107" t="str">
        <f>$S$1</f>
        <v>Réalisé  Q2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1111"/>
      <c r="D434" s="1244" t="s">
        <v>339</v>
      </c>
      <c r="E434" s="1245"/>
      <c r="F434" s="1248"/>
      <c r="G434" s="1247"/>
      <c r="H434" s="1245"/>
      <c r="I434" s="1248"/>
      <c r="J434" s="1247" t="s">
        <v>340</v>
      </c>
      <c r="K434" s="1245"/>
      <c r="L434" s="1248"/>
      <c r="M434" s="1247"/>
      <c r="N434" s="1248"/>
      <c r="O434" s="1244" t="s">
        <v>341</v>
      </c>
      <c r="P434" s="1245"/>
      <c r="Q434" s="1248"/>
      <c r="R434" s="1247" t="s">
        <v>342</v>
      </c>
      <c r="S434" s="1248"/>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1116" t="s">
        <v>192</v>
      </c>
      <c r="B435" s="38" t="s">
        <v>1162</v>
      </c>
      <c r="C435" s="906"/>
      <c r="D435" s="36" t="s">
        <v>159</v>
      </c>
      <c r="E435" s="36" t="s">
        <v>177</v>
      </c>
      <c r="F435" s="920" t="s">
        <v>91</v>
      </c>
      <c r="G435" s="919"/>
      <c r="H435" s="36"/>
      <c r="I435" s="920"/>
      <c r="J435" s="919" t="s">
        <v>158</v>
      </c>
      <c r="K435" s="36" t="s">
        <v>159</v>
      </c>
      <c r="L435" s="920" t="s">
        <v>91</v>
      </c>
      <c r="M435" s="919" t="s">
        <v>158</v>
      </c>
      <c r="N435" s="920" t="s">
        <v>669</v>
      </c>
      <c r="O435" s="36" t="s">
        <v>158</v>
      </c>
      <c r="P435" s="36" t="s">
        <v>159</v>
      </c>
      <c r="Q435" s="920" t="s">
        <v>91</v>
      </c>
      <c r="R435" s="919" t="s">
        <v>453</v>
      </c>
      <c r="S435" s="920"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1116"/>
      <c r="B436" s="38" t="s">
        <v>1162</v>
      </c>
      <c r="C436" s="681"/>
      <c r="D436" s="36"/>
      <c r="E436" s="36"/>
      <c r="F436" s="920"/>
      <c r="G436" s="36"/>
      <c r="H436" s="36"/>
      <c r="I436" s="36"/>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1116"/>
      <c r="B437" s="38" t="s">
        <v>1162</v>
      </c>
      <c r="C437" s="681" t="s">
        <v>1170</v>
      </c>
      <c r="D437" s="281">
        <v>0</v>
      </c>
      <c r="E437" s="281">
        <v>0</v>
      </c>
      <c r="F437" s="281">
        <v>0</v>
      </c>
      <c r="G437" s="923"/>
      <c r="H437" s="281"/>
      <c r="I437" s="281"/>
      <c r="J437" s="924">
        <v>595</v>
      </c>
      <c r="K437" s="281">
        <v>97132.5</v>
      </c>
      <c r="L437" s="658">
        <v>73227.25</v>
      </c>
      <c r="M437" s="925">
        <f>IFERROR((K437-E437)/E437,0)</f>
        <v>0</v>
      </c>
      <c r="N437" s="658">
        <f>L437-F437</f>
        <v>73227.25</v>
      </c>
      <c r="O437" s="924">
        <v>0</v>
      </c>
      <c r="P437" s="281">
        <v>0</v>
      </c>
      <c r="Q437" s="658">
        <v>0</v>
      </c>
      <c r="R437" s="925">
        <f>IF(O437=0,0,J437/O437)</f>
        <v>0</v>
      </c>
      <c r="S437" s="658">
        <f>L437-Q437</f>
        <v>73227.25</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1116"/>
      <c r="B438" s="38" t="s">
        <v>1162</v>
      </c>
      <c r="C438" s="681" t="s">
        <v>161</v>
      </c>
      <c r="D438" s="36"/>
      <c r="E438" s="325"/>
      <c r="F438" s="927">
        <f>IFERROR(F437/E437,0)</f>
        <v>0</v>
      </c>
      <c r="G438" s="681"/>
      <c r="H438" s="325"/>
      <c r="I438" s="927"/>
      <c r="J438" s="924"/>
      <c r="K438" s="38"/>
      <c r="L438" s="927">
        <f>IFERROR(L437/K437,0)</f>
        <v>0.75389030448099248</v>
      </c>
      <c r="M438" s="925"/>
      <c r="N438" s="658">
        <f>IFERROR(N437/M437,0)</f>
        <v>0</v>
      </c>
      <c r="O438" s="924"/>
      <c r="P438" s="38"/>
      <c r="Q438" s="927">
        <f>IFERROR(Q437/P437,0)</f>
        <v>0</v>
      </c>
      <c r="R438" s="924"/>
      <c r="S438" s="658"/>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1116"/>
      <c r="B439" s="38" t="s">
        <v>1162</v>
      </c>
      <c r="C439" s="681"/>
      <c r="D439" s="36"/>
      <c r="E439" s="1176"/>
      <c r="F439" s="1158"/>
      <c r="G439" s="919"/>
      <c r="H439" s="1176"/>
      <c r="I439" s="1158"/>
      <c r="J439" s="919"/>
      <c r="K439" s="36"/>
      <c r="L439" s="920"/>
      <c r="M439" s="919"/>
      <c r="N439" s="920"/>
      <c r="O439" s="919"/>
      <c r="P439" s="36"/>
      <c r="Q439" s="920"/>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1116"/>
      <c r="B440" s="38" t="s">
        <v>1162</v>
      </c>
      <c r="C440" s="1183" t="s">
        <v>1171</v>
      </c>
      <c r="D440" s="336">
        <v>0</v>
      </c>
      <c r="E440" s="281">
        <v>0</v>
      </c>
      <c r="F440" s="281">
        <v>0</v>
      </c>
      <c r="G440" s="1177"/>
      <c r="H440" s="281"/>
      <c r="I440" s="281"/>
      <c r="J440" s="1139">
        <v>1287</v>
      </c>
      <c r="K440" s="336">
        <v>198990.41999999998</v>
      </c>
      <c r="L440" s="1138">
        <v>151538.84999999998</v>
      </c>
      <c r="M440" s="1167">
        <f>IFERROR((K440-E440)/E440,0)</f>
        <v>0</v>
      </c>
      <c r="N440" s="1138">
        <f>L440-F440</f>
        <v>151538.84999999998</v>
      </c>
      <c r="O440" s="1139">
        <v>1763</v>
      </c>
      <c r="P440" s="336">
        <v>259698.5</v>
      </c>
      <c r="Q440" s="1138">
        <v>198306.34999999998</v>
      </c>
      <c r="R440" s="925">
        <f>IF(O440=0,0,J440/O440)</f>
        <v>0.73000567214974477</v>
      </c>
      <c r="S440" s="658">
        <f>L440-Q440</f>
        <v>-46767.5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1116"/>
      <c r="B441" s="38" t="s">
        <v>1162</v>
      </c>
      <c r="C441" s="681" t="s">
        <v>161</v>
      </c>
      <c r="D441" s="38"/>
      <c r="E441" s="325"/>
      <c r="F441" s="927">
        <f>IFERROR(F440/E440,0)</f>
        <v>0</v>
      </c>
      <c r="G441" s="681"/>
      <c r="H441" s="325"/>
      <c r="I441" s="927"/>
      <c r="J441" s="924"/>
      <c r="K441" s="38"/>
      <c r="L441" s="927">
        <f>IFERROR(L440/K440,0)</f>
        <v>0.76153841978925407</v>
      </c>
      <c r="M441" s="925"/>
      <c r="N441" s="658">
        <f>IFERROR(N440/M440,0)</f>
        <v>0</v>
      </c>
      <c r="O441" s="924"/>
      <c r="P441" s="38"/>
      <c r="Q441" s="927">
        <f>IFERROR(Q440/P440,0)</f>
        <v>0.76360221564622044</v>
      </c>
      <c r="R441" s="924"/>
      <c r="S441" s="658"/>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1116"/>
      <c r="B442" s="38" t="s">
        <v>1162</v>
      </c>
      <c r="C442" s="238"/>
      <c r="D442" s="1151"/>
      <c r="E442" s="1168"/>
      <c r="F442" s="1166"/>
      <c r="G442" s="238"/>
      <c r="H442" s="1168"/>
      <c r="I442" s="1166"/>
      <c r="J442" s="335"/>
      <c r="K442" s="1178"/>
      <c r="L442" s="1166"/>
      <c r="M442" s="285"/>
      <c r="N442" s="1120"/>
      <c r="O442" s="335"/>
      <c r="P442" s="1178"/>
      <c r="Q442" s="1166"/>
      <c r="R442" s="335"/>
      <c r="S442" s="1120"/>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1116"/>
      <c r="B443" s="38" t="s">
        <v>1162</v>
      </c>
      <c r="C443" s="1183" t="s">
        <v>1169</v>
      </c>
      <c r="D443" s="336">
        <v>0</v>
      </c>
      <c r="E443" s="281">
        <v>0</v>
      </c>
      <c r="F443" s="281">
        <v>0</v>
      </c>
      <c r="G443" s="1139"/>
      <c r="H443" s="281"/>
      <c r="I443" s="281"/>
      <c r="J443" s="1139">
        <v>4</v>
      </c>
      <c r="K443" s="281">
        <v>540</v>
      </c>
      <c r="L443" s="658">
        <v>373.93000000000006</v>
      </c>
      <c r="M443" s="925">
        <f>IFERROR((K443-E443)/E443,0)</f>
        <v>0</v>
      </c>
      <c r="N443" s="1138">
        <f>L443-F443</f>
        <v>373.93000000000006</v>
      </c>
      <c r="O443" s="1139">
        <v>25</v>
      </c>
      <c r="P443" s="281">
        <v>2890</v>
      </c>
      <c r="Q443" s="658">
        <v>1883</v>
      </c>
      <c r="R443" s="925">
        <f>IF(O443=0,0,J443/O443)</f>
        <v>0.16</v>
      </c>
      <c r="S443" s="658">
        <f>L443-Q443</f>
        <v>-1509.07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1116"/>
      <c r="B444" s="38" t="s">
        <v>1162</v>
      </c>
      <c r="C444" s="681" t="s">
        <v>161</v>
      </c>
      <c r="D444" s="38"/>
      <c r="E444" s="38"/>
      <c r="F444" s="927">
        <f>IFERROR(F443/E443,0)</f>
        <v>0</v>
      </c>
      <c r="G444" s="681"/>
      <c r="H444" s="325"/>
      <c r="I444" s="927"/>
      <c r="J444" s="924"/>
      <c r="K444" s="38"/>
      <c r="L444" s="927">
        <f>IFERROR(L443/K443,0)</f>
        <v>0.69246296296296306</v>
      </c>
      <c r="M444" s="925"/>
      <c r="N444" s="658">
        <f>IFERROR(N443/M443,0)</f>
        <v>0</v>
      </c>
      <c r="O444" s="924"/>
      <c r="P444" s="38"/>
      <c r="Q444" s="927">
        <f>IFERROR(Q443/P443,0)</f>
        <v>0.65155709342560553</v>
      </c>
      <c r="R444" s="924"/>
      <c r="S444" s="658"/>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1116"/>
      <c r="B445" s="38" t="s">
        <v>1162</v>
      </c>
      <c r="C445" s="681"/>
      <c r="D445" s="38"/>
      <c r="E445" s="38"/>
      <c r="F445" s="927"/>
      <c r="G445" s="38"/>
      <c r="H445" s="325"/>
      <c r="I445" s="327"/>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1116"/>
      <c r="B446" s="38" t="s">
        <v>1162</v>
      </c>
      <c r="C446" s="681" t="s">
        <v>1176</v>
      </c>
      <c r="D446" s="38"/>
      <c r="E446" s="38"/>
      <c r="F446" s="927">
        <v>0</v>
      </c>
      <c r="G446" s="38"/>
      <c r="H446" s="325"/>
      <c r="I446" s="327"/>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1116"/>
      <c r="B447" s="38" t="s">
        <v>1162</v>
      </c>
      <c r="C447" s="681"/>
      <c r="D447" s="36"/>
      <c r="E447" s="36"/>
      <c r="F447" s="920"/>
      <c r="G447" s="36"/>
      <c r="H447" s="36"/>
      <c r="I447" s="36"/>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1116" t="s">
        <v>564</v>
      </c>
      <c r="B448" s="38" t="s">
        <v>1162</v>
      </c>
      <c r="C448" s="268" t="s">
        <v>1168</v>
      </c>
      <c r="D448" s="269"/>
      <c r="E448" s="270">
        <f>E437+E440+E443</f>
        <v>0</v>
      </c>
      <c r="F448" s="1140">
        <f>F437+F440+F443</f>
        <v>0</v>
      </c>
      <c r="G448" s="272"/>
      <c r="H448" s="270"/>
      <c r="I448" s="1140"/>
      <c r="J448" s="272"/>
      <c r="K448" s="269">
        <f>K437+K440+K443</f>
        <v>296662.92</v>
      </c>
      <c r="L448" s="1140">
        <f>L437+L440+L443</f>
        <v>225140.02999999997</v>
      </c>
      <c r="M448" s="272"/>
      <c r="N448" s="1140"/>
      <c r="O448" s="272"/>
      <c r="P448" s="269">
        <f>P437+P440+P443</f>
        <v>262588.5</v>
      </c>
      <c r="Q448" s="1140">
        <f>Q437+Q440+Q443</f>
        <v>200189.34999999998</v>
      </c>
      <c r="R448" s="272">
        <f>IF(O448=0,0,(J448-O448)/O448)</f>
        <v>0</v>
      </c>
      <c r="S448" s="1140">
        <f>L448-Q448</f>
        <v>24950.679999999993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1116" t="s">
        <v>192</v>
      </c>
      <c r="B449" s="38" t="s">
        <v>1162</v>
      </c>
      <c r="C449" s="273"/>
      <c r="D449" s="274"/>
      <c r="E449" s="274"/>
      <c r="F449" s="275" t="e">
        <f>F448/E448</f>
        <v>#DIV/0!</v>
      </c>
      <c r="G449" s="273"/>
      <c r="H449" s="274"/>
      <c r="I449" s="275"/>
      <c r="J449" s="273"/>
      <c r="K449" s="945"/>
      <c r="L449" s="326">
        <f>L448/K448</f>
        <v>0.75890856194633283</v>
      </c>
      <c r="M449" s="276"/>
      <c r="N449" s="277"/>
      <c r="O449" s="273"/>
      <c r="P449" s="945"/>
      <c r="Q449" s="326">
        <f>Q448/P448</f>
        <v>0.76236906795232839</v>
      </c>
      <c r="R449" s="276"/>
      <c r="S449" s="326">
        <f>IF(Q448=0,0,S448/Q448)</f>
        <v>0.12463540143369263</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1116" t="s">
        <v>192</v>
      </c>
      <c r="B450" s="38" t="s">
        <v>1162</v>
      </c>
      <c r="C450" s="1141"/>
      <c r="D450" s="38"/>
      <c r="E450" s="38"/>
      <c r="F450" s="658"/>
      <c r="G450" s="681"/>
      <c r="H450" s="38"/>
      <c r="I450" s="658"/>
      <c r="J450" s="681"/>
      <c r="K450" s="38"/>
      <c r="L450" s="1134"/>
      <c r="M450" s="681"/>
      <c r="N450" s="927"/>
      <c r="O450" s="681"/>
      <c r="P450" s="38"/>
      <c r="Q450" s="1134"/>
      <c r="R450" s="681"/>
      <c r="S450" s="1134"/>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1116" t="s">
        <v>565</v>
      </c>
      <c r="B451" s="38" t="s">
        <v>1162</v>
      </c>
      <c r="C451" s="1141" t="s">
        <v>106</v>
      </c>
      <c r="D451" s="38"/>
      <c r="E451" s="38"/>
      <c r="F451" s="658"/>
      <c r="G451" s="681"/>
      <c r="H451" s="38"/>
      <c r="I451" s="658"/>
      <c r="J451" s="681"/>
      <c r="K451" s="38"/>
      <c r="L451" s="1134"/>
      <c r="M451" s="681"/>
      <c r="N451" s="1134"/>
      <c r="O451" s="681"/>
      <c r="P451" s="38"/>
      <c r="Q451" s="1134"/>
      <c r="R451" s="681"/>
      <c r="S451" s="1134"/>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1116" t="s">
        <v>566</v>
      </c>
      <c r="B452" s="38" t="s">
        <v>1162</v>
      </c>
      <c r="C452" s="992" t="s">
        <v>116</v>
      </c>
      <c r="D452" s="38"/>
      <c r="E452" s="38"/>
      <c r="F452" s="244">
        <v>0</v>
      </c>
      <c r="G452" s="681"/>
      <c r="H452" s="38"/>
      <c r="I452" s="244"/>
      <c r="J452" s="681"/>
      <c r="K452" s="38"/>
      <c r="L452" s="658">
        <v>1560</v>
      </c>
      <c r="M452" s="681"/>
      <c r="N452" s="1134"/>
      <c r="O452" s="681"/>
      <c r="P452" s="38"/>
      <c r="Q452" s="658">
        <v>0</v>
      </c>
      <c r="R452" s="681"/>
      <c r="S452" s="658">
        <f t="shared" ref="S452:S481" si="75">L452-Q452</f>
        <v>1560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1116" t="s">
        <v>567</v>
      </c>
      <c r="B453" s="38" t="s">
        <v>1162</v>
      </c>
      <c r="C453" s="299" t="s">
        <v>117</v>
      </c>
      <c r="D453" s="287"/>
      <c r="E453" s="38"/>
      <c r="F453" s="1118">
        <v>0</v>
      </c>
      <c r="G453" s="1143"/>
      <c r="H453" s="38"/>
      <c r="I453" s="1118"/>
      <c r="J453" s="681"/>
      <c r="K453" s="38"/>
      <c r="L453" s="1120">
        <v>15663.04</v>
      </c>
      <c r="M453" s="681"/>
      <c r="N453" s="658"/>
      <c r="O453" s="681"/>
      <c r="P453" s="38"/>
      <c r="Q453" s="1120">
        <v>0</v>
      </c>
      <c r="R453" s="681"/>
      <c r="S453" s="658">
        <f t="shared" si="75"/>
        <v>15663.04</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1116" t="s">
        <v>568</v>
      </c>
      <c r="B454" s="38" t="s">
        <v>1162</v>
      </c>
      <c r="C454" s="992" t="s">
        <v>118</v>
      </c>
      <c r="D454" s="300"/>
      <c r="E454" s="301"/>
      <c r="F454" s="244">
        <v>0</v>
      </c>
      <c r="G454" s="1150"/>
      <c r="H454" s="301"/>
      <c r="I454" s="244"/>
      <c r="J454" s="1113"/>
      <c r="K454" s="301"/>
      <c r="L454" s="658">
        <v>0</v>
      </c>
      <c r="M454" s="1113"/>
      <c r="N454" s="1138"/>
      <c r="O454" s="1113"/>
      <c r="P454" s="301"/>
      <c r="Q454" s="658">
        <v>0</v>
      </c>
      <c r="R454" s="1113"/>
      <c r="S454" s="1138">
        <f t="shared" si="75"/>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1116" t="s">
        <v>569</v>
      </c>
      <c r="B455" s="38" t="s">
        <v>1162</v>
      </c>
      <c r="C455" s="992" t="s">
        <v>119</v>
      </c>
      <c r="D455" s="287"/>
      <c r="E455" s="38"/>
      <c r="F455" s="244">
        <v>0</v>
      </c>
      <c r="G455" s="1143"/>
      <c r="H455" s="38"/>
      <c r="I455" s="244"/>
      <c r="J455" s="681"/>
      <c r="K455" s="38"/>
      <c r="L455" s="658">
        <v>0</v>
      </c>
      <c r="M455" s="681"/>
      <c r="N455" s="658"/>
      <c r="O455" s="681"/>
      <c r="P455" s="38"/>
      <c r="Q455" s="658">
        <v>0</v>
      </c>
      <c r="R455" s="681"/>
      <c r="S455" s="658">
        <f t="shared" si="75"/>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1116" t="s">
        <v>570</v>
      </c>
      <c r="B456" s="38" t="s">
        <v>1162</v>
      </c>
      <c r="C456" s="681" t="s">
        <v>55</v>
      </c>
      <c r="D456" s="287"/>
      <c r="E456" s="38"/>
      <c r="F456" s="244">
        <v>0</v>
      </c>
      <c r="G456" s="1143"/>
      <c r="H456" s="38"/>
      <c r="I456" s="244"/>
      <c r="J456" s="681"/>
      <c r="K456" s="38"/>
      <c r="L456" s="658">
        <v>0</v>
      </c>
      <c r="M456" s="681"/>
      <c r="N456" s="658"/>
      <c r="O456" s="681"/>
      <c r="P456" s="38"/>
      <c r="Q456" s="658">
        <v>0</v>
      </c>
      <c r="R456" s="681"/>
      <c r="S456" s="658">
        <f t="shared" si="75"/>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1116" t="s">
        <v>570</v>
      </c>
      <c r="B457" s="38" t="s">
        <v>1162</v>
      </c>
      <c r="C457" s="681" t="s">
        <v>55</v>
      </c>
      <c r="D457" s="287"/>
      <c r="E457" s="38"/>
      <c r="F457" s="244">
        <v>0</v>
      </c>
      <c r="G457" s="1143"/>
      <c r="H457" s="38"/>
      <c r="I457" s="244"/>
      <c r="J457" s="681"/>
      <c r="K457" s="38"/>
      <c r="L457" s="658">
        <v>0</v>
      </c>
      <c r="M457" s="681"/>
      <c r="N457" s="658"/>
      <c r="O457" s="681"/>
      <c r="P457" s="38"/>
      <c r="Q457" s="658">
        <v>0</v>
      </c>
      <c r="R457" s="681"/>
      <c r="S457" s="658">
        <f t="shared" si="75"/>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1116" t="s">
        <v>570</v>
      </c>
      <c r="B458" s="38" t="s">
        <v>1162</v>
      </c>
      <c r="C458" s="681" t="s">
        <v>55</v>
      </c>
      <c r="D458" s="287"/>
      <c r="E458" s="38"/>
      <c r="F458" s="244">
        <v>0</v>
      </c>
      <c r="G458" s="1143"/>
      <c r="H458" s="38"/>
      <c r="I458" s="244"/>
      <c r="J458" s="681"/>
      <c r="K458" s="38"/>
      <c r="L458" s="658">
        <v>0</v>
      </c>
      <c r="M458" s="681"/>
      <c r="N458" s="658"/>
      <c r="O458" s="681"/>
      <c r="P458" s="38"/>
      <c r="Q458" s="658">
        <v>0</v>
      </c>
      <c r="R458" s="681"/>
      <c r="S458" s="658">
        <f t="shared" si="75"/>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1116" t="s">
        <v>571</v>
      </c>
      <c r="B459" s="38" t="s">
        <v>1162</v>
      </c>
      <c r="C459" s="299" t="s">
        <v>120</v>
      </c>
      <c r="D459" s="287"/>
      <c r="E459" s="38"/>
      <c r="F459" s="1118">
        <v>0</v>
      </c>
      <c r="G459" s="1143"/>
      <c r="H459" s="38"/>
      <c r="I459" s="1118"/>
      <c r="J459" s="681"/>
      <c r="K459" s="38"/>
      <c r="L459" s="1120">
        <v>4902.3599999999997</v>
      </c>
      <c r="M459" s="681"/>
      <c r="N459" s="658"/>
      <c r="O459" s="681"/>
      <c r="P459" s="38"/>
      <c r="Q459" s="1120">
        <v>0</v>
      </c>
      <c r="R459" s="681"/>
      <c r="S459" s="658">
        <f t="shared" si="75"/>
        <v>4902.3599999999997</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1116" t="s">
        <v>572</v>
      </c>
      <c r="B460" s="38" t="s">
        <v>1162</v>
      </c>
      <c r="C460" s="992" t="s">
        <v>121</v>
      </c>
      <c r="D460" s="300"/>
      <c r="E460" s="301"/>
      <c r="F460" s="244">
        <v>0</v>
      </c>
      <c r="G460" s="1150"/>
      <c r="H460" s="301"/>
      <c r="I460" s="244"/>
      <c r="J460" s="1113"/>
      <c r="K460" s="301"/>
      <c r="L460" s="658">
        <v>4971.96</v>
      </c>
      <c r="M460" s="1113"/>
      <c r="N460" s="1138"/>
      <c r="O460" s="1113"/>
      <c r="P460" s="301"/>
      <c r="Q460" s="658">
        <v>0</v>
      </c>
      <c r="R460" s="1113"/>
      <c r="S460" s="1138">
        <f t="shared" si="75"/>
        <v>4971.96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1116" t="s">
        <v>573</v>
      </c>
      <c r="B461" s="38" t="s">
        <v>1162</v>
      </c>
      <c r="C461" s="992" t="s">
        <v>122</v>
      </c>
      <c r="D461" s="287"/>
      <c r="E461" s="38"/>
      <c r="F461" s="244">
        <v>0</v>
      </c>
      <c r="G461" s="1143"/>
      <c r="H461" s="38"/>
      <c r="I461" s="244"/>
      <c r="J461" s="681"/>
      <c r="K461" s="38"/>
      <c r="L461" s="658">
        <v>1046.9000000000001</v>
      </c>
      <c r="M461" s="681"/>
      <c r="N461" s="658"/>
      <c r="O461" s="681"/>
      <c r="P461" s="38"/>
      <c r="Q461" s="658">
        <v>0</v>
      </c>
      <c r="R461" s="681"/>
      <c r="S461" s="658">
        <f t="shared" si="75"/>
        <v>1046.9000000000001</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1116" t="s">
        <v>574</v>
      </c>
      <c r="B462" s="38" t="s">
        <v>1162</v>
      </c>
      <c r="C462" s="992" t="s">
        <v>123</v>
      </c>
      <c r="D462" s="287"/>
      <c r="E462" s="38"/>
      <c r="F462" s="244">
        <v>0</v>
      </c>
      <c r="G462" s="1143"/>
      <c r="H462" s="38"/>
      <c r="I462" s="244"/>
      <c r="J462" s="681"/>
      <c r="K462" s="38"/>
      <c r="L462" s="658">
        <v>665.01</v>
      </c>
      <c r="M462" s="681"/>
      <c r="N462" s="658"/>
      <c r="O462" s="681"/>
      <c r="P462" s="38"/>
      <c r="Q462" s="658">
        <v>0</v>
      </c>
      <c r="R462" s="681"/>
      <c r="S462" s="658">
        <f t="shared" si="75"/>
        <v>665.01</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1116" t="s">
        <v>570</v>
      </c>
      <c r="B463" s="38" t="s">
        <v>1162</v>
      </c>
      <c r="C463" s="681" t="s">
        <v>55</v>
      </c>
      <c r="D463" s="1146"/>
      <c r="E463" s="1151"/>
      <c r="F463" s="244">
        <v>0</v>
      </c>
      <c r="G463" s="290"/>
      <c r="H463" s="1151"/>
      <c r="I463" s="244"/>
      <c r="J463" s="238"/>
      <c r="K463" s="1151"/>
      <c r="L463" s="658">
        <v>0</v>
      </c>
      <c r="M463" s="238"/>
      <c r="N463" s="1120"/>
      <c r="O463" s="238"/>
      <c r="P463" s="1151"/>
      <c r="Q463" s="658">
        <v>0</v>
      </c>
      <c r="R463" s="238"/>
      <c r="S463" s="1120">
        <f t="shared" si="75"/>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1116" t="s">
        <v>575</v>
      </c>
      <c r="B464" s="38" t="s">
        <v>1162</v>
      </c>
      <c r="C464" s="291" t="s">
        <v>124</v>
      </c>
      <c r="D464" s="1147" t="s">
        <v>115</v>
      </c>
      <c r="E464" s="1148">
        <f>IFERROR(F464/F$448,0)</f>
        <v>0</v>
      </c>
      <c r="F464" s="1149">
        <f>+SUM(F452:F463)</f>
        <v>0</v>
      </c>
      <c r="G464" s="295"/>
      <c r="H464" s="1148"/>
      <c r="I464" s="1149"/>
      <c r="J464" s="295" t="s">
        <v>115</v>
      </c>
      <c r="K464" s="1148">
        <f>IFERROR(L464/L$448,0)</f>
        <v>0.12796156241073614</v>
      </c>
      <c r="L464" s="1149">
        <f>+SUM(L452:L463)</f>
        <v>28809.27</v>
      </c>
      <c r="M464" s="296"/>
      <c r="N464" s="1149"/>
      <c r="O464" s="295" t="s">
        <v>115</v>
      </c>
      <c r="P464" s="1148">
        <f>IFERROR(Q464/Q$448,0)</f>
        <v>0</v>
      </c>
      <c r="Q464" s="1149">
        <f>+SUM(Q452:Q463)</f>
        <v>0</v>
      </c>
      <c r="R464" s="297"/>
      <c r="S464" s="1149">
        <f t="shared" si="75"/>
        <v>28809.27</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1116" t="s">
        <v>576</v>
      </c>
      <c r="B465" s="38" t="s">
        <v>1162</v>
      </c>
      <c r="C465" s="1179" t="s">
        <v>125</v>
      </c>
      <c r="D465" s="287"/>
      <c r="E465" s="38"/>
      <c r="F465" s="244">
        <v>0</v>
      </c>
      <c r="G465" s="1143"/>
      <c r="H465" s="38"/>
      <c r="I465" s="244"/>
      <c r="J465" s="681"/>
      <c r="K465" s="38"/>
      <c r="L465" s="658">
        <v>0</v>
      </c>
      <c r="M465" s="681"/>
      <c r="N465" s="658"/>
      <c r="O465" s="681"/>
      <c r="P465" s="38"/>
      <c r="Q465" s="658">
        <v>0</v>
      </c>
      <c r="R465" s="681"/>
      <c r="S465" s="658">
        <f t="shared" si="75"/>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1116" t="s">
        <v>577</v>
      </c>
      <c r="B466" s="38" t="s">
        <v>1162</v>
      </c>
      <c r="C466" s="992" t="s">
        <v>126</v>
      </c>
      <c r="D466" s="287"/>
      <c r="E466" s="38"/>
      <c r="F466" s="244">
        <v>0</v>
      </c>
      <c r="G466" s="1143"/>
      <c r="H466" s="38"/>
      <c r="I466" s="244"/>
      <c r="J466" s="681"/>
      <c r="K466" s="38"/>
      <c r="L466" s="658">
        <v>80.48</v>
      </c>
      <c r="M466" s="681"/>
      <c r="N466" s="658"/>
      <c r="O466" s="681"/>
      <c r="P466" s="38"/>
      <c r="Q466" s="658">
        <v>0</v>
      </c>
      <c r="R466" s="681"/>
      <c r="S466" s="658">
        <f t="shared" si="75"/>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1116" t="s">
        <v>578</v>
      </c>
      <c r="B467" s="38" t="s">
        <v>1162</v>
      </c>
      <c r="C467" s="299" t="s">
        <v>127</v>
      </c>
      <c r="D467" s="1146"/>
      <c r="E467" s="1151"/>
      <c r="F467" s="1118">
        <v>0</v>
      </c>
      <c r="G467" s="290"/>
      <c r="H467" s="1151"/>
      <c r="I467" s="1118"/>
      <c r="J467" s="238"/>
      <c r="K467" s="1151"/>
      <c r="L467" s="1120">
        <v>0</v>
      </c>
      <c r="M467" s="238"/>
      <c r="N467" s="1120"/>
      <c r="O467" s="238"/>
      <c r="P467" s="1151"/>
      <c r="Q467" s="1120">
        <v>0</v>
      </c>
      <c r="R467" s="238"/>
      <c r="S467" s="1120">
        <f t="shared" si="75"/>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1116" t="s">
        <v>579</v>
      </c>
      <c r="B468" s="38" t="s">
        <v>1162</v>
      </c>
      <c r="C468" s="992" t="s">
        <v>128</v>
      </c>
      <c r="D468" s="287"/>
      <c r="E468" s="38"/>
      <c r="F468" s="244">
        <v>0</v>
      </c>
      <c r="G468" s="1143"/>
      <c r="H468" s="38"/>
      <c r="I468" s="244"/>
      <c r="J468" s="681"/>
      <c r="K468" s="38"/>
      <c r="L468" s="658">
        <v>0</v>
      </c>
      <c r="M468" s="681"/>
      <c r="N468" s="658"/>
      <c r="O468" s="681"/>
      <c r="P468" s="38"/>
      <c r="Q468" s="658">
        <v>0</v>
      </c>
      <c r="R468" s="681"/>
      <c r="S468" s="658">
        <f t="shared" si="75"/>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1116" t="s">
        <v>580</v>
      </c>
      <c r="B469" s="38" t="s">
        <v>1162</v>
      </c>
      <c r="C469" s="992" t="s">
        <v>129</v>
      </c>
      <c r="D469" s="287"/>
      <c r="E469" s="38"/>
      <c r="F469" s="244">
        <v>0</v>
      </c>
      <c r="G469" s="1143"/>
      <c r="H469" s="38"/>
      <c r="I469" s="244"/>
      <c r="J469" s="681"/>
      <c r="K469" s="38"/>
      <c r="L469" s="658">
        <v>0</v>
      </c>
      <c r="M469" s="681"/>
      <c r="N469" s="658"/>
      <c r="O469" s="681"/>
      <c r="P469" s="38"/>
      <c r="Q469" s="658">
        <v>0</v>
      </c>
      <c r="R469" s="681"/>
      <c r="S469" s="658">
        <f t="shared" si="75"/>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1116" t="s">
        <v>581</v>
      </c>
      <c r="B470" s="38" t="s">
        <v>1162</v>
      </c>
      <c r="C470" s="992" t="s">
        <v>130</v>
      </c>
      <c r="D470" s="1146"/>
      <c r="E470" s="1151"/>
      <c r="F470" s="1118">
        <v>0</v>
      </c>
      <c r="G470" s="290"/>
      <c r="H470" s="1151"/>
      <c r="I470" s="1118"/>
      <c r="J470" s="238"/>
      <c r="K470" s="1151"/>
      <c r="L470" s="1120">
        <v>0</v>
      </c>
      <c r="M470" s="238"/>
      <c r="N470" s="1120"/>
      <c r="O470" s="238"/>
      <c r="P470" s="1151"/>
      <c r="Q470" s="1120">
        <v>0</v>
      </c>
      <c r="R470" s="238"/>
      <c r="S470" s="1120">
        <f t="shared" si="75"/>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1116" t="s">
        <v>582</v>
      </c>
      <c r="B471" s="38" t="s">
        <v>1162</v>
      </c>
      <c r="C471" s="1179" t="s">
        <v>131</v>
      </c>
      <c r="D471" s="287"/>
      <c r="E471" s="38"/>
      <c r="F471" s="244">
        <v>0</v>
      </c>
      <c r="G471" s="1143"/>
      <c r="H471" s="38"/>
      <c r="I471" s="244"/>
      <c r="J471" s="681"/>
      <c r="K471" s="38"/>
      <c r="L471" s="658">
        <v>0</v>
      </c>
      <c r="M471" s="681"/>
      <c r="N471" s="658"/>
      <c r="O471" s="681"/>
      <c r="P471" s="38"/>
      <c r="Q471" s="658">
        <v>0</v>
      </c>
      <c r="R471" s="681"/>
      <c r="S471" s="658">
        <f t="shared" si="75"/>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1116" t="s">
        <v>583</v>
      </c>
      <c r="B472" s="38" t="s">
        <v>1162</v>
      </c>
      <c r="C472" s="992" t="s">
        <v>132</v>
      </c>
      <c r="D472" s="287"/>
      <c r="E472" s="38"/>
      <c r="F472" s="244">
        <v>0</v>
      </c>
      <c r="G472" s="1143"/>
      <c r="H472" s="38"/>
      <c r="I472" s="244"/>
      <c r="J472" s="681"/>
      <c r="K472" s="38"/>
      <c r="L472" s="658">
        <v>0</v>
      </c>
      <c r="M472" s="681"/>
      <c r="N472" s="658"/>
      <c r="O472" s="681"/>
      <c r="P472" s="38"/>
      <c r="Q472" s="658">
        <v>0</v>
      </c>
      <c r="R472" s="681"/>
      <c r="S472" s="658">
        <f t="shared" si="75"/>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1116" t="s">
        <v>584</v>
      </c>
      <c r="B473" s="38" t="s">
        <v>1162</v>
      </c>
      <c r="C473" s="992" t="s">
        <v>133</v>
      </c>
      <c r="D473" s="287"/>
      <c r="E473" s="38"/>
      <c r="F473" s="244">
        <v>0</v>
      </c>
      <c r="G473" s="1143"/>
      <c r="H473" s="38"/>
      <c r="I473" s="244"/>
      <c r="J473" s="681"/>
      <c r="K473" s="38"/>
      <c r="L473" s="658">
        <v>0</v>
      </c>
      <c r="M473" s="681"/>
      <c r="N473" s="658"/>
      <c r="O473" s="681"/>
      <c r="P473" s="38"/>
      <c r="Q473" s="658">
        <v>0</v>
      </c>
      <c r="R473" s="681"/>
      <c r="S473" s="658">
        <f t="shared" si="75"/>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1116" t="s">
        <v>585</v>
      </c>
      <c r="B474" s="38" t="s">
        <v>1162</v>
      </c>
      <c r="C474" s="992" t="s">
        <v>134</v>
      </c>
      <c r="D474" s="287"/>
      <c r="E474" s="38"/>
      <c r="F474" s="244">
        <v>0</v>
      </c>
      <c r="G474" s="1143"/>
      <c r="H474" s="38"/>
      <c r="I474" s="244"/>
      <c r="J474" s="681"/>
      <c r="K474" s="38"/>
      <c r="L474" s="658">
        <v>0</v>
      </c>
      <c r="M474" s="681"/>
      <c r="N474" s="658"/>
      <c r="O474" s="681"/>
      <c r="P474" s="38"/>
      <c r="Q474" s="658">
        <v>0</v>
      </c>
      <c r="R474" s="681"/>
      <c r="S474" s="658">
        <f t="shared" si="75"/>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1116" t="s">
        <v>586</v>
      </c>
      <c r="B475" s="38" t="s">
        <v>1162</v>
      </c>
      <c r="C475" s="992" t="s">
        <v>135</v>
      </c>
      <c r="D475" s="287"/>
      <c r="E475" s="38"/>
      <c r="F475" s="244">
        <v>0</v>
      </c>
      <c r="G475" s="1143"/>
      <c r="H475" s="38"/>
      <c r="I475" s="244"/>
      <c r="J475" s="681"/>
      <c r="K475" s="38"/>
      <c r="L475" s="658">
        <v>0</v>
      </c>
      <c r="M475" s="681"/>
      <c r="N475" s="658"/>
      <c r="O475" s="681"/>
      <c r="P475" s="38"/>
      <c r="Q475" s="658">
        <v>0</v>
      </c>
      <c r="R475" s="681"/>
      <c r="S475" s="658">
        <f t="shared" si="75"/>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1116" t="s">
        <v>587</v>
      </c>
      <c r="B476" s="38" t="s">
        <v>1162</v>
      </c>
      <c r="C476" s="992" t="s">
        <v>136</v>
      </c>
      <c r="D476" s="287"/>
      <c r="E476" s="38"/>
      <c r="F476" s="244">
        <v>0</v>
      </c>
      <c r="G476" s="1143"/>
      <c r="H476" s="38"/>
      <c r="I476" s="244"/>
      <c r="J476" s="681"/>
      <c r="K476" s="38"/>
      <c r="L476" s="658">
        <v>0</v>
      </c>
      <c r="M476" s="681"/>
      <c r="N476" s="658"/>
      <c r="O476" s="681"/>
      <c r="P476" s="38"/>
      <c r="Q476" s="658">
        <v>0</v>
      </c>
      <c r="R476" s="681"/>
      <c r="S476" s="658">
        <f t="shared" si="75"/>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1116" t="s">
        <v>588</v>
      </c>
      <c r="B477" s="38" t="s">
        <v>1162</v>
      </c>
      <c r="C477" s="992" t="s">
        <v>137</v>
      </c>
      <c r="D477" s="287"/>
      <c r="E477" s="38"/>
      <c r="F477" s="244">
        <v>0</v>
      </c>
      <c r="G477" s="1143"/>
      <c r="H477" s="38"/>
      <c r="I477" s="244"/>
      <c r="J477" s="681"/>
      <c r="K477" s="38"/>
      <c r="L477" s="658">
        <v>0</v>
      </c>
      <c r="M477" s="681"/>
      <c r="N477" s="658"/>
      <c r="O477" s="681"/>
      <c r="P477" s="38"/>
      <c r="Q477" s="658">
        <v>0</v>
      </c>
      <c r="R477" s="681"/>
      <c r="S477" s="658">
        <f t="shared" si="75"/>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1116" t="s">
        <v>589</v>
      </c>
      <c r="B478" s="38" t="s">
        <v>1162</v>
      </c>
      <c r="C478" s="992" t="s">
        <v>138</v>
      </c>
      <c r="D478" s="287"/>
      <c r="E478" s="38"/>
      <c r="F478" s="244">
        <v>0</v>
      </c>
      <c r="G478" s="1143"/>
      <c r="H478" s="38"/>
      <c r="I478" s="244"/>
      <c r="J478" s="681"/>
      <c r="K478" s="38"/>
      <c r="L478" s="658">
        <v>0</v>
      </c>
      <c r="M478" s="681"/>
      <c r="N478" s="658"/>
      <c r="O478" s="681"/>
      <c r="P478" s="38"/>
      <c r="Q478" s="658">
        <v>0</v>
      </c>
      <c r="R478" s="681"/>
      <c r="S478" s="658">
        <f t="shared" si="75"/>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1116" t="s">
        <v>570</v>
      </c>
      <c r="B479" s="38" t="s">
        <v>1162</v>
      </c>
      <c r="C479" s="992" t="s">
        <v>55</v>
      </c>
      <c r="D479" s="287"/>
      <c r="E479" s="38"/>
      <c r="F479" s="244">
        <v>0</v>
      </c>
      <c r="G479" s="1143"/>
      <c r="H479" s="38"/>
      <c r="I479" s="244"/>
      <c r="J479" s="681"/>
      <c r="K479" s="38"/>
      <c r="L479" s="658">
        <v>0</v>
      </c>
      <c r="M479" s="681"/>
      <c r="N479" s="658"/>
      <c r="O479" s="681"/>
      <c r="P479" s="38"/>
      <c r="Q479" s="658">
        <v>0</v>
      </c>
      <c r="R479" s="681"/>
      <c r="S479" s="658">
        <f t="shared" si="75"/>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1116" t="s">
        <v>570</v>
      </c>
      <c r="B480" s="38" t="s">
        <v>1162</v>
      </c>
      <c r="C480" s="992" t="s">
        <v>55</v>
      </c>
      <c r="D480" s="287"/>
      <c r="E480" s="38"/>
      <c r="F480" s="244">
        <v>0</v>
      </c>
      <c r="G480" s="1143"/>
      <c r="H480" s="38"/>
      <c r="I480" s="244"/>
      <c r="J480" s="681"/>
      <c r="K480" s="38"/>
      <c r="L480" s="658">
        <v>0</v>
      </c>
      <c r="M480" s="681"/>
      <c r="N480" s="658"/>
      <c r="O480" s="681"/>
      <c r="P480" s="38"/>
      <c r="Q480" s="658">
        <v>0</v>
      </c>
      <c r="R480" s="681"/>
      <c r="S480" s="658">
        <f t="shared" si="75"/>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1116" t="s">
        <v>570</v>
      </c>
      <c r="B481" s="38" t="s">
        <v>1162</v>
      </c>
      <c r="C481" s="992" t="s">
        <v>55</v>
      </c>
      <c r="D481" s="1146"/>
      <c r="E481" s="1151"/>
      <c r="F481" s="244">
        <v>0</v>
      </c>
      <c r="G481" s="290"/>
      <c r="H481" s="1151"/>
      <c r="I481" s="244"/>
      <c r="J481" s="238"/>
      <c r="K481" s="1151"/>
      <c r="L481" s="658">
        <v>0</v>
      </c>
      <c r="M481" s="238"/>
      <c r="N481" s="1120"/>
      <c r="O481" s="238"/>
      <c r="P481" s="1151"/>
      <c r="Q481" s="658">
        <v>0</v>
      </c>
      <c r="R481" s="238"/>
      <c r="S481" s="1120">
        <f t="shared" si="75"/>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1116"/>
      <c r="B482" s="38"/>
      <c r="C482" s="291" t="s">
        <v>139</v>
      </c>
      <c r="D482" s="1147" t="s">
        <v>115</v>
      </c>
      <c r="E482" s="1148">
        <f>IFERROR(F482/F$448,0)</f>
        <v>0</v>
      </c>
      <c r="F482" s="1149">
        <f>+SUM(F465:F481)</f>
        <v>0</v>
      </c>
      <c r="G482" s="295"/>
      <c r="H482" s="1148"/>
      <c r="I482" s="1149"/>
      <c r="J482" s="295" t="s">
        <v>115</v>
      </c>
      <c r="K482" s="1148">
        <f>IFERROR(L482/L$448,0)</f>
        <v>3.5746641767792254E-4</v>
      </c>
      <c r="L482" s="1149">
        <f>+SUM(L465:L481)</f>
        <v>80.48</v>
      </c>
      <c r="M482" s="296"/>
      <c r="N482" s="1149"/>
      <c r="O482" s="295" t="s">
        <v>115</v>
      </c>
      <c r="P482" s="1148">
        <f>IFERROR(Q482/Q$448,0)</f>
        <v>0</v>
      </c>
      <c r="Q482" s="1149">
        <f>+SUM(Q465:Q481)</f>
        <v>0</v>
      </c>
      <c r="R482" s="297"/>
      <c r="S482" s="1149">
        <f>+SUM(S465:S481)</f>
        <v>80.48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681"/>
      <c r="D483" s="38"/>
      <c r="E483" s="38"/>
      <c r="F483" s="1134"/>
      <c r="G483" s="681"/>
      <c r="H483" s="38"/>
      <c r="I483" s="1134"/>
      <c r="J483" s="681"/>
      <c r="K483" s="38"/>
      <c r="L483" s="658"/>
      <c r="M483" s="970"/>
      <c r="N483" s="1128"/>
      <c r="O483" s="681"/>
      <c r="P483" s="38"/>
      <c r="Q483" s="658"/>
      <c r="R483" s="681"/>
      <c r="S483" s="1129"/>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1116"/>
      <c r="B484" s="38"/>
      <c r="C484" s="291" t="s">
        <v>140</v>
      </c>
      <c r="D484" s="1147" t="s">
        <v>115</v>
      </c>
      <c r="E484" s="1148">
        <f>IFERROR(F484/F$448,0)</f>
        <v>0</v>
      </c>
      <c r="F484" s="1149">
        <f>F464+F482</f>
        <v>0</v>
      </c>
      <c r="G484" s="295"/>
      <c r="H484" s="1148"/>
      <c r="I484" s="1149"/>
      <c r="J484" s="295" t="s">
        <v>115</v>
      </c>
      <c r="K484" s="1148">
        <f>IFERROR(L484/L$448,0)</f>
        <v>0.12831902882841406</v>
      </c>
      <c r="L484" s="1149">
        <f>L464+L482</f>
        <v>28889.75</v>
      </c>
      <c r="M484" s="296"/>
      <c r="N484" s="1149"/>
      <c r="O484" s="295" t="s">
        <v>115</v>
      </c>
      <c r="P484" s="1148">
        <f>IFERROR(Q484/Q$448,0)</f>
        <v>0</v>
      </c>
      <c r="Q484" s="1149">
        <f>Q464+Q482</f>
        <v>0</v>
      </c>
      <c r="R484" s="297"/>
      <c r="S484" s="1149">
        <f>L484-Q484</f>
        <v>28889.75</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681"/>
      <c r="D485" s="38"/>
      <c r="E485" s="38"/>
      <c r="F485" s="658"/>
      <c r="G485" s="681"/>
      <c r="H485" s="38"/>
      <c r="I485" s="658"/>
      <c r="J485" s="681"/>
      <c r="K485" s="38"/>
      <c r="L485" s="658"/>
      <c r="M485" s="970"/>
      <c r="N485" s="1128"/>
      <c r="O485" s="681"/>
      <c r="P485" s="38"/>
      <c r="Q485" s="658"/>
      <c r="R485" s="681"/>
      <c r="S485" s="1129"/>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1116"/>
      <c r="B486" s="38"/>
      <c r="C486" s="953" t="s">
        <v>147</v>
      </c>
      <c r="D486" s="954"/>
      <c r="E486" s="955"/>
      <c r="F486" s="956" t="e">
        <f>#REF!-F484</f>
        <v>#REF!</v>
      </c>
      <c r="G486" s="957"/>
      <c r="H486" s="955"/>
      <c r="I486" s="956"/>
      <c r="J486" s="957"/>
      <c r="K486" s="955"/>
      <c r="L486" s="956">
        <f>L448-L484</f>
        <v>196250.27999999997</v>
      </c>
      <c r="M486" s="958"/>
      <c r="N486" s="956"/>
      <c r="O486" s="957"/>
      <c r="P486" s="955"/>
      <c r="Q486" s="956">
        <f>Q448-Q484</f>
        <v>200189.34999999998</v>
      </c>
      <c r="R486" s="959"/>
      <c r="S486" s="956">
        <f>L486-Q486</f>
        <v>-3939.070000000007</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1184"/>
      <c r="F489" s="709"/>
      <c r="L489" s="709"/>
      <c r="V489" s="1185" t="str">
        <f>C1</f>
        <v>Ste-Marie Auto</v>
      </c>
      <c r="W489" s="913"/>
      <c r="X489" s="913"/>
      <c r="Y489" s="913"/>
      <c r="Z489" s="913"/>
      <c r="AA489" s="913"/>
      <c r="AB489" s="913"/>
      <c r="AC489" s="913"/>
      <c r="AD489" s="913"/>
      <c r="AE489" s="910" t="s">
        <v>194</v>
      </c>
      <c r="AF489" s="910"/>
      <c r="AG489" s="913"/>
      <c r="AH489" s="913"/>
      <c r="AI489" s="913"/>
      <c r="AJ489" s="1186"/>
      <c r="AK489" s="911"/>
      <c r="AL489" s="913"/>
      <c r="AM489" s="913"/>
      <c r="AN489" s="913"/>
      <c r="AO489" s="1186" t="str">
        <f>$S$1</f>
        <v>Réalisé  Q2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1184"/>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1116" t="str">
        <f>+U491&amp;V491</f>
        <v/>
      </c>
      <c r="B491" s="3"/>
      <c r="C491" s="1184"/>
      <c r="V491" s="377"/>
      <c r="W491" s="1187"/>
      <c r="X491" s="1256" t="s">
        <v>592</v>
      </c>
      <c r="Y491" s="1257"/>
      <c r="Z491" s="1255"/>
      <c r="AA491" s="1251" t="s">
        <v>3379</v>
      </c>
      <c r="AB491" s="1257"/>
      <c r="AC491" s="1255"/>
      <c r="AD491" s="1251" t="s">
        <v>340</v>
      </c>
      <c r="AE491" s="1257"/>
      <c r="AF491" s="1255"/>
      <c r="AG491" s="1251" t="s">
        <v>668</v>
      </c>
      <c r="AH491" s="1257"/>
      <c r="AI491" s="1255"/>
      <c r="AJ491" s="1251" t="s">
        <v>593</v>
      </c>
      <c r="AK491" s="1257"/>
      <c r="AL491" s="1257"/>
      <c r="AM491" s="1251" t="s">
        <v>594</v>
      </c>
      <c r="AN491" s="1257"/>
      <c r="AO491" s="1258"/>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1116" t="str">
        <f t="shared" ref="A492:A526" si="76">+U492&amp;V492</f>
        <v/>
      </c>
      <c r="B492" s="3"/>
      <c r="C492" s="1184"/>
      <c r="V492" s="238"/>
      <c r="W492" s="1176" t="s">
        <v>595</v>
      </c>
      <c r="X492" s="1176" t="s">
        <v>195</v>
      </c>
      <c r="Y492" s="1176" t="s">
        <v>196</v>
      </c>
      <c r="Z492" s="1188" t="s">
        <v>197</v>
      </c>
      <c r="AA492" s="1176" t="s">
        <v>195</v>
      </c>
      <c r="AB492" s="1176" t="s">
        <v>196</v>
      </c>
      <c r="AC492" s="1188" t="s">
        <v>197</v>
      </c>
      <c r="AD492" s="1189" t="s">
        <v>195</v>
      </c>
      <c r="AE492" s="1176" t="s">
        <v>196</v>
      </c>
      <c r="AF492" s="1176" t="s">
        <v>197</v>
      </c>
      <c r="AG492" s="1189" t="s">
        <v>596</v>
      </c>
      <c r="AH492" s="1176" t="s">
        <v>597</v>
      </c>
      <c r="AI492" s="1176" t="s">
        <v>598</v>
      </c>
      <c r="AJ492" s="1189" t="s">
        <v>195</v>
      </c>
      <c r="AK492" s="1176" t="s">
        <v>196</v>
      </c>
      <c r="AL492" s="1176" t="s">
        <v>197</v>
      </c>
      <c r="AM492" s="1190" t="s">
        <v>596</v>
      </c>
      <c r="AN492" s="1176" t="s">
        <v>597</v>
      </c>
      <c r="AO492" s="1158"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1116" t="s">
        <v>92</v>
      </c>
      <c r="B493" s="3"/>
      <c r="C493" s="1184" t="s">
        <v>590</v>
      </c>
      <c r="V493" s="299" t="s">
        <v>92</v>
      </c>
      <c r="W493" s="1191"/>
      <c r="X493" s="1191"/>
      <c r="Y493" s="1191"/>
      <c r="Z493" s="1192" t="e">
        <f>F5+F93+E268+E326+D390+#REF!</f>
        <v>#REF!</v>
      </c>
      <c r="AA493" s="1191"/>
      <c r="AB493" s="1191"/>
      <c r="AC493" s="1192"/>
      <c r="AD493" s="1193"/>
      <c r="AE493" s="1194"/>
      <c r="AF493" s="1192">
        <f>L5+L93+L173+K268+K326+J390+K448</f>
        <v>76228552.180000007</v>
      </c>
      <c r="AG493" s="1193"/>
      <c r="AH493" s="1194"/>
      <c r="AI493" s="1195"/>
      <c r="AJ493" s="1193"/>
      <c r="AK493" s="1194"/>
      <c r="AL493" s="1192">
        <f>Q5+Q93+Q173+P268+P326+O390+P448</f>
        <v>89182965.5</v>
      </c>
      <c r="AM493" s="1196"/>
      <c r="AN493" s="1194"/>
      <c r="AO493" s="1197"/>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1116" t="s">
        <v>198</v>
      </c>
      <c r="B494" s="3"/>
      <c r="C494" s="1184" t="s">
        <v>590</v>
      </c>
      <c r="V494" s="1198" t="s">
        <v>198</v>
      </c>
      <c r="W494" s="390"/>
      <c r="X494" s="754" t="e">
        <f>Z494/Z493</f>
        <v>#REF!</v>
      </c>
      <c r="Y494" s="390"/>
      <c r="Z494" s="391" t="e">
        <f>F27+F109+F268+F326+F390+#REF!</f>
        <v>#REF!</v>
      </c>
      <c r="AA494" s="390"/>
      <c r="AB494" s="390"/>
      <c r="AC494" s="391"/>
      <c r="AD494" s="754">
        <f>AF494/AF493</f>
        <v>3.3870141910912525E-2</v>
      </c>
      <c r="AE494" s="393"/>
      <c r="AF494" s="391">
        <f>L27+L109+L182+L268+L326+L390+L448</f>
        <v>2581871.8800000008</v>
      </c>
      <c r="AG494" s="392"/>
      <c r="AH494" s="393" t="e">
        <f>AF494-Z494</f>
        <v>#REF!</v>
      </c>
      <c r="AI494" s="394" t="e">
        <f>AH494/Z494</f>
        <v>#REF!</v>
      </c>
      <c r="AJ494" s="754">
        <f>AL494/AL493</f>
        <v>3.5501714506230415E-2</v>
      </c>
      <c r="AK494" s="393"/>
      <c r="AL494" s="391">
        <f>Q27+Q109+Q182+Q268+Q326+Q390+Q448</f>
        <v>3166148.1799999964</v>
      </c>
      <c r="AM494" s="395"/>
      <c r="AN494" s="393">
        <f>AF494-AL494</f>
        <v>-584276.29999999562</v>
      </c>
      <c r="AO494" s="396">
        <f>IF(AL494=0,0,AN494/AL494)</f>
        <v>-0.18453852024070341</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1116" t="str">
        <f t="shared" si="76"/>
        <v>DÉPENSES</v>
      </c>
      <c r="B495" s="3"/>
      <c r="C495" s="1184"/>
      <c r="V495" s="1199" t="s">
        <v>199</v>
      </c>
      <c r="W495" s="398"/>
      <c r="X495" s="398"/>
      <c r="Y495" s="398"/>
      <c r="Z495" s="399"/>
      <c r="AA495" s="398"/>
      <c r="AB495" s="398"/>
      <c r="AC495" s="399"/>
      <c r="AD495" s="704"/>
      <c r="AE495" s="401"/>
      <c r="AF495" s="399"/>
      <c r="AG495" s="704"/>
      <c r="AH495" s="401"/>
      <c r="AI495" s="402"/>
      <c r="AJ495" s="704"/>
      <c r="AK495" s="401"/>
      <c r="AL495" s="399"/>
      <c r="AM495" s="403"/>
      <c r="AN495" s="401"/>
      <c r="AO495" s="1200"/>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1116" t="str">
        <f t="shared" si="76"/>
        <v>Comm. vendeurs</v>
      </c>
      <c r="B496" s="3"/>
      <c r="C496" s="1184"/>
      <c r="V496" s="992" t="s">
        <v>107</v>
      </c>
      <c r="W496" s="405" t="s">
        <v>599</v>
      </c>
      <c r="X496" s="398"/>
      <c r="Y496" s="406" t="e">
        <f>Z496/(D$13+D$97)</f>
        <v>#DIV/0!</v>
      </c>
      <c r="Z496" s="399">
        <v>0</v>
      </c>
      <c r="AA496" s="398"/>
      <c r="AB496" s="406">
        <f>IF(AC496=0,0,AC496/(G$13+G$97))</f>
        <v>0</v>
      </c>
      <c r="AC496" s="399">
        <v>0</v>
      </c>
      <c r="AD496" s="1201"/>
      <c r="AE496" s="401">
        <f>IF(AF496=0,0,AF496/(J$13+J$97))</f>
        <v>1611.658253275109</v>
      </c>
      <c r="AF496" s="399">
        <v>369069.74</v>
      </c>
      <c r="AG496" s="704" t="e">
        <f t="shared" ref="AG496:AH511" si="77">AE496-Y496</f>
        <v>#DIV/0!</v>
      </c>
      <c r="AH496" s="401">
        <f t="shared" si="77"/>
        <v>369069.74</v>
      </c>
      <c r="AI496" s="402">
        <f t="shared" ref="AI496:AI505" si="78">IF(Z496=0,0,AH496/Z496)</f>
        <v>0</v>
      </c>
      <c r="AJ496" s="1201"/>
      <c r="AK496" s="401">
        <f>AL496/(O$13+O$97)</f>
        <v>823.95882113821142</v>
      </c>
      <c r="AL496" s="399">
        <f t="shared" ref="AL496:AL504" si="79">+SUMIF($C:$C,$V496,Q:Q)</f>
        <v>202693.87</v>
      </c>
      <c r="AM496" s="403" t="e">
        <f t="shared" ref="AM496:AM501" si="80">AE496-Y496</f>
        <v>#DIV/0!</v>
      </c>
      <c r="AN496" s="401">
        <f t="shared" ref="AN496:AN501" si="81">AF496-AL496</f>
        <v>166375.87</v>
      </c>
      <c r="AO496" s="1012">
        <f t="shared" ref="AO496:AO518" si="82">IF(AL496=0,0,AN496/AL496)</f>
        <v>0.82082339243905111</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1116" t="str">
        <f t="shared" si="76"/>
        <v>Comm. F&amp;I</v>
      </c>
      <c r="B497" s="3"/>
      <c r="C497" s="1184"/>
      <c r="V497" s="299" t="s">
        <v>108</v>
      </c>
      <c r="W497" s="1202" t="s">
        <v>600</v>
      </c>
      <c r="X497" s="1191"/>
      <c r="Y497" s="1203" t="e">
        <f t="shared" ref="Y497:Y502" si="83">Z497/(D$13+D$97)</f>
        <v>#DIV/0!</v>
      </c>
      <c r="Z497" s="1192">
        <v>0</v>
      </c>
      <c r="AA497" s="1191"/>
      <c r="AB497" s="1203">
        <f t="shared" ref="AB497:AB502" si="84">IF(AC497=0,0,AC497/(G$13+G$97))</f>
        <v>0</v>
      </c>
      <c r="AC497" s="1192">
        <v>0</v>
      </c>
      <c r="AD497" s="1204"/>
      <c r="AE497" s="1194">
        <f t="shared" ref="AE497:AE502" si="85">IF(AF497=0,0,AF497/(J$13+J$97))</f>
        <v>300.69519650655025</v>
      </c>
      <c r="AF497" s="1192">
        <v>68859.200000000012</v>
      </c>
      <c r="AG497" s="1193" t="e">
        <f t="shared" si="77"/>
        <v>#DIV/0!</v>
      </c>
      <c r="AH497" s="1194">
        <f t="shared" si="77"/>
        <v>68859.200000000012</v>
      </c>
      <c r="AI497" s="1205">
        <f t="shared" si="78"/>
        <v>0</v>
      </c>
      <c r="AJ497" s="1204"/>
      <c r="AK497" s="1194">
        <f t="shared" ref="AK497:AK502" si="86">AL497/(O$13+O$97)</f>
        <v>153.37044715447152</v>
      </c>
      <c r="AL497" s="1192">
        <f t="shared" si="79"/>
        <v>37729.129999999997</v>
      </c>
      <c r="AM497" s="991" t="e">
        <f t="shared" si="80"/>
        <v>#DIV/0!</v>
      </c>
      <c r="AN497" s="1194">
        <f t="shared" si="81"/>
        <v>31130.070000000014</v>
      </c>
      <c r="AO497" s="1197">
        <f t="shared" si="82"/>
        <v>0.82509376707069626</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1116" t="str">
        <f t="shared" si="76"/>
        <v>Frais de livraison</v>
      </c>
      <c r="B498" s="3"/>
      <c r="C498" s="1184"/>
      <c r="V498" s="992" t="s">
        <v>109</v>
      </c>
      <c r="W498" s="405" t="s">
        <v>601</v>
      </c>
      <c r="X498" s="398"/>
      <c r="Y498" s="406" t="e">
        <f t="shared" si="83"/>
        <v>#DIV/0!</v>
      </c>
      <c r="Z498" s="399">
        <v>0</v>
      </c>
      <c r="AA498" s="398"/>
      <c r="AB498" s="406">
        <f t="shared" si="84"/>
        <v>0</v>
      </c>
      <c r="AC498" s="399">
        <v>0</v>
      </c>
      <c r="AD498" s="1201"/>
      <c r="AE498" s="401">
        <f t="shared" si="85"/>
        <v>198.4697379912663</v>
      </c>
      <c r="AF498" s="399">
        <v>45449.569999999985</v>
      </c>
      <c r="AG498" s="704" t="e">
        <f t="shared" si="77"/>
        <v>#DIV/0!</v>
      </c>
      <c r="AH498" s="401">
        <f t="shared" si="77"/>
        <v>45449.569999999985</v>
      </c>
      <c r="AI498" s="402">
        <f t="shared" si="78"/>
        <v>0</v>
      </c>
      <c r="AJ498" s="1201"/>
      <c r="AK498" s="401">
        <f t="shared" si="86"/>
        <v>81.810894308943105</v>
      </c>
      <c r="AL498" s="399">
        <f t="shared" si="79"/>
        <v>20125.480000000003</v>
      </c>
      <c r="AM498" s="403" t="e">
        <f t="shared" si="80"/>
        <v>#DIV/0!</v>
      </c>
      <c r="AN498" s="401">
        <f t="shared" si="81"/>
        <v>25324.089999999982</v>
      </c>
      <c r="AO498" s="1012">
        <f t="shared" si="82"/>
        <v>1.2583098639138037</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1116" t="str">
        <f t="shared" si="76"/>
        <v>Service gratuit 1</v>
      </c>
      <c r="B499" s="3"/>
      <c r="C499" s="1184"/>
      <c r="V499" s="992" t="s">
        <v>110</v>
      </c>
      <c r="W499" s="405" t="s">
        <v>602</v>
      </c>
      <c r="X499" s="398"/>
      <c r="Y499" s="406" t="e">
        <f t="shared" si="83"/>
        <v>#DIV/0!</v>
      </c>
      <c r="Z499" s="399">
        <v>0</v>
      </c>
      <c r="AA499" s="398"/>
      <c r="AB499" s="406">
        <f t="shared" si="84"/>
        <v>0</v>
      </c>
      <c r="AC499" s="399">
        <v>0</v>
      </c>
      <c r="AD499" s="1201"/>
      <c r="AE499" s="401">
        <f t="shared" si="85"/>
        <v>64.547598253275112</v>
      </c>
      <c r="AF499" s="399">
        <v>14781.400000000001</v>
      </c>
      <c r="AG499" s="704" t="e">
        <f t="shared" si="77"/>
        <v>#DIV/0!</v>
      </c>
      <c r="AH499" s="401">
        <f t="shared" si="77"/>
        <v>14781.400000000001</v>
      </c>
      <c r="AI499" s="402">
        <f t="shared" si="78"/>
        <v>0</v>
      </c>
      <c r="AJ499" s="1201"/>
      <c r="AK499" s="401">
        <f t="shared" si="86"/>
        <v>11.33959349593496</v>
      </c>
      <c r="AL499" s="399">
        <f t="shared" si="79"/>
        <v>2789.54</v>
      </c>
      <c r="AM499" s="403" t="e">
        <f t="shared" si="80"/>
        <v>#DIV/0!</v>
      </c>
      <c r="AN499" s="401">
        <f t="shared" si="81"/>
        <v>11991.86</v>
      </c>
      <c r="AO499" s="1012">
        <f t="shared" si="82"/>
        <v>4.2988664797780283</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1116" t="str">
        <f t="shared" si="76"/>
        <v>Entretien stock</v>
      </c>
      <c r="B500" s="3"/>
      <c r="C500" s="1184"/>
      <c r="V500" s="299" t="s">
        <v>111</v>
      </c>
      <c r="W500" s="1202"/>
      <c r="X500" s="1191"/>
      <c r="Y500" s="1203" t="e">
        <f t="shared" si="83"/>
        <v>#DIV/0!</v>
      </c>
      <c r="Z500" s="1192">
        <v>0</v>
      </c>
      <c r="AA500" s="1191"/>
      <c r="AB500" s="1203">
        <f t="shared" si="84"/>
        <v>0</v>
      </c>
      <c r="AC500" s="1192">
        <v>0</v>
      </c>
      <c r="AD500" s="1204"/>
      <c r="AE500" s="1194">
        <f t="shared" si="85"/>
        <v>10.063842794759825</v>
      </c>
      <c r="AF500" s="1192">
        <v>2304.62</v>
      </c>
      <c r="AG500" s="1193" t="e">
        <f t="shared" si="77"/>
        <v>#DIV/0!</v>
      </c>
      <c r="AH500" s="1194">
        <f t="shared" si="77"/>
        <v>2304.62</v>
      </c>
      <c r="AI500" s="1205">
        <f t="shared" si="78"/>
        <v>0</v>
      </c>
      <c r="AJ500" s="1204"/>
      <c r="AK500" s="1194">
        <f t="shared" si="86"/>
        <v>0</v>
      </c>
      <c r="AL500" s="1192">
        <f t="shared" si="79"/>
        <v>0</v>
      </c>
      <c r="AM500" s="991" t="e">
        <f t="shared" si="80"/>
        <v>#DIV/0!</v>
      </c>
      <c r="AN500" s="1194">
        <f t="shared" si="81"/>
        <v>2304.62</v>
      </c>
      <c r="AO500" s="1197">
        <f t="shared" si="82"/>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1116" t="str">
        <f t="shared" si="76"/>
        <v>Publicité 1</v>
      </c>
      <c r="B501" s="3"/>
      <c r="C501" s="1184"/>
      <c r="V501" s="992" t="s">
        <v>112</v>
      </c>
      <c r="W501" s="405" t="s">
        <v>603</v>
      </c>
      <c r="X501" s="402"/>
      <c r="Y501" s="406" t="e">
        <f t="shared" si="83"/>
        <v>#DIV/0!</v>
      </c>
      <c r="Z501" s="399">
        <v>0</v>
      </c>
      <c r="AA501" s="402"/>
      <c r="AB501" s="406">
        <f t="shared" si="84"/>
        <v>0</v>
      </c>
      <c r="AC501" s="399">
        <v>0</v>
      </c>
      <c r="AD501" s="1201"/>
      <c r="AE501" s="401">
        <f t="shared" si="85"/>
        <v>-179.24917030567681</v>
      </c>
      <c r="AF501" s="399">
        <v>-41048.05999999999</v>
      </c>
      <c r="AG501" s="704" t="e">
        <f t="shared" si="77"/>
        <v>#DIV/0!</v>
      </c>
      <c r="AH501" s="401">
        <f t="shared" si="77"/>
        <v>-41048.05999999999</v>
      </c>
      <c r="AI501" s="402">
        <f t="shared" si="78"/>
        <v>0</v>
      </c>
      <c r="AJ501" s="1201"/>
      <c r="AK501" s="401">
        <f t="shared" si="86"/>
        <v>-362.16662601626007</v>
      </c>
      <c r="AL501" s="399">
        <f t="shared" si="79"/>
        <v>-89092.989999999976</v>
      </c>
      <c r="AM501" s="403" t="e">
        <f t="shared" si="80"/>
        <v>#DIV/0!</v>
      </c>
      <c r="AN501" s="401">
        <f t="shared" si="81"/>
        <v>48044.929999999986</v>
      </c>
      <c r="AO501" s="1012">
        <f t="shared" si="82"/>
        <v>-0.53926723078886452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1116" t="str">
        <f t="shared" si="76"/>
        <v>Intérêt de gros</v>
      </c>
      <c r="B502" s="3"/>
      <c r="C502" s="1184"/>
      <c r="V502" s="992" t="s">
        <v>113</v>
      </c>
      <c r="W502" s="405" t="s">
        <v>604</v>
      </c>
      <c r="X502" s="398"/>
      <c r="Y502" s="406" t="e">
        <f t="shared" si="83"/>
        <v>#DIV/0!</v>
      </c>
      <c r="Z502" s="399">
        <v>0</v>
      </c>
      <c r="AA502" s="398"/>
      <c r="AB502" s="406">
        <f t="shared" si="84"/>
        <v>0</v>
      </c>
      <c r="AC502" s="399">
        <v>0</v>
      </c>
      <c r="AD502" s="1201"/>
      <c r="AE502" s="401">
        <f t="shared" si="85"/>
        <v>1162.5076419213974</v>
      </c>
      <c r="AF502" s="399">
        <v>266214.25</v>
      </c>
      <c r="AG502" s="704" t="e">
        <f t="shared" si="77"/>
        <v>#DIV/0!</v>
      </c>
      <c r="AH502" s="401">
        <f t="shared" si="77"/>
        <v>266214.25</v>
      </c>
      <c r="AI502" s="402">
        <f t="shared" si="78"/>
        <v>0</v>
      </c>
      <c r="AJ502" s="1201"/>
      <c r="AK502" s="401">
        <f t="shared" si="86"/>
        <v>2309.3768699186994</v>
      </c>
      <c r="AL502" s="399">
        <f t="shared" si="79"/>
        <v>568106.71000000008</v>
      </c>
      <c r="AM502" s="403" t="e">
        <f>AE502-Y502</f>
        <v>#DIV/0!</v>
      </c>
      <c r="AN502" s="401">
        <f>AF502-AL502</f>
        <v>-301892.46000000008</v>
      </c>
      <c r="AO502" s="1012">
        <f t="shared" si="82"/>
        <v>-0.53140097570753919</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1116" t="str">
        <f t="shared" si="76"/>
        <v>Crédit Intérêts Floor Plan</v>
      </c>
      <c r="B503" s="3"/>
      <c r="C503" s="1184"/>
      <c r="V503" s="992" t="s">
        <v>3134</v>
      </c>
      <c r="W503" s="405"/>
      <c r="X503" s="402"/>
      <c r="Y503" s="406" t="e">
        <f>Z503/(D$13+D$97)</f>
        <v>#DIV/0!</v>
      </c>
      <c r="Z503" s="399">
        <v>0</v>
      </c>
      <c r="AA503" s="398"/>
      <c r="AB503" s="406">
        <f>IF(AC503=0,0,AC503/(G$13+G$97))</f>
        <v>0</v>
      </c>
      <c r="AC503" s="399">
        <v>0</v>
      </c>
      <c r="AD503" s="1201"/>
      <c r="AE503" s="401">
        <f>IF(AF503=0,0,AF503/(J$13+J$97))</f>
        <v>-2177.2199563318782</v>
      </c>
      <c r="AF503" s="399">
        <v>-498583.37000000011</v>
      </c>
      <c r="AG503" s="704" t="e">
        <f t="shared" si="77"/>
        <v>#DIV/0!</v>
      </c>
      <c r="AH503" s="401">
        <f t="shared" si="77"/>
        <v>-498583.37000000011</v>
      </c>
      <c r="AI503" s="402">
        <f t="shared" si="78"/>
        <v>0</v>
      </c>
      <c r="AJ503" s="1201"/>
      <c r="AK503" s="401">
        <f>AL503/(O$13+O$97)</f>
        <v>-3019.5198780487799</v>
      </c>
      <c r="AL503" s="399">
        <f t="shared" si="79"/>
        <v>-742801.8899999999</v>
      </c>
      <c r="AM503" s="403" t="e">
        <f>AE503-Y503</f>
        <v>#DIV/0!</v>
      </c>
      <c r="AN503" s="401">
        <f>AF503-AL503</f>
        <v>244218.51999999979</v>
      </c>
      <c r="AO503" s="1012">
        <f t="shared" si="82"/>
        <v>-0.32878015428851404</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1116" t="str">
        <f t="shared" si="76"/>
        <v>Crédit Boni TD</v>
      </c>
      <c r="B504" s="3"/>
      <c r="C504" s="1184"/>
      <c r="V504" s="992" t="s">
        <v>3135</v>
      </c>
      <c r="W504" s="405"/>
      <c r="X504" s="402"/>
      <c r="Y504" s="406" t="e">
        <f>Z504/(D$13+D$97)</f>
        <v>#DIV/0!</v>
      </c>
      <c r="Z504" s="399">
        <v>0</v>
      </c>
      <c r="AA504" s="398"/>
      <c r="AB504" s="406">
        <f>IF(AC504=0,0,AC504/(G$13+G$97))</f>
        <v>0</v>
      </c>
      <c r="AC504" s="399">
        <v>0</v>
      </c>
      <c r="AD504" s="1201"/>
      <c r="AE504" s="401">
        <f>IF(AF504=0,0,AF504/(J$13+J$97))</f>
        <v>-191.71737991266374</v>
      </c>
      <c r="AF504" s="399">
        <v>-43903.28</v>
      </c>
      <c r="AG504" s="704" t="e">
        <f t="shared" si="77"/>
        <v>#DIV/0!</v>
      </c>
      <c r="AH504" s="401">
        <f t="shared" si="77"/>
        <v>-43903.28</v>
      </c>
      <c r="AI504" s="402">
        <f t="shared" si="78"/>
        <v>0</v>
      </c>
      <c r="AJ504" s="1201"/>
      <c r="AK504" s="401">
        <f>AL504/(O$13+O$97)</f>
        <v>0</v>
      </c>
      <c r="AL504" s="399">
        <f t="shared" si="79"/>
        <v>0</v>
      </c>
      <c r="AM504" s="403" t="e">
        <f>AE504-Y504</f>
        <v>#DIV/0!</v>
      </c>
      <c r="AN504" s="401">
        <f>AF504-AL504</f>
        <v>-43903.28</v>
      </c>
      <c r="AO504" s="1012">
        <f t="shared" si="82"/>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1116" t="str">
        <f t="shared" si="76"/>
        <v>[...]</v>
      </c>
      <c r="B505" s="3"/>
      <c r="C505" s="1184"/>
      <c r="V505" s="992" t="s">
        <v>55</v>
      </c>
      <c r="W505" s="405"/>
      <c r="X505" s="398"/>
      <c r="Y505" s="406" t="e">
        <f>Z505/(D$13+D$97)</f>
        <v>#DIV/0!</v>
      </c>
      <c r="Z505" s="399">
        <v>0</v>
      </c>
      <c r="AA505" s="398"/>
      <c r="AB505" s="406">
        <f>IF(AC505=0,0,AC505/(G$13+G$97))</f>
        <v>0</v>
      </c>
      <c r="AC505" s="399">
        <v>0</v>
      </c>
      <c r="AD505" s="1201"/>
      <c r="AE505" s="401">
        <f>IF(AF505=0,0,AF505/(J$13+J$97))</f>
        <v>0</v>
      </c>
      <c r="AF505" s="399">
        <v>0</v>
      </c>
      <c r="AG505" s="704" t="e">
        <f t="shared" si="77"/>
        <v>#DIV/0!</v>
      </c>
      <c r="AH505" s="401">
        <f t="shared" si="77"/>
        <v>0</v>
      </c>
      <c r="AI505" s="402">
        <f t="shared" si="78"/>
        <v>0</v>
      </c>
      <c r="AJ505" s="1201"/>
      <c r="AK505" s="401">
        <f>AL505/(O$13+O$97)</f>
        <v>0</v>
      </c>
      <c r="AL505" s="399"/>
      <c r="AM505" s="403" t="e">
        <f>AE505-Y505</f>
        <v>#DIV/0!</v>
      </c>
      <c r="AN505" s="401">
        <f>AF505-AL505</f>
        <v>0</v>
      </c>
      <c r="AO505" s="1012">
        <f t="shared" si="82"/>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1116" t="str">
        <f t="shared" si="76"/>
        <v>TOTAL VARIABLES</v>
      </c>
      <c r="B506" s="3"/>
      <c r="C506" s="1184"/>
      <c r="V506" s="413" t="s">
        <v>114</v>
      </c>
      <c r="W506" s="1206"/>
      <c r="X506" s="1207" t="e">
        <f>Z506/Z494</f>
        <v>#REF!</v>
      </c>
      <c r="Y506" s="1206"/>
      <c r="Z506" s="416">
        <f>SUM(Z496:Z505)</f>
        <v>0</v>
      </c>
      <c r="AA506" s="1207" t="e">
        <f>AC506/AC494</f>
        <v>#DIV/0!</v>
      </c>
      <c r="AB506" s="1206"/>
      <c r="AC506" s="416">
        <f>SUM(AC496:AC505)</f>
        <v>0</v>
      </c>
      <c r="AD506" s="417">
        <f>AF506/AF494</f>
        <v>7.0934608110763339E-2</v>
      </c>
      <c r="AE506" s="1208"/>
      <c r="AF506" s="416">
        <f>SUM(AF496:AF505)</f>
        <v>183144.06999999986</v>
      </c>
      <c r="AG506" s="418"/>
      <c r="AH506" s="1208">
        <f t="shared" si="77"/>
        <v>183144.06999999986</v>
      </c>
      <c r="AI506" s="1207" t="e">
        <f>AH506/Z506</f>
        <v>#DIV/0!</v>
      </c>
      <c r="AJ506" s="417">
        <f>IF($AL$407=0,0,AL506/$AL$407)</f>
        <v>0</v>
      </c>
      <c r="AK506" s="1208"/>
      <c r="AL506" s="416">
        <f>SUM(AL496:AL505)</f>
        <v>-450.14999999979045</v>
      </c>
      <c r="AM506" s="423"/>
      <c r="AN506" s="1208">
        <f t="shared" ref="AN506:AN518" si="87">AF506-AL506</f>
        <v>183594.21999999965</v>
      </c>
      <c r="AO506" s="396">
        <f t="shared" si="82"/>
        <v>-407.85120515402667</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1116" t="str">
        <f t="shared" si="76"/>
        <v>Salaires propriétaire</v>
      </c>
      <c r="B507" s="3"/>
      <c r="C507" s="1184"/>
      <c r="V507" s="992" t="s">
        <v>200</v>
      </c>
      <c r="W507" s="405" t="s">
        <v>605</v>
      </c>
      <c r="X507" s="398"/>
      <c r="Y507" s="398"/>
      <c r="Z507" s="399">
        <v>0</v>
      </c>
      <c r="AA507" s="398"/>
      <c r="AB507" s="398">
        <f t="shared" ref="AB507:AB517" si="88">IF(AC507=0,0,AC507/(G$13+G$97))</f>
        <v>0</v>
      </c>
      <c r="AC507" s="399">
        <v>0</v>
      </c>
      <c r="AD507" s="1201"/>
      <c r="AE507" s="406"/>
      <c r="AF507" s="399">
        <v>51203.55</v>
      </c>
      <c r="AG507" s="704"/>
      <c r="AH507" s="401">
        <f t="shared" si="77"/>
        <v>51203.55</v>
      </c>
      <c r="AI507" s="402">
        <f t="shared" ref="AI507:AI519" si="89">IF(Z507=0,0,AH507/Z507)</f>
        <v>0</v>
      </c>
      <c r="AJ507" s="1201"/>
      <c r="AK507" s="406"/>
      <c r="AL507" s="399">
        <v>242841.64</v>
      </c>
      <c r="AM507" s="403"/>
      <c r="AN507" s="401">
        <f t="shared" si="87"/>
        <v>-191638.09000000003</v>
      </c>
      <c r="AO507" s="1012">
        <f t="shared" si="82"/>
        <v>-0.78914839316683916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1116" t="str">
        <f t="shared" si="76"/>
        <v>Salaires cadres</v>
      </c>
      <c r="B508" s="3"/>
      <c r="C508" s="1184"/>
      <c r="V508" s="992" t="s">
        <v>116</v>
      </c>
      <c r="W508" s="405" t="s">
        <v>606</v>
      </c>
      <c r="X508" s="398"/>
      <c r="Y508" s="398"/>
      <c r="Z508" s="399">
        <v>0</v>
      </c>
      <c r="AA508" s="398"/>
      <c r="AB508" s="398">
        <f t="shared" si="88"/>
        <v>0</v>
      </c>
      <c r="AC508" s="399">
        <v>0</v>
      </c>
      <c r="AD508" s="1201"/>
      <c r="AE508" s="406"/>
      <c r="AF508" s="399">
        <v>204112.86</v>
      </c>
      <c r="AG508" s="704"/>
      <c r="AH508" s="401">
        <f t="shared" si="77"/>
        <v>204112.86</v>
      </c>
      <c r="AI508" s="402">
        <f t="shared" si="89"/>
        <v>0</v>
      </c>
      <c r="AJ508" s="1201"/>
      <c r="AK508" s="406"/>
      <c r="AL508" s="399">
        <f>+SUMIF($C:$C,$V508,Q:Q)</f>
        <v>312467.27</v>
      </c>
      <c r="AM508" s="403"/>
      <c r="AN508" s="401">
        <f t="shared" si="87"/>
        <v>-108354.41000000003</v>
      </c>
      <c r="AO508" s="1012">
        <f t="shared" si="82"/>
        <v>-0.34677043134789776</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1116" t="str">
        <f t="shared" si="76"/>
        <v>Salaires commis</v>
      </c>
      <c r="B509" s="3"/>
      <c r="C509" s="1184"/>
      <c r="V509" s="299" t="s">
        <v>117</v>
      </c>
      <c r="W509" s="1202" t="s">
        <v>607</v>
      </c>
      <c r="X509" s="1191"/>
      <c r="Y509" s="1191"/>
      <c r="Z509" s="1192">
        <v>0</v>
      </c>
      <c r="AA509" s="1191"/>
      <c r="AB509" s="1191">
        <f t="shared" si="88"/>
        <v>0</v>
      </c>
      <c r="AC509" s="1192">
        <v>0</v>
      </c>
      <c r="AD509" s="1204"/>
      <c r="AE509" s="1203"/>
      <c r="AF509" s="1192">
        <v>191846.80999999997</v>
      </c>
      <c r="AG509" s="1193"/>
      <c r="AH509" s="1194">
        <f t="shared" si="77"/>
        <v>191846.80999999997</v>
      </c>
      <c r="AI509" s="1205">
        <f t="shared" si="89"/>
        <v>0</v>
      </c>
      <c r="AJ509" s="1204"/>
      <c r="AK509" s="1203"/>
      <c r="AL509" s="1192">
        <f>+SUMIF($C:$C,$V509,Q:Q)</f>
        <v>243109.23</v>
      </c>
      <c r="AM509" s="1196"/>
      <c r="AN509" s="1194">
        <f t="shared" si="87"/>
        <v>-51262.420000000042</v>
      </c>
      <c r="AO509" s="1197">
        <f t="shared" si="82"/>
        <v>-0.2108616772797974</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1116" t="str">
        <f t="shared" si="76"/>
        <v>Salaires autres</v>
      </c>
      <c r="B510" s="3"/>
      <c r="C510" s="1184"/>
      <c r="V510" s="992" t="s">
        <v>118</v>
      </c>
      <c r="W510" s="405" t="s">
        <v>608</v>
      </c>
      <c r="X510" s="398"/>
      <c r="Y510" s="398"/>
      <c r="Z510" s="399">
        <v>0</v>
      </c>
      <c r="AA510" s="398"/>
      <c r="AB510" s="398">
        <f t="shared" si="88"/>
        <v>0</v>
      </c>
      <c r="AC510" s="399">
        <v>0</v>
      </c>
      <c r="AD510" s="1201"/>
      <c r="AE510" s="406"/>
      <c r="AF510" s="399">
        <v>-37693.080000000031</v>
      </c>
      <c r="AG510" s="704"/>
      <c r="AH510" s="401">
        <f t="shared" si="77"/>
        <v>-37693.080000000031</v>
      </c>
      <c r="AI510" s="402">
        <f t="shared" si="89"/>
        <v>0</v>
      </c>
      <c r="AJ510" s="1201"/>
      <c r="AK510" s="406"/>
      <c r="AL510" s="399">
        <f>+SUMIF($C:$C,$V510,Q:Q)</f>
        <v>324616.01999999996</v>
      </c>
      <c r="AM510" s="403"/>
      <c r="AN510" s="401">
        <f t="shared" si="87"/>
        <v>-362309.1</v>
      </c>
      <c r="AO510" s="1012">
        <f t="shared" si="82"/>
        <v>-1.1161158959437678</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1116" t="str">
        <f t="shared" si="76"/>
        <v>Salaires spécialistes</v>
      </c>
      <c r="B511" s="3"/>
      <c r="C511" s="1184"/>
      <c r="V511" s="992" t="s">
        <v>119</v>
      </c>
      <c r="W511" s="405" t="s">
        <v>609</v>
      </c>
      <c r="X511" s="398"/>
      <c r="Y511" s="398"/>
      <c r="Z511" s="399">
        <v>0</v>
      </c>
      <c r="AA511" s="398"/>
      <c r="AB511" s="398">
        <f t="shared" si="88"/>
        <v>0</v>
      </c>
      <c r="AC511" s="399">
        <v>0</v>
      </c>
      <c r="AD511" s="1201"/>
      <c r="AE511" s="406"/>
      <c r="AF511" s="399">
        <v>15838.4</v>
      </c>
      <c r="AG511" s="704"/>
      <c r="AH511" s="401">
        <f t="shared" si="77"/>
        <v>15838.4</v>
      </c>
      <c r="AI511" s="402">
        <f t="shared" si="89"/>
        <v>0</v>
      </c>
      <c r="AJ511" s="1201"/>
      <c r="AK511" s="406"/>
      <c r="AL511" s="399">
        <f>+SUMIF($C:$C,$V511,Q:Q)</f>
        <v>0</v>
      </c>
      <c r="AM511" s="403"/>
      <c r="AN511" s="401">
        <f t="shared" si="87"/>
        <v>15838.4</v>
      </c>
      <c r="AO511" s="1012">
        <f t="shared" si="82"/>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1116" t="str">
        <f t="shared" si="76"/>
        <v>[...]</v>
      </c>
      <c r="B512" s="3"/>
      <c r="C512" s="1184"/>
      <c r="V512" s="992" t="s">
        <v>55</v>
      </c>
      <c r="W512" s="405"/>
      <c r="X512" s="398"/>
      <c r="Y512" s="398"/>
      <c r="Z512" s="399">
        <v>0</v>
      </c>
      <c r="AA512" s="398"/>
      <c r="AB512" s="398">
        <f t="shared" si="88"/>
        <v>0</v>
      </c>
      <c r="AC512" s="399">
        <v>0</v>
      </c>
      <c r="AD512" s="1201"/>
      <c r="AE512" s="406"/>
      <c r="AF512" s="399">
        <v>0</v>
      </c>
      <c r="AG512" s="704"/>
      <c r="AH512" s="401">
        <f t="shared" ref="AH512:AH523" si="90">AF512-Z512</f>
        <v>0</v>
      </c>
      <c r="AI512" s="402">
        <f t="shared" si="89"/>
        <v>0</v>
      </c>
      <c r="AJ512" s="1201"/>
      <c r="AK512" s="406"/>
      <c r="AL512" s="399"/>
      <c r="AM512" s="403"/>
      <c r="AN512" s="401">
        <f t="shared" si="87"/>
        <v>0</v>
      </c>
      <c r="AO512" s="1012">
        <f t="shared" si="82"/>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1116" t="str">
        <f t="shared" si="76"/>
        <v>[...]</v>
      </c>
      <c r="B513" s="3"/>
      <c r="C513" s="1184"/>
      <c r="V513" s="992" t="s">
        <v>55</v>
      </c>
      <c r="W513" s="405"/>
      <c r="X513" s="398"/>
      <c r="Y513" s="398"/>
      <c r="Z513" s="399">
        <v>0</v>
      </c>
      <c r="AA513" s="398"/>
      <c r="AB513" s="398">
        <f t="shared" si="88"/>
        <v>0</v>
      </c>
      <c r="AC513" s="399">
        <v>0</v>
      </c>
      <c r="AD513" s="1201"/>
      <c r="AE513" s="406"/>
      <c r="AF513" s="399">
        <v>0</v>
      </c>
      <c r="AG513" s="704"/>
      <c r="AH513" s="401">
        <f t="shared" si="90"/>
        <v>0</v>
      </c>
      <c r="AI513" s="402">
        <f t="shared" si="89"/>
        <v>0</v>
      </c>
      <c r="AJ513" s="1201"/>
      <c r="AK513" s="406"/>
      <c r="AL513" s="399"/>
      <c r="AM513" s="403"/>
      <c r="AN513" s="401">
        <f t="shared" si="87"/>
        <v>0</v>
      </c>
      <c r="AO513" s="1012">
        <f t="shared" si="82"/>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1116" t="str">
        <f t="shared" si="76"/>
        <v>[...]</v>
      </c>
      <c r="B514" s="3"/>
      <c r="C514" s="1184"/>
      <c r="V514" s="992" t="s">
        <v>55</v>
      </c>
      <c r="W514" s="405"/>
      <c r="X514" s="398"/>
      <c r="Y514" s="398"/>
      <c r="Z514" s="399">
        <v>0</v>
      </c>
      <c r="AA514" s="398"/>
      <c r="AB514" s="398">
        <f t="shared" si="88"/>
        <v>0</v>
      </c>
      <c r="AC514" s="399">
        <v>0</v>
      </c>
      <c r="AD514" s="1201"/>
      <c r="AE514" s="406"/>
      <c r="AF514" s="399">
        <v>0</v>
      </c>
      <c r="AG514" s="704"/>
      <c r="AH514" s="401">
        <f t="shared" si="90"/>
        <v>0</v>
      </c>
      <c r="AI514" s="402">
        <f t="shared" si="89"/>
        <v>0</v>
      </c>
      <c r="AJ514" s="1201"/>
      <c r="AK514" s="406"/>
      <c r="AL514" s="399"/>
      <c r="AM514" s="403"/>
      <c r="AN514" s="401">
        <f t="shared" si="87"/>
        <v>0</v>
      </c>
      <c r="AO514" s="1012">
        <f t="shared" si="82"/>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1116" t="str">
        <f t="shared" si="76"/>
        <v>Salaires en absences</v>
      </c>
      <c r="B515" s="3"/>
      <c r="C515" s="1184"/>
      <c r="V515" s="299" t="s">
        <v>120</v>
      </c>
      <c r="W515" s="1202" t="s">
        <v>610</v>
      </c>
      <c r="X515" s="1191"/>
      <c r="Y515" s="1209"/>
      <c r="Z515" s="1192">
        <v>0</v>
      </c>
      <c r="AA515" s="1191"/>
      <c r="AB515" s="1191">
        <f t="shared" si="88"/>
        <v>0</v>
      </c>
      <c r="AC515" s="1192">
        <v>0</v>
      </c>
      <c r="AD515" s="1204"/>
      <c r="AE515" s="1203"/>
      <c r="AF515" s="1192">
        <v>115796.9</v>
      </c>
      <c r="AG515" s="1193"/>
      <c r="AH515" s="1194">
        <f t="shared" si="90"/>
        <v>115796.9</v>
      </c>
      <c r="AI515" s="1205">
        <f t="shared" si="89"/>
        <v>0</v>
      </c>
      <c r="AJ515" s="1204"/>
      <c r="AK515" s="1203"/>
      <c r="AL515" s="1192">
        <f>+SUMIF($C:$C,$V515,Q:Q)</f>
        <v>118620.50999999998</v>
      </c>
      <c r="AM515" s="1196"/>
      <c r="AN515" s="1194">
        <f t="shared" si="87"/>
        <v>-2823.609999999986</v>
      </c>
      <c r="AO515" s="1197">
        <f t="shared" si="82"/>
        <v>-2.3803725005060141E-2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1116" t="str">
        <f t="shared" si="76"/>
        <v>Déduction à la source</v>
      </c>
      <c r="B516" s="3"/>
      <c r="C516" s="1184"/>
      <c r="V516" s="992" t="s">
        <v>121</v>
      </c>
      <c r="W516" s="405" t="s">
        <v>611</v>
      </c>
      <c r="X516" s="398"/>
      <c r="Y516" s="739"/>
      <c r="Z516" s="399">
        <v>0</v>
      </c>
      <c r="AA516" s="398"/>
      <c r="AB516" s="398">
        <f t="shared" si="88"/>
        <v>0</v>
      </c>
      <c r="AC516" s="399">
        <v>0</v>
      </c>
      <c r="AD516" s="1201"/>
      <c r="AE516" s="406"/>
      <c r="AF516" s="399">
        <v>164556.69</v>
      </c>
      <c r="AG516" s="704"/>
      <c r="AH516" s="401">
        <f t="shared" si="90"/>
        <v>164556.69</v>
      </c>
      <c r="AI516" s="402">
        <f t="shared" si="89"/>
        <v>0</v>
      </c>
      <c r="AJ516" s="1201"/>
      <c r="AK516" s="406"/>
      <c r="AL516" s="399">
        <f>+SUMIF($C:$C,$V516,Q:Q)</f>
        <v>167758.50999999998</v>
      </c>
      <c r="AM516" s="403"/>
      <c r="AN516" s="401">
        <f t="shared" si="87"/>
        <v>-3201.8199999999779</v>
      </c>
      <c r="AO516" s="1012">
        <f t="shared" si="82"/>
        <v>-1.9085887207748675E-2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1116" t="str">
        <f t="shared" si="76"/>
        <v>Bénéfices marginaux</v>
      </c>
      <c r="B517" s="3"/>
      <c r="C517" s="1184"/>
      <c r="V517" s="992" t="s">
        <v>122</v>
      </c>
      <c r="W517" s="405" t="s">
        <v>612</v>
      </c>
      <c r="X517" s="398"/>
      <c r="Y517" s="739"/>
      <c r="Z517" s="399">
        <v>0</v>
      </c>
      <c r="AA517" s="398"/>
      <c r="AB517" s="398">
        <f t="shared" si="88"/>
        <v>0</v>
      </c>
      <c r="AC517" s="399">
        <v>0</v>
      </c>
      <c r="AD517" s="1201"/>
      <c r="AE517" s="406"/>
      <c r="AF517" s="399">
        <v>37707.109999999993</v>
      </c>
      <c r="AG517" s="704"/>
      <c r="AH517" s="401">
        <f t="shared" si="90"/>
        <v>37707.109999999993</v>
      </c>
      <c r="AI517" s="402">
        <f t="shared" si="89"/>
        <v>0</v>
      </c>
      <c r="AJ517" s="1201"/>
      <c r="AK517" s="406"/>
      <c r="AL517" s="399">
        <f>+SUMIF($C:$C,$V517,Q:Q)</f>
        <v>84945.159999999989</v>
      </c>
      <c r="AM517" s="403"/>
      <c r="AN517" s="401">
        <f t="shared" si="87"/>
        <v>-47238.049999999996</v>
      </c>
      <c r="AO517" s="1012">
        <f t="shared" si="82"/>
        <v>-0.5561005476945361</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1116" t="str">
        <f t="shared" si="76"/>
        <v>Csst</v>
      </c>
      <c r="B518" s="3"/>
      <c r="C518" s="1184"/>
      <c r="V518" s="992" t="s">
        <v>123</v>
      </c>
      <c r="W518" s="405"/>
      <c r="X518" s="398"/>
      <c r="Y518" s="398"/>
      <c r="Z518" s="399">
        <v>0</v>
      </c>
      <c r="AA518" s="398"/>
      <c r="AB518" s="398">
        <f>IF(AC518=0,0,AC518/(G$13+G$97))</f>
        <v>0</v>
      </c>
      <c r="AC518" s="399">
        <v>0</v>
      </c>
      <c r="AD518" s="1201"/>
      <c r="AE518" s="406"/>
      <c r="AF518" s="399">
        <v>33834.06</v>
      </c>
      <c r="AG518" s="704"/>
      <c r="AH518" s="401">
        <f t="shared" si="90"/>
        <v>33834.06</v>
      </c>
      <c r="AI518" s="420">
        <f t="shared" si="89"/>
        <v>0</v>
      </c>
      <c r="AJ518" s="1201"/>
      <c r="AK518" s="406"/>
      <c r="AL518" s="399">
        <f>+SUMIF($C:$C,$V518,Q:Q)</f>
        <v>3800.41</v>
      </c>
      <c r="AM518" s="403"/>
      <c r="AN518" s="401">
        <f t="shared" si="87"/>
        <v>30033.649999999998</v>
      </c>
      <c r="AO518" s="1012">
        <f t="shared" si="82"/>
        <v>7.9027394412708096</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1116" t="str">
        <f t="shared" si="76"/>
        <v>[...]</v>
      </c>
      <c r="B519" s="3"/>
      <c r="C519" s="1184"/>
      <c r="V519" s="681" t="s">
        <v>55</v>
      </c>
      <c r="W519" s="405"/>
      <c r="X519" s="398"/>
      <c r="Y519" s="406"/>
      <c r="Z519" s="399">
        <v>0</v>
      </c>
      <c r="AA519" s="398"/>
      <c r="AB519" s="398">
        <f>IF(AC519=0,0,AC519/(G$13+G$97))</f>
        <v>0</v>
      </c>
      <c r="AC519" s="399">
        <v>0</v>
      </c>
      <c r="AD519" s="1201"/>
      <c r="AE519" s="406"/>
      <c r="AF519" s="399">
        <v>0</v>
      </c>
      <c r="AG519" s="704"/>
      <c r="AH519" s="401">
        <f t="shared" si="90"/>
        <v>0</v>
      </c>
      <c r="AI519" s="402">
        <f t="shared" si="89"/>
        <v>0</v>
      </c>
      <c r="AJ519" s="1201"/>
      <c r="AK519" s="406">
        <f>AL519/(O$13+O$97)</f>
        <v>0</v>
      </c>
      <c r="AL519" s="399"/>
      <c r="AM519" s="403"/>
      <c r="AN519" s="401"/>
      <c r="AO519" s="119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1116" t="str">
        <f t="shared" si="76"/>
        <v>TOTAL PERSONNEL</v>
      </c>
      <c r="B520" s="3"/>
      <c r="C520" s="1184"/>
      <c r="V520" s="413" t="s">
        <v>124</v>
      </c>
      <c r="W520" s="1206"/>
      <c r="X520" s="1207" t="e">
        <f>Z520/Z494</f>
        <v>#REF!</v>
      </c>
      <c r="Y520" s="1206"/>
      <c r="Z520" s="416">
        <f>SUM(Z507:Z519)</f>
        <v>0</v>
      </c>
      <c r="AA520" s="1207" t="e">
        <f>AC520/AC494</f>
        <v>#DIV/0!</v>
      </c>
      <c r="AB520" s="1206"/>
      <c r="AC520" s="416">
        <f>SUM(AC507:AC519)</f>
        <v>0</v>
      </c>
      <c r="AD520" s="417">
        <f>AF520/AF494</f>
        <v>0.30102318632479919</v>
      </c>
      <c r="AE520" s="1210"/>
      <c r="AF520" s="416">
        <f>SUM(AF507:AF519)</f>
        <v>777203.29999999981</v>
      </c>
      <c r="AG520" s="418"/>
      <c r="AH520" s="1208">
        <f t="shared" si="90"/>
        <v>777203.29999999981</v>
      </c>
      <c r="AI520" s="1207" t="e">
        <f>AH520/Z520</f>
        <v>#DIV/0!</v>
      </c>
      <c r="AJ520" s="417">
        <f>IF($AL$407=0,0,AL520/$AL$407)</f>
        <v>0</v>
      </c>
      <c r="AK520" s="1210"/>
      <c r="AL520" s="416">
        <f>SUM(AL507:AL519)</f>
        <v>1498158.7499999998</v>
      </c>
      <c r="AM520" s="423"/>
      <c r="AN520" s="1208">
        <f t="shared" ref="AN520:AN526" si="91">AF520-AL520</f>
        <v>-720955.45</v>
      </c>
      <c r="AO520" s="396">
        <f>IF(AL520=0,0,AN520/AL520)</f>
        <v>-0.48122767363605495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1116" t="str">
        <f t="shared" si="76"/>
        <v>Publicité 2</v>
      </c>
      <c r="B521" s="3"/>
      <c r="C521" s="1184"/>
      <c r="V521" s="1179" t="s">
        <v>125</v>
      </c>
      <c r="W521" s="424" t="s">
        <v>603</v>
      </c>
      <c r="X521" s="425"/>
      <c r="Y521" s="425"/>
      <c r="Z521" s="1211">
        <v>0</v>
      </c>
      <c r="AA521" s="425"/>
      <c r="AB521" s="425">
        <f t="shared" ref="AB521:AB538" si="92">IF(AC521=0,0,AC521/(G$13+G$97))</f>
        <v>0</v>
      </c>
      <c r="AC521" s="1211">
        <v>0</v>
      </c>
      <c r="AD521" s="1212"/>
      <c r="AE521" s="428"/>
      <c r="AF521" s="1211">
        <v>17120.900000000001</v>
      </c>
      <c r="AG521" s="1212"/>
      <c r="AH521" s="429">
        <f t="shared" si="90"/>
        <v>17120.900000000001</v>
      </c>
      <c r="AI521" s="430">
        <f t="shared" ref="AI521:AI538" si="93">IF(Z521=0,0,AH521/Z521)</f>
        <v>0</v>
      </c>
      <c r="AJ521" s="1212"/>
      <c r="AK521" s="428"/>
      <c r="AL521" s="1211">
        <f t="shared" ref="AL521:AL534" si="94">+SUMIF($C:$C,$V521,Q:Q)</f>
        <v>9073.76</v>
      </c>
      <c r="AM521" s="1213"/>
      <c r="AN521" s="429">
        <f t="shared" si="91"/>
        <v>8047.1400000000012</v>
      </c>
      <c r="AO521" s="1200">
        <f t="shared" ref="AO521:AO526" si="95">IF(AL521=0,0,AN521/AL521)</f>
        <v>0.8868583696284672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1116" t="str">
        <f t="shared" si="76"/>
        <v>Service gratuit 2</v>
      </c>
      <c r="B522" s="3"/>
      <c r="C522" s="1184"/>
      <c r="V522" s="992" t="s">
        <v>126</v>
      </c>
      <c r="W522" s="405" t="s">
        <v>613</v>
      </c>
      <c r="X522" s="398"/>
      <c r="Y522" s="398"/>
      <c r="Z522" s="399">
        <v>0</v>
      </c>
      <c r="AA522" s="398"/>
      <c r="AB522" s="398">
        <f t="shared" si="92"/>
        <v>0</v>
      </c>
      <c r="AC522" s="399">
        <v>0</v>
      </c>
      <c r="AD522" s="1201"/>
      <c r="AE522" s="406"/>
      <c r="AF522" s="399">
        <v>14499.279999999999</v>
      </c>
      <c r="AG522" s="704"/>
      <c r="AH522" s="401">
        <f t="shared" si="90"/>
        <v>14499.279999999999</v>
      </c>
      <c r="AI522" s="402">
        <f t="shared" si="93"/>
        <v>0</v>
      </c>
      <c r="AJ522" s="1201"/>
      <c r="AK522" s="406"/>
      <c r="AL522" s="399">
        <f t="shared" si="94"/>
        <v>13045.910000000002</v>
      </c>
      <c r="AM522" s="403"/>
      <c r="AN522" s="401">
        <f t="shared" si="91"/>
        <v>1453.3699999999972</v>
      </c>
      <c r="AO522" s="1012">
        <f t="shared" si="95"/>
        <v>0.11140426386507318</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1116" t="str">
        <f t="shared" si="76"/>
        <v>Frais véhicules de cie</v>
      </c>
      <c r="B523" s="3"/>
      <c r="C523" s="1184"/>
      <c r="U523" s="432"/>
      <c r="V523" s="299" t="s">
        <v>127</v>
      </c>
      <c r="W523" s="1202" t="s">
        <v>614</v>
      </c>
      <c r="X523" s="1191"/>
      <c r="Y523" s="1191"/>
      <c r="Z523" s="1192">
        <v>0</v>
      </c>
      <c r="AA523" s="1191"/>
      <c r="AB523" s="1191">
        <f t="shared" si="92"/>
        <v>0</v>
      </c>
      <c r="AC523" s="1192">
        <v>0</v>
      </c>
      <c r="AD523" s="1204"/>
      <c r="AE523" s="1203"/>
      <c r="AF523" s="1192">
        <v>83464.25</v>
      </c>
      <c r="AG523" s="1193"/>
      <c r="AH523" s="1194">
        <f t="shared" si="90"/>
        <v>83464.25</v>
      </c>
      <c r="AI523" s="1205">
        <f t="shared" si="93"/>
        <v>0</v>
      </c>
      <c r="AJ523" s="1204"/>
      <c r="AK523" s="1203"/>
      <c r="AL523" s="1192">
        <f t="shared" si="94"/>
        <v>47798.070000000007</v>
      </c>
      <c r="AM523" s="1196"/>
      <c r="AN523" s="1194">
        <f t="shared" si="91"/>
        <v>35666.179999999993</v>
      </c>
      <c r="AO523" s="1197">
        <f t="shared" si="95"/>
        <v>0.74618452167629334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1116" t="str">
        <f t="shared" si="76"/>
        <v>Informatique</v>
      </c>
      <c r="B524" s="3"/>
      <c r="C524" s="1184"/>
      <c r="U524" s="432"/>
      <c r="V524" s="992" t="s">
        <v>128</v>
      </c>
      <c r="W524" s="405" t="s">
        <v>615</v>
      </c>
      <c r="X524" s="398"/>
      <c r="Y524" s="398"/>
      <c r="Z524" s="399">
        <v>0</v>
      </c>
      <c r="AA524" s="398"/>
      <c r="AB524" s="398">
        <f t="shared" si="92"/>
        <v>0</v>
      </c>
      <c r="AC524" s="399">
        <v>0</v>
      </c>
      <c r="AD524" s="1201"/>
      <c r="AE524" s="406"/>
      <c r="AF524" s="399">
        <v>35422.69</v>
      </c>
      <c r="AG524" s="704"/>
      <c r="AH524" s="401">
        <f>AF524-Z524</f>
        <v>35422.69</v>
      </c>
      <c r="AI524" s="402">
        <f t="shared" si="93"/>
        <v>0</v>
      </c>
      <c r="AJ524" s="1201"/>
      <c r="AK524" s="406"/>
      <c r="AL524" s="399">
        <f t="shared" si="94"/>
        <v>41020.420000000006</v>
      </c>
      <c r="AM524" s="403"/>
      <c r="AN524" s="401">
        <f t="shared" si="91"/>
        <v>-5597.7300000000032</v>
      </c>
      <c r="AO524" s="1012">
        <f t="shared" si="95"/>
        <v>-0.13646203524976103</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1116" t="str">
        <f t="shared" si="76"/>
        <v>Frais de déplacement</v>
      </c>
      <c r="B525" s="3"/>
      <c r="C525" s="1184"/>
      <c r="U525" s="432"/>
      <c r="V525" s="992" t="s">
        <v>129</v>
      </c>
      <c r="W525" s="405" t="s">
        <v>616</v>
      </c>
      <c r="X525" s="398"/>
      <c r="Y525" s="398"/>
      <c r="Z525" s="399">
        <v>0</v>
      </c>
      <c r="AA525" s="398"/>
      <c r="AB525" s="398">
        <f t="shared" si="92"/>
        <v>0</v>
      </c>
      <c r="AC525" s="399">
        <v>0</v>
      </c>
      <c r="AD525" s="1201"/>
      <c r="AE525" s="406"/>
      <c r="AF525" s="399">
        <v>40298.159999999996</v>
      </c>
      <c r="AG525" s="704"/>
      <c r="AH525" s="401">
        <f t="shared" ref="AH525:AH538" si="96">AF525-Z525</f>
        <v>40298.159999999996</v>
      </c>
      <c r="AI525" s="402">
        <f t="shared" si="93"/>
        <v>0</v>
      </c>
      <c r="AJ525" s="1201"/>
      <c r="AK525" s="406"/>
      <c r="AL525" s="399">
        <f t="shared" si="94"/>
        <v>62226.43</v>
      </c>
      <c r="AM525" s="403"/>
      <c r="AN525" s="401">
        <f t="shared" si="91"/>
        <v>-21928.270000000004</v>
      </c>
      <c r="AO525" s="1012">
        <f t="shared" si="95"/>
        <v>-0.35239479430203541</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1116" t="str">
        <f t="shared" si="76"/>
        <v>Services extérieurs</v>
      </c>
      <c r="B526" s="3"/>
      <c r="C526" s="1184"/>
      <c r="V526" s="992" t="s">
        <v>130</v>
      </c>
      <c r="W526" s="405" t="s">
        <v>617</v>
      </c>
      <c r="X526" s="398"/>
      <c r="Y526" s="398"/>
      <c r="Z526" s="399">
        <v>0</v>
      </c>
      <c r="AA526" s="398"/>
      <c r="AB526" s="398">
        <f t="shared" si="92"/>
        <v>0</v>
      </c>
      <c r="AC526" s="399">
        <v>0</v>
      </c>
      <c r="AD526" s="1201"/>
      <c r="AE526" s="406"/>
      <c r="AF526" s="399">
        <v>87316.209999999992</v>
      </c>
      <c r="AG526" s="704"/>
      <c r="AH526" s="401">
        <f t="shared" si="96"/>
        <v>87316.209999999992</v>
      </c>
      <c r="AI526" s="402">
        <f t="shared" si="93"/>
        <v>0</v>
      </c>
      <c r="AJ526" s="1201"/>
      <c r="AK526" s="406"/>
      <c r="AL526" s="399">
        <f t="shared" si="94"/>
        <v>92586.1</v>
      </c>
      <c r="AM526" s="403"/>
      <c r="AN526" s="401">
        <f t="shared" si="91"/>
        <v>-5269.890000000014</v>
      </c>
      <c r="AO526" s="1012">
        <f t="shared" si="95"/>
        <v>-5.6918803146476779E-2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1184"/>
      <c r="V527" s="1179" t="s">
        <v>483</v>
      </c>
      <c r="W527" s="424"/>
      <c r="X527" s="425"/>
      <c r="Y527" s="425"/>
      <c r="Z527" s="1211">
        <v>0</v>
      </c>
      <c r="AA527" s="425"/>
      <c r="AB527" s="425">
        <f t="shared" si="92"/>
        <v>0</v>
      </c>
      <c r="AC527" s="1211">
        <v>0</v>
      </c>
      <c r="AD527" s="1212"/>
      <c r="AE527" s="428"/>
      <c r="AF527" s="1211">
        <v>0</v>
      </c>
      <c r="AG527" s="1214"/>
      <c r="AH527" s="429">
        <f t="shared" si="96"/>
        <v>0</v>
      </c>
      <c r="AI527" s="430">
        <f t="shared" si="93"/>
        <v>0</v>
      </c>
      <c r="AJ527" s="1212"/>
      <c r="AK527" s="428"/>
      <c r="AL527" s="1211">
        <f t="shared" si="94"/>
        <v>0</v>
      </c>
      <c r="AM527" s="1213"/>
      <c r="AN527" s="429">
        <f>AF527-AL527</f>
        <v>0</v>
      </c>
      <c r="AO527" s="1200">
        <f>IF(AL527=0,0,AN527/AL527)</f>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1116" t="str">
        <f t="shared" ref="A528:A586" si="97">+U528&amp;V528</f>
        <v>Fournitures autres</v>
      </c>
      <c r="B528" s="3"/>
      <c r="C528" s="1184"/>
      <c r="V528" s="992" t="s">
        <v>131</v>
      </c>
      <c r="W528" s="405" t="s">
        <v>618</v>
      </c>
      <c r="X528" s="398"/>
      <c r="Y528" s="406"/>
      <c r="Z528" s="399">
        <v>0</v>
      </c>
      <c r="AA528" s="398"/>
      <c r="AB528" s="406">
        <f t="shared" si="92"/>
        <v>0</v>
      </c>
      <c r="AC528" s="399">
        <v>0</v>
      </c>
      <c r="AD528" s="1201"/>
      <c r="AE528" s="406"/>
      <c r="AF528" s="399">
        <v>49381.16</v>
      </c>
      <c r="AG528" s="704"/>
      <c r="AH528" s="401">
        <f t="shared" si="96"/>
        <v>49381.16</v>
      </c>
      <c r="AI528" s="402">
        <f t="shared" si="93"/>
        <v>0</v>
      </c>
      <c r="AJ528" s="1201"/>
      <c r="AK528" s="406"/>
      <c r="AL528" s="399">
        <f t="shared" si="94"/>
        <v>27484.2</v>
      </c>
      <c r="AM528" s="403"/>
      <c r="AN528" s="401">
        <f t="shared" ref="AN528:AN534" si="98">AF528-AL528</f>
        <v>21896.960000000003</v>
      </c>
      <c r="AO528" s="1012">
        <f t="shared" ref="AO528:AO534" si="99">IF(AL528=0,0,AN528/AL528)</f>
        <v>0.79671083749936333</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1116" t="str">
        <f t="shared" si="97"/>
        <v>Uniformes</v>
      </c>
      <c r="B529" s="3"/>
      <c r="C529" s="1184"/>
      <c r="U529" s="35"/>
      <c r="V529" s="992" t="s">
        <v>132</v>
      </c>
      <c r="W529" s="405" t="s">
        <v>619</v>
      </c>
      <c r="X529" s="398"/>
      <c r="Y529" s="398"/>
      <c r="Z529" s="399">
        <v>0</v>
      </c>
      <c r="AA529" s="398"/>
      <c r="AB529" s="398">
        <f t="shared" si="92"/>
        <v>0</v>
      </c>
      <c r="AC529" s="399">
        <v>0</v>
      </c>
      <c r="AD529" s="1201"/>
      <c r="AE529" s="406"/>
      <c r="AF529" s="399">
        <v>0</v>
      </c>
      <c r="AG529" s="704"/>
      <c r="AH529" s="401">
        <f t="shared" si="96"/>
        <v>0</v>
      </c>
      <c r="AI529" s="420">
        <f t="shared" si="93"/>
        <v>0</v>
      </c>
      <c r="AJ529" s="1201"/>
      <c r="AK529" s="406"/>
      <c r="AL529" s="399">
        <f t="shared" si="94"/>
        <v>0</v>
      </c>
      <c r="AM529" s="403"/>
      <c r="AN529" s="401">
        <f t="shared" si="98"/>
        <v>0</v>
      </c>
      <c r="AO529" s="1012">
        <f t="shared" si="99"/>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1116" t="str">
        <f t="shared" si="97"/>
        <v>Papeterie</v>
      </c>
      <c r="B530" s="3"/>
      <c r="C530" s="1184"/>
      <c r="T530" s="35"/>
      <c r="U530" s="35"/>
      <c r="V530" s="992" t="s">
        <v>133</v>
      </c>
      <c r="W530" s="405" t="s">
        <v>620</v>
      </c>
      <c r="X530" s="398"/>
      <c r="Y530" s="398"/>
      <c r="Z530" s="399">
        <v>0</v>
      </c>
      <c r="AA530" s="398"/>
      <c r="AB530" s="398">
        <f t="shared" si="92"/>
        <v>0</v>
      </c>
      <c r="AC530" s="399">
        <v>0</v>
      </c>
      <c r="AD530" s="1201"/>
      <c r="AE530" s="406"/>
      <c r="AF530" s="399">
        <v>17559.670000000002</v>
      </c>
      <c r="AG530" s="704"/>
      <c r="AH530" s="401">
        <f t="shared" si="96"/>
        <v>17559.670000000002</v>
      </c>
      <c r="AI530" s="402">
        <f t="shared" si="93"/>
        <v>0</v>
      </c>
      <c r="AJ530" s="1201"/>
      <c r="AK530" s="406"/>
      <c r="AL530" s="399">
        <f t="shared" si="94"/>
        <v>18801.990000000002</v>
      </c>
      <c r="AM530" s="403"/>
      <c r="AN530" s="401">
        <f t="shared" si="98"/>
        <v>-1242.3199999999997</v>
      </c>
      <c r="AO530" s="1012">
        <f t="shared" si="99"/>
        <v>-6.6073857075766962E-2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1116" t="str">
        <f t="shared" si="97"/>
        <v>Téléphone</v>
      </c>
      <c r="B531" s="3"/>
      <c r="C531" s="1184"/>
      <c r="T531" s="35"/>
      <c r="U531" s="35"/>
      <c r="V531" s="992" t="s">
        <v>134</v>
      </c>
      <c r="W531" s="405" t="s">
        <v>621</v>
      </c>
      <c r="X531" s="398"/>
      <c r="Y531" s="398"/>
      <c r="Z531" s="399">
        <v>0</v>
      </c>
      <c r="AA531" s="398"/>
      <c r="AB531" s="398">
        <f t="shared" si="92"/>
        <v>0</v>
      </c>
      <c r="AC531" s="399">
        <v>0</v>
      </c>
      <c r="AD531" s="1201"/>
      <c r="AE531" s="406"/>
      <c r="AF531" s="399">
        <v>7754.68</v>
      </c>
      <c r="AG531" s="704"/>
      <c r="AH531" s="401">
        <f t="shared" si="96"/>
        <v>7754.68</v>
      </c>
      <c r="AI531" s="420">
        <f t="shared" si="93"/>
        <v>0</v>
      </c>
      <c r="AJ531" s="1201"/>
      <c r="AK531" s="406"/>
      <c r="AL531" s="399">
        <f t="shared" si="94"/>
        <v>12420.599999999999</v>
      </c>
      <c r="AM531" s="403"/>
      <c r="AN531" s="401">
        <f t="shared" si="98"/>
        <v>-4665.9199999999983</v>
      </c>
      <c r="AO531" s="1012">
        <f t="shared" si="99"/>
        <v>-0.3756597909923835</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1116" t="str">
        <f t="shared" si="97"/>
        <v>Frais postaux</v>
      </c>
      <c r="B532" s="3"/>
      <c r="C532" s="1184"/>
      <c r="T532" s="35"/>
      <c r="U532" s="35"/>
      <c r="V532" s="992" t="s">
        <v>135</v>
      </c>
      <c r="W532" s="405" t="s">
        <v>622</v>
      </c>
      <c r="X532" s="398"/>
      <c r="Y532" s="398"/>
      <c r="Z532" s="399">
        <v>0</v>
      </c>
      <c r="AA532" s="398"/>
      <c r="AB532" s="398">
        <f t="shared" si="92"/>
        <v>0</v>
      </c>
      <c r="AC532" s="399">
        <v>0</v>
      </c>
      <c r="AD532" s="1201"/>
      <c r="AE532" s="406"/>
      <c r="AF532" s="399">
        <v>20440.36</v>
      </c>
      <c r="AG532" s="704"/>
      <c r="AH532" s="401">
        <f t="shared" si="96"/>
        <v>20440.36</v>
      </c>
      <c r="AI532" s="402">
        <f t="shared" si="93"/>
        <v>0</v>
      </c>
      <c r="AJ532" s="1201"/>
      <c r="AK532" s="406"/>
      <c r="AL532" s="399">
        <f t="shared" si="94"/>
        <v>14177.96</v>
      </c>
      <c r="AM532" s="403"/>
      <c r="AN532" s="401">
        <f t="shared" si="98"/>
        <v>6262.4000000000015</v>
      </c>
      <c r="AO532" s="1012">
        <f t="shared" si="99"/>
        <v>0.44169965213613255</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1116" t="str">
        <f t="shared" si="97"/>
        <v>Divers</v>
      </c>
      <c r="B533" s="3"/>
      <c r="C533" s="1184"/>
      <c r="T533" s="35"/>
      <c r="U533" s="35"/>
      <c r="V533" s="992" t="s">
        <v>136</v>
      </c>
      <c r="W533" s="405" t="s">
        <v>623</v>
      </c>
      <c r="X533" s="398"/>
      <c r="Y533" s="406"/>
      <c r="Z533" s="399">
        <v>0</v>
      </c>
      <c r="AA533" s="398"/>
      <c r="AB533" s="406">
        <f t="shared" si="92"/>
        <v>0</v>
      </c>
      <c r="AC533" s="399">
        <v>0</v>
      </c>
      <c r="AD533" s="1201"/>
      <c r="AE533" s="406"/>
      <c r="AF533" s="399">
        <v>27897.490000000009</v>
      </c>
      <c r="AG533" s="704"/>
      <c r="AH533" s="401">
        <f t="shared" si="96"/>
        <v>27897.490000000009</v>
      </c>
      <c r="AI533" s="420">
        <f t="shared" si="93"/>
        <v>0</v>
      </c>
      <c r="AJ533" s="1201"/>
      <c r="AK533" s="406"/>
      <c r="AL533" s="399">
        <f t="shared" si="94"/>
        <v>40673.440000000002</v>
      </c>
      <c r="AM533" s="403"/>
      <c r="AN533" s="401">
        <f t="shared" si="98"/>
        <v>-12775.949999999993</v>
      </c>
      <c r="AO533" s="1012">
        <f t="shared" si="99"/>
        <v>-0.31411038751578407</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1116" t="str">
        <f t="shared" si="97"/>
        <v>Formation</v>
      </c>
      <c r="B534" s="3"/>
      <c r="C534" s="1184"/>
      <c r="T534" s="35"/>
      <c r="U534" s="35"/>
      <c r="V534" s="992" t="s">
        <v>137</v>
      </c>
      <c r="W534" s="405" t="s">
        <v>624</v>
      </c>
      <c r="X534" s="398"/>
      <c r="Y534" s="406"/>
      <c r="Z534" s="399">
        <v>0</v>
      </c>
      <c r="AA534" s="398"/>
      <c r="AB534" s="406">
        <f t="shared" si="92"/>
        <v>0</v>
      </c>
      <c r="AC534" s="399">
        <v>0</v>
      </c>
      <c r="AD534" s="1201"/>
      <c r="AE534" s="406"/>
      <c r="AF534" s="399">
        <v>11455.809999999998</v>
      </c>
      <c r="AG534" s="704"/>
      <c r="AH534" s="401">
        <f t="shared" si="96"/>
        <v>11455.809999999998</v>
      </c>
      <c r="AI534" s="402">
        <f t="shared" si="93"/>
        <v>0</v>
      </c>
      <c r="AJ534" s="1201"/>
      <c r="AK534" s="406"/>
      <c r="AL534" s="399">
        <f t="shared" si="94"/>
        <v>15879.489999999998</v>
      </c>
      <c r="AM534" s="403"/>
      <c r="AN534" s="401">
        <f t="shared" si="98"/>
        <v>-4423.68</v>
      </c>
      <c r="AO534" s="1012">
        <f t="shared" si="99"/>
        <v>-0.27857821630291657</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1116" t="str">
        <f t="shared" si="97"/>
        <v>Frais bancaires</v>
      </c>
      <c r="B535" s="3"/>
      <c r="C535" s="1184"/>
      <c r="T535" s="35"/>
      <c r="U535" s="35"/>
      <c r="V535" s="992" t="s">
        <v>138</v>
      </c>
      <c r="W535" s="405" t="s">
        <v>625</v>
      </c>
      <c r="X535" s="398"/>
      <c r="Y535" s="739"/>
      <c r="Z535" s="399">
        <v>0</v>
      </c>
      <c r="AA535" s="398"/>
      <c r="AB535" s="406">
        <f t="shared" si="92"/>
        <v>0</v>
      </c>
      <c r="AC535" s="399">
        <v>0</v>
      </c>
      <c r="AD535" s="1201"/>
      <c r="AE535" s="406"/>
      <c r="AF535" s="399">
        <v>18062.349999999999</v>
      </c>
      <c r="AG535" s="704"/>
      <c r="AH535" s="401">
        <f t="shared" si="96"/>
        <v>18062.349999999999</v>
      </c>
      <c r="AI535" s="402">
        <f t="shared" si="93"/>
        <v>0</v>
      </c>
      <c r="AJ535" s="1201"/>
      <c r="AK535" s="406"/>
      <c r="AL535" s="399">
        <v>3312.4300000000003</v>
      </c>
      <c r="AM535" s="403"/>
      <c r="AN535" s="401">
        <f>AF535-AL535</f>
        <v>14749.919999999998</v>
      </c>
      <c r="AO535" s="1012">
        <f>IF(AL535=0,0,AN535/AL535)</f>
        <v>4.4529001367576058</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1116" t="str">
        <f t="shared" si="97"/>
        <v>Mitsubishi</v>
      </c>
      <c r="B536" s="3"/>
      <c r="C536" s="1184"/>
      <c r="T536" s="35"/>
      <c r="U536" s="35"/>
      <c r="V536" s="992" t="s">
        <v>3383</v>
      </c>
      <c r="W536" s="405"/>
      <c r="X536" s="398"/>
      <c r="Y536" s="406"/>
      <c r="Z536" s="399">
        <v>0</v>
      </c>
      <c r="AA536" s="398"/>
      <c r="AB536" s="398">
        <f t="shared" si="92"/>
        <v>0</v>
      </c>
      <c r="AC536" s="399">
        <v>0</v>
      </c>
      <c r="AD536" s="1201"/>
      <c r="AE536" s="406"/>
      <c r="AF536" s="399">
        <v>5439.79</v>
      </c>
      <c r="AG536" s="704"/>
      <c r="AH536" s="401">
        <f t="shared" si="96"/>
        <v>5439.79</v>
      </c>
      <c r="AI536" s="402">
        <f t="shared" si="93"/>
        <v>0</v>
      </c>
      <c r="AJ536" s="1201"/>
      <c r="AK536" s="406"/>
      <c r="AL536" s="399">
        <f>+SUMIF($C:$C,$V536,Q:Q)</f>
        <v>0</v>
      </c>
      <c r="AM536" s="403"/>
      <c r="AN536" s="401">
        <f>AF536-AL536</f>
        <v>5439.79</v>
      </c>
      <c r="AO536" s="1012">
        <f>IF(AL536=0,0,AN536/AL536)</f>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1116" t="str">
        <f t="shared" si="97"/>
        <v>[...]</v>
      </c>
      <c r="B537" s="3"/>
      <c r="C537" s="1184"/>
      <c r="T537" s="35"/>
      <c r="U537" s="35"/>
      <c r="V537" s="992" t="s">
        <v>55</v>
      </c>
      <c r="W537" s="405"/>
      <c r="X537" s="398"/>
      <c r="Y537" s="406"/>
      <c r="Z537" s="399">
        <v>0</v>
      </c>
      <c r="AA537" s="398"/>
      <c r="AB537" s="398">
        <f t="shared" si="92"/>
        <v>0</v>
      </c>
      <c r="AC537" s="399">
        <v>0</v>
      </c>
      <c r="AD537" s="1201"/>
      <c r="AE537" s="406"/>
      <c r="AF537" s="399">
        <v>0</v>
      </c>
      <c r="AG537" s="704"/>
      <c r="AH537" s="401">
        <f t="shared" si="96"/>
        <v>0</v>
      </c>
      <c r="AI537" s="402">
        <f t="shared" si="93"/>
        <v>0</v>
      </c>
      <c r="AJ537" s="1201"/>
      <c r="AK537" s="406"/>
      <c r="AL537" s="399"/>
      <c r="AM537" s="403"/>
      <c r="AN537" s="401">
        <f>AF537-AL537</f>
        <v>0</v>
      </c>
      <c r="AO537" s="1012">
        <f>IF(AL537=0,0,AN537/AL537)</f>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1116" t="str">
        <f t="shared" si="97"/>
        <v>[...]</v>
      </c>
      <c r="B538" s="3"/>
      <c r="C538" s="1184"/>
      <c r="T538" s="35"/>
      <c r="U538" s="35"/>
      <c r="V538" s="992" t="s">
        <v>55</v>
      </c>
      <c r="W538" s="405"/>
      <c r="X538" s="398"/>
      <c r="Y538" s="406"/>
      <c r="Z538" s="399">
        <v>0</v>
      </c>
      <c r="AA538" s="398"/>
      <c r="AB538" s="398">
        <f t="shared" si="92"/>
        <v>0</v>
      </c>
      <c r="AC538" s="399">
        <v>0</v>
      </c>
      <c r="AD538" s="1201"/>
      <c r="AE538" s="406"/>
      <c r="AF538" s="399">
        <v>0</v>
      </c>
      <c r="AG538" s="704"/>
      <c r="AH538" s="401">
        <f t="shared" si="96"/>
        <v>0</v>
      </c>
      <c r="AI538" s="402">
        <f t="shared" si="93"/>
        <v>0</v>
      </c>
      <c r="AJ538" s="1201"/>
      <c r="AK538" s="406"/>
      <c r="AL538" s="399"/>
      <c r="AM538" s="403"/>
      <c r="AN538" s="401">
        <f>AF538-AL538</f>
        <v>0</v>
      </c>
      <c r="AO538" s="1012">
        <f>IF(AL538=0,0,AN538/AL538)</f>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1116" t="str">
        <f t="shared" si="97"/>
        <v>TOTAL SEMI-FIXES</v>
      </c>
      <c r="B539" s="3"/>
      <c r="C539" s="1184"/>
      <c r="T539" s="35"/>
      <c r="U539" s="35"/>
      <c r="V539" s="413" t="s">
        <v>139</v>
      </c>
      <c r="W539" s="1215"/>
      <c r="X539" s="1207" t="e">
        <f>Z539/+Z494</f>
        <v>#REF!</v>
      </c>
      <c r="Y539" s="1206"/>
      <c r="Z539" s="416">
        <f>+SUM(Z521:Z538)</f>
        <v>0</v>
      </c>
      <c r="AA539" s="1207" t="e">
        <f>AC539/+AC494</f>
        <v>#DIV/0!</v>
      </c>
      <c r="AB539" s="1206"/>
      <c r="AC539" s="416">
        <v>0</v>
      </c>
      <c r="AD539" s="417">
        <f>AF539/AF494</f>
        <v>0.16891341641630947</v>
      </c>
      <c r="AE539" s="1206"/>
      <c r="AF539" s="416">
        <f>+SUM(AF521:AF538)</f>
        <v>436112.79999999993</v>
      </c>
      <c r="AG539" s="422"/>
      <c r="AH539" s="1216">
        <f>+SUM(AH521:AH538)</f>
        <v>436112.79999999993</v>
      </c>
      <c r="AI539" s="1207" t="e">
        <f>AH539/Z539</f>
        <v>#DIV/0!</v>
      </c>
      <c r="AJ539" s="417">
        <f>IF($AL$407=0,0,AL539/$AL$407)</f>
        <v>0</v>
      </c>
      <c r="AK539" s="1206"/>
      <c r="AL539" s="416">
        <f>+SUM(AL521:AL538)</f>
        <v>398500.8</v>
      </c>
      <c r="AM539" s="423"/>
      <c r="AN539" s="1208">
        <f>+SUM(AN521:AN538)</f>
        <v>37611.999999999971</v>
      </c>
      <c r="AO539" s="1217">
        <f>IF(AL539=0,0,AN539/AL539)</f>
        <v>9.438375029610975E-2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1116" t="str">
        <f t="shared" si="97"/>
        <v>Loyer</v>
      </c>
      <c r="B540" s="3"/>
      <c r="C540" s="1184"/>
      <c r="D540" s="35"/>
      <c r="E540" s="35"/>
      <c r="F540" s="35"/>
      <c r="G540" s="35"/>
      <c r="H540" s="35"/>
      <c r="I540" s="35"/>
      <c r="J540" s="35"/>
      <c r="K540" s="35"/>
      <c r="L540" s="35"/>
      <c r="M540" s="35"/>
      <c r="N540" s="35"/>
      <c r="O540" s="35"/>
      <c r="P540" s="35"/>
      <c r="Q540" s="35"/>
      <c r="R540" s="35"/>
      <c r="S540" s="35"/>
      <c r="T540" s="35"/>
      <c r="U540" s="35"/>
      <c r="V540" s="992" t="s">
        <v>201</v>
      </c>
      <c r="W540" s="405" t="s">
        <v>626</v>
      </c>
      <c r="X540" s="398"/>
      <c r="Y540" s="406"/>
      <c r="Z540" s="399">
        <v>0</v>
      </c>
      <c r="AA540" s="398"/>
      <c r="AB540" s="406">
        <f t="shared" ref="AB540:AB549" si="100">IF(AC540=0,0,AC540/(G$13+G$97))</f>
        <v>0</v>
      </c>
      <c r="AC540" s="399">
        <v>0</v>
      </c>
      <c r="AD540" s="1201"/>
      <c r="AE540" s="406"/>
      <c r="AF540" s="399">
        <v>233252</v>
      </c>
      <c r="AG540" s="704"/>
      <c r="AH540" s="401">
        <f t="shared" ref="AH540:AH548" si="101">AF540-Z540</f>
        <v>233252</v>
      </c>
      <c r="AI540" s="402">
        <f t="shared" ref="AI540:AI548" si="102">IF(Z540=0,0,AH540/Z540)</f>
        <v>0</v>
      </c>
      <c r="AJ540" s="1201"/>
      <c r="AK540" s="406"/>
      <c r="AL540" s="399">
        <v>312150.5</v>
      </c>
      <c r="AM540" s="403"/>
      <c r="AN540" s="401">
        <f>AF540-AL540</f>
        <v>-78898.5</v>
      </c>
      <c r="AO540" s="1012">
        <f t="shared" ref="AO540:AO548" si="103">IF(AL540=0,0,AN540/AL540)</f>
        <v>-0.25275788441793301</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1116" t="str">
        <f t="shared" si="97"/>
        <v>Taxes foncières</v>
      </c>
      <c r="B541" s="3"/>
      <c r="C541" s="1184"/>
      <c r="D541" s="35"/>
      <c r="E541" s="35"/>
      <c r="F541" s="35"/>
      <c r="G541" s="35"/>
      <c r="H541" s="35"/>
      <c r="I541" s="35"/>
      <c r="J541" s="35"/>
      <c r="K541" s="35"/>
      <c r="L541" s="35"/>
      <c r="M541" s="35"/>
      <c r="N541" s="35"/>
      <c r="O541" s="35"/>
      <c r="P541" s="35"/>
      <c r="Q541" s="35"/>
      <c r="R541" s="35"/>
      <c r="S541" s="35"/>
      <c r="T541" s="35"/>
      <c r="U541" s="35"/>
      <c r="V541" s="992" t="s">
        <v>202</v>
      </c>
      <c r="W541" s="405" t="s">
        <v>627</v>
      </c>
      <c r="X541" s="398"/>
      <c r="Y541" s="406"/>
      <c r="Z541" s="399">
        <v>0</v>
      </c>
      <c r="AA541" s="398"/>
      <c r="AB541" s="406">
        <f t="shared" si="100"/>
        <v>0</v>
      </c>
      <c r="AC541" s="399">
        <v>0</v>
      </c>
      <c r="AD541" s="1201"/>
      <c r="AE541" s="406"/>
      <c r="AF541" s="399">
        <v>22050</v>
      </c>
      <c r="AG541" s="704"/>
      <c r="AH541" s="401">
        <f t="shared" si="101"/>
        <v>22050</v>
      </c>
      <c r="AI541" s="402">
        <f t="shared" si="102"/>
        <v>0</v>
      </c>
      <c r="AJ541" s="1201"/>
      <c r="AK541" s="406"/>
      <c r="AL541" s="399">
        <v>13674</v>
      </c>
      <c r="AM541" s="403"/>
      <c r="AN541" s="401">
        <f t="shared" ref="AN541:AN548" si="104">AF541-AL541</f>
        <v>8376</v>
      </c>
      <c r="AO541" s="1012">
        <f t="shared" si="103"/>
        <v>0.6125493637560333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1116" t="str">
        <f t="shared" si="97"/>
        <v>Taxes d`affaires</v>
      </c>
      <c r="B542" s="3"/>
      <c r="C542" s="1184"/>
      <c r="D542" s="35"/>
      <c r="E542" s="35"/>
      <c r="F542" s="35"/>
      <c r="G542" s="35"/>
      <c r="H542" s="35"/>
      <c r="I542" s="35"/>
      <c r="J542" s="35"/>
      <c r="K542" s="35"/>
      <c r="L542" s="35"/>
      <c r="M542" s="35"/>
      <c r="N542" s="35"/>
      <c r="O542" s="35"/>
      <c r="P542" s="35"/>
      <c r="Q542" s="35"/>
      <c r="R542" s="35"/>
      <c r="S542" s="35"/>
      <c r="T542" s="35"/>
      <c r="U542" s="35"/>
      <c r="V542" s="299" t="s">
        <v>203</v>
      </c>
      <c r="W542" s="1202" t="s">
        <v>628</v>
      </c>
      <c r="X542" s="1191"/>
      <c r="Y542" s="1203"/>
      <c r="Z542" s="1192">
        <v>0</v>
      </c>
      <c r="AA542" s="1191"/>
      <c r="AB542" s="1203">
        <f t="shared" si="100"/>
        <v>0</v>
      </c>
      <c r="AC542" s="1192">
        <v>0</v>
      </c>
      <c r="AD542" s="1204"/>
      <c r="AE542" s="1203"/>
      <c r="AF542" s="1192">
        <v>44182.83</v>
      </c>
      <c r="AG542" s="1193"/>
      <c r="AH542" s="1194">
        <f t="shared" si="101"/>
        <v>44182.83</v>
      </c>
      <c r="AI542" s="1205">
        <f t="shared" si="102"/>
        <v>0</v>
      </c>
      <c r="AJ542" s="1204"/>
      <c r="AK542" s="1203"/>
      <c r="AL542" s="1192">
        <v>39907.519999999997</v>
      </c>
      <c r="AM542" s="1196"/>
      <c r="AN542" s="1194">
        <f t="shared" si="104"/>
        <v>4275.3100000000049</v>
      </c>
      <c r="AO542" s="1197">
        <f t="shared" si="103"/>
        <v>0.10713043556703111</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1116" t="str">
        <f t="shared" si="97"/>
        <v>Taxe sur le capital</v>
      </c>
      <c r="B543" s="3"/>
      <c r="C543" s="1184"/>
      <c r="D543" s="35"/>
      <c r="E543" s="35"/>
      <c r="F543" s="35"/>
      <c r="G543" s="35"/>
      <c r="H543" s="35"/>
      <c r="I543" s="35"/>
      <c r="J543" s="35"/>
      <c r="K543" s="35"/>
      <c r="L543" s="35"/>
      <c r="M543" s="35"/>
      <c r="N543" s="35"/>
      <c r="O543" s="35"/>
      <c r="P543" s="35"/>
      <c r="Q543" s="35"/>
      <c r="R543" s="35"/>
      <c r="S543" s="35"/>
      <c r="T543" s="35"/>
      <c r="U543" s="35"/>
      <c r="V543" s="992" t="s">
        <v>204</v>
      </c>
      <c r="W543" s="405"/>
      <c r="X543" s="398"/>
      <c r="Y543" s="406"/>
      <c r="Z543" s="399">
        <v>0</v>
      </c>
      <c r="AA543" s="398"/>
      <c r="AB543" s="406">
        <f t="shared" si="100"/>
        <v>0</v>
      </c>
      <c r="AC543" s="399">
        <v>0</v>
      </c>
      <c r="AD543" s="1201"/>
      <c r="AE543" s="406"/>
      <c r="AF543" s="399">
        <v>0</v>
      </c>
      <c r="AG543" s="704"/>
      <c r="AH543" s="401">
        <f t="shared" si="101"/>
        <v>0</v>
      </c>
      <c r="AI543" s="402">
        <f t="shared" si="102"/>
        <v>0</v>
      </c>
      <c r="AJ543" s="1201"/>
      <c r="AK543" s="406"/>
      <c r="AL543" s="399">
        <v>0</v>
      </c>
      <c r="AM543" s="403"/>
      <c r="AN543" s="401">
        <f t="shared" si="104"/>
        <v>0</v>
      </c>
      <c r="AO543" s="1012">
        <f t="shared" si="10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1116" t="str">
        <f t="shared" si="97"/>
        <v>Assurances</v>
      </c>
      <c r="B544" s="3"/>
      <c r="C544" s="1184"/>
      <c r="D544" s="35"/>
      <c r="E544" s="35"/>
      <c r="F544" s="35"/>
      <c r="G544" s="35"/>
      <c r="H544" s="35"/>
      <c r="I544" s="35"/>
      <c r="J544" s="35"/>
      <c r="K544" s="35"/>
      <c r="L544" s="35"/>
      <c r="M544" s="35"/>
      <c r="N544" s="35"/>
      <c r="O544" s="35"/>
      <c r="P544" s="35"/>
      <c r="Q544" s="35"/>
      <c r="R544" s="35"/>
      <c r="S544" s="35"/>
      <c r="T544" s="35"/>
      <c r="U544" s="35"/>
      <c r="V544" s="299" t="s">
        <v>205</v>
      </c>
      <c r="W544" s="1202" t="s">
        <v>629</v>
      </c>
      <c r="X544" s="1191"/>
      <c r="Y544" s="1203"/>
      <c r="Z544" s="1192">
        <v>0</v>
      </c>
      <c r="AA544" s="1191"/>
      <c r="AB544" s="1203">
        <f t="shared" si="100"/>
        <v>0</v>
      </c>
      <c r="AC544" s="1192">
        <v>0</v>
      </c>
      <c r="AD544" s="1204"/>
      <c r="AE544" s="1203"/>
      <c r="AF544" s="1192">
        <v>20198.260000000002</v>
      </c>
      <c r="AG544" s="1193"/>
      <c r="AH544" s="1194">
        <f t="shared" si="101"/>
        <v>20198.260000000002</v>
      </c>
      <c r="AI544" s="1205">
        <f t="shared" si="102"/>
        <v>0</v>
      </c>
      <c r="AJ544" s="1204"/>
      <c r="AK544" s="1203"/>
      <c r="AL544" s="1192">
        <v>39220.829999999994</v>
      </c>
      <c r="AM544" s="1196"/>
      <c r="AN544" s="1194">
        <f t="shared" si="104"/>
        <v>-19022.569999999992</v>
      </c>
      <c r="AO544" s="1197">
        <f t="shared" si="103"/>
        <v>-0.48501191841172142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1116" t="str">
        <f t="shared" si="97"/>
        <v>Chauffage, éclairage</v>
      </c>
      <c r="B545" s="3"/>
      <c r="C545" s="1184"/>
      <c r="D545" s="35"/>
      <c r="E545" s="35"/>
      <c r="F545" s="35"/>
      <c r="G545" s="35"/>
      <c r="H545" s="35"/>
      <c r="I545" s="35"/>
      <c r="J545" s="35"/>
      <c r="K545" s="35"/>
      <c r="L545" s="35"/>
      <c r="M545" s="35"/>
      <c r="N545" s="35"/>
      <c r="O545" s="35"/>
      <c r="P545" s="35"/>
      <c r="Q545" s="35"/>
      <c r="R545" s="35"/>
      <c r="S545" s="35"/>
      <c r="T545" s="35"/>
      <c r="U545" s="35"/>
      <c r="V545" s="992" t="s">
        <v>206</v>
      </c>
      <c r="W545" s="405" t="s">
        <v>630</v>
      </c>
      <c r="X545" s="437"/>
      <c r="Y545" s="438"/>
      <c r="Z545" s="399">
        <v>0</v>
      </c>
      <c r="AA545" s="437"/>
      <c r="AB545" s="438">
        <f t="shared" si="100"/>
        <v>0</v>
      </c>
      <c r="AC545" s="399">
        <v>0</v>
      </c>
      <c r="AD545" s="1201"/>
      <c r="AE545" s="406"/>
      <c r="AF545" s="399">
        <v>33300</v>
      </c>
      <c r="AG545" s="704"/>
      <c r="AH545" s="401">
        <f t="shared" si="101"/>
        <v>33300</v>
      </c>
      <c r="AI545" s="402">
        <f t="shared" si="102"/>
        <v>0</v>
      </c>
      <c r="AJ545" s="1201"/>
      <c r="AK545" s="406"/>
      <c r="AL545" s="399">
        <v>21249.31</v>
      </c>
      <c r="AM545" s="403"/>
      <c r="AN545" s="401">
        <f t="shared" si="104"/>
        <v>12050.689999999999</v>
      </c>
      <c r="AO545" s="1012">
        <f t="shared" si="103"/>
        <v>0.56710970850347597</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1116" t="str">
        <f t="shared" si="97"/>
        <v>Honoraires</v>
      </c>
      <c r="B546" s="3"/>
      <c r="C546" s="1184"/>
      <c r="D546" s="35"/>
      <c r="E546" s="35"/>
      <c r="F546" s="35"/>
      <c r="G546" s="35"/>
      <c r="H546" s="35"/>
      <c r="I546" s="35"/>
      <c r="J546" s="35"/>
      <c r="K546" s="35"/>
      <c r="L546" s="35"/>
      <c r="M546" s="35"/>
      <c r="N546" s="35"/>
      <c r="O546" s="35"/>
      <c r="P546" s="35"/>
      <c r="Q546" s="35"/>
      <c r="R546" s="35"/>
      <c r="S546" s="35"/>
      <c r="T546" s="35"/>
      <c r="U546" s="35"/>
      <c r="V546" s="992" t="s">
        <v>207</v>
      </c>
      <c r="W546" s="405" t="s">
        <v>631</v>
      </c>
      <c r="X546" s="398"/>
      <c r="Y546" s="406"/>
      <c r="Z546" s="399">
        <v>0</v>
      </c>
      <c r="AA546" s="398"/>
      <c r="AB546" s="406">
        <f t="shared" si="100"/>
        <v>0</v>
      </c>
      <c r="AC546" s="399">
        <v>0</v>
      </c>
      <c r="AD546" s="1201"/>
      <c r="AE546" s="406"/>
      <c r="AF546" s="399">
        <v>13716.8</v>
      </c>
      <c r="AG546" s="704"/>
      <c r="AH546" s="401">
        <f t="shared" si="101"/>
        <v>13716.8</v>
      </c>
      <c r="AI546" s="402">
        <f t="shared" si="102"/>
        <v>0</v>
      </c>
      <c r="AJ546" s="1201"/>
      <c r="AK546" s="406"/>
      <c r="AL546" s="399">
        <v>5398.25</v>
      </c>
      <c r="AM546" s="403"/>
      <c r="AN546" s="401">
        <f t="shared" si="104"/>
        <v>8318.5499999999993</v>
      </c>
      <c r="AO546" s="1012">
        <f t="shared" si="103"/>
        <v>1.5409716111702865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1116" t="str">
        <f t="shared" si="97"/>
        <v>Réparation équipement</v>
      </c>
      <c r="B547" s="3"/>
      <c r="C547" s="1184"/>
      <c r="D547" s="35"/>
      <c r="E547" s="35"/>
      <c r="F547" s="35"/>
      <c r="G547" s="35"/>
      <c r="H547" s="35"/>
      <c r="I547" s="35"/>
      <c r="J547" s="35"/>
      <c r="K547" s="35"/>
      <c r="L547" s="35"/>
      <c r="M547" s="35"/>
      <c r="N547" s="35"/>
      <c r="O547" s="35"/>
      <c r="P547" s="35"/>
      <c r="Q547" s="35"/>
      <c r="R547" s="35"/>
      <c r="S547" s="35"/>
      <c r="T547" s="35"/>
      <c r="U547" s="35"/>
      <c r="V547" s="299" t="s">
        <v>208</v>
      </c>
      <c r="W547" s="1202" t="s">
        <v>632</v>
      </c>
      <c r="X547" s="1191"/>
      <c r="Y547" s="1203"/>
      <c r="Z547" s="1192">
        <v>0</v>
      </c>
      <c r="AA547" s="1191"/>
      <c r="AB547" s="1203">
        <f t="shared" si="100"/>
        <v>0</v>
      </c>
      <c r="AC547" s="1192">
        <v>0</v>
      </c>
      <c r="AD547" s="1204"/>
      <c r="AE547" s="1203"/>
      <c r="AF547" s="1192">
        <v>6562.27</v>
      </c>
      <c r="AG547" s="1193"/>
      <c r="AH547" s="1194">
        <f t="shared" si="101"/>
        <v>6562.27</v>
      </c>
      <c r="AI547" s="1205">
        <f t="shared" si="102"/>
        <v>0</v>
      </c>
      <c r="AJ547" s="1204"/>
      <c r="AK547" s="1203"/>
      <c r="AL547" s="1192">
        <v>15044.02</v>
      </c>
      <c r="AM547" s="1196"/>
      <c r="AN547" s="1194">
        <f t="shared" si="104"/>
        <v>-8481.75</v>
      </c>
      <c r="AO547" s="1197">
        <f t="shared" si="103"/>
        <v>-0.56379544829108175</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1116" t="str">
        <f t="shared" si="97"/>
        <v>Location équipement</v>
      </c>
      <c r="B548" s="3"/>
      <c r="C548" s="1184"/>
      <c r="D548" s="35"/>
      <c r="E548" s="35"/>
      <c r="F548" s="35"/>
      <c r="G548" s="35"/>
      <c r="H548" s="35"/>
      <c r="I548" s="35"/>
      <c r="J548" s="35"/>
      <c r="K548" s="35"/>
      <c r="L548" s="35"/>
      <c r="M548" s="35"/>
      <c r="N548" s="35"/>
      <c r="O548" s="35"/>
      <c r="P548" s="35"/>
      <c r="Q548" s="35"/>
      <c r="R548" s="35"/>
      <c r="S548" s="35"/>
      <c r="T548" s="35"/>
      <c r="U548" s="1218"/>
      <c r="V548" s="992" t="s">
        <v>209</v>
      </c>
      <c r="W548" s="405" t="s">
        <v>633</v>
      </c>
      <c r="X548" s="398"/>
      <c r="Y548" s="406"/>
      <c r="Z548" s="399">
        <v>0</v>
      </c>
      <c r="AA548" s="398"/>
      <c r="AB548" s="406">
        <f t="shared" si="100"/>
        <v>0</v>
      </c>
      <c r="AC548" s="399">
        <v>0</v>
      </c>
      <c r="AD548" s="1201"/>
      <c r="AE548" s="406"/>
      <c r="AF548" s="399">
        <v>1964.28</v>
      </c>
      <c r="AG548" s="704"/>
      <c r="AH548" s="401">
        <f t="shared" si="101"/>
        <v>1964.28</v>
      </c>
      <c r="AI548" s="1219">
        <f t="shared" si="102"/>
        <v>0</v>
      </c>
      <c r="AJ548" s="1201"/>
      <c r="AK548" s="406"/>
      <c r="AL548" s="399">
        <v>2053.1100000000006</v>
      </c>
      <c r="AM548" s="403"/>
      <c r="AN548" s="401">
        <f t="shared" si="104"/>
        <v>-88.830000000000609</v>
      </c>
      <c r="AO548" s="1012">
        <f t="shared" si="103"/>
        <v>-4.3266069523795893E-2</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1116" t="str">
        <f t="shared" si="97"/>
        <v>Dons</v>
      </c>
      <c r="B549" s="3"/>
      <c r="C549" s="1184"/>
      <c r="D549" s="35"/>
      <c r="E549" s="35"/>
      <c r="F549" s="35"/>
      <c r="G549" s="35"/>
      <c r="H549" s="35"/>
      <c r="I549" s="35"/>
      <c r="J549" s="35"/>
      <c r="K549" s="35"/>
      <c r="L549" s="35"/>
      <c r="M549" s="35"/>
      <c r="N549" s="35"/>
      <c r="O549" s="35"/>
      <c r="P549" s="35"/>
      <c r="Q549" s="35"/>
      <c r="R549" s="35"/>
      <c r="S549" s="35"/>
      <c r="T549" s="35"/>
      <c r="U549" s="1218"/>
      <c r="V549" s="992" t="s">
        <v>210</v>
      </c>
      <c r="W549" s="405" t="s">
        <v>634</v>
      </c>
      <c r="X549" s="398"/>
      <c r="Y549" s="406"/>
      <c r="Z549" s="399">
        <v>0</v>
      </c>
      <c r="AA549" s="398"/>
      <c r="AB549" s="406">
        <f t="shared" si="100"/>
        <v>0</v>
      </c>
      <c r="AC549" s="399">
        <v>0</v>
      </c>
      <c r="AD549" s="1201"/>
      <c r="AE549" s="406"/>
      <c r="AF549" s="399">
        <v>0</v>
      </c>
      <c r="AG549" s="704"/>
      <c r="AH549" s="401">
        <v>0</v>
      </c>
      <c r="AI549" s="420">
        <v>0</v>
      </c>
      <c r="AJ549" s="1201"/>
      <c r="AK549" s="406"/>
      <c r="AL549" s="399">
        <v>0</v>
      </c>
      <c r="AM549" s="403"/>
      <c r="AN549" s="401">
        <v>0</v>
      </c>
      <c r="AO549" s="1012">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1116" t="str">
        <f t="shared" si="97"/>
        <v>[...]</v>
      </c>
      <c r="B550" s="3"/>
      <c r="C550" s="1184"/>
      <c r="D550" s="35"/>
      <c r="E550" s="35"/>
      <c r="F550" s="35"/>
      <c r="G550" s="35"/>
      <c r="H550" s="35"/>
      <c r="I550" s="35"/>
      <c r="J550" s="35"/>
      <c r="K550" s="35"/>
      <c r="L550" s="35"/>
      <c r="M550" s="35"/>
      <c r="N550" s="35"/>
      <c r="O550" s="35"/>
      <c r="P550" s="35"/>
      <c r="Q550" s="35"/>
      <c r="R550" s="35"/>
      <c r="S550" s="35"/>
      <c r="T550" s="35"/>
      <c r="U550" s="1218"/>
      <c r="V550" s="992" t="s">
        <v>55</v>
      </c>
      <c r="W550" s="405"/>
      <c r="X550" s="398"/>
      <c r="Y550" s="406"/>
      <c r="Z550" s="399">
        <v>0</v>
      </c>
      <c r="AA550" s="398"/>
      <c r="AB550" s="398"/>
      <c r="AC550" s="399">
        <v>0</v>
      </c>
      <c r="AD550" s="1201"/>
      <c r="AE550" s="406"/>
      <c r="AF550" s="399">
        <v>0</v>
      </c>
      <c r="AG550" s="704"/>
      <c r="AH550" s="401">
        <f>AF550-Z550</f>
        <v>0</v>
      </c>
      <c r="AI550" s="402">
        <f>IF(Z550=0,0,AH550/Z550)</f>
        <v>0</v>
      </c>
      <c r="AJ550" s="1201"/>
      <c r="AK550" s="406"/>
      <c r="AL550" s="399">
        <v>0</v>
      </c>
      <c r="AM550" s="403"/>
      <c r="AN550" s="401">
        <v>0</v>
      </c>
      <c r="AO550" s="1012">
        <v>1</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1116" t="str">
        <f t="shared" si="97"/>
        <v>[...]</v>
      </c>
      <c r="B551" s="3"/>
      <c r="C551" s="1184"/>
      <c r="D551" s="35"/>
      <c r="E551" s="35"/>
      <c r="F551" s="35"/>
      <c r="G551" s="35"/>
      <c r="H551" s="35"/>
      <c r="I551" s="35"/>
      <c r="J551" s="35"/>
      <c r="K551" s="35"/>
      <c r="L551" s="35"/>
      <c r="M551" s="35"/>
      <c r="N551" s="35"/>
      <c r="O551" s="35"/>
      <c r="P551" s="35"/>
      <c r="Q551" s="35"/>
      <c r="R551" s="35"/>
      <c r="S551" s="35"/>
      <c r="T551" s="35"/>
      <c r="U551" s="1218"/>
      <c r="V551" s="992" t="s">
        <v>55</v>
      </c>
      <c r="W551" s="405"/>
      <c r="X551" s="398"/>
      <c r="Y551" s="406"/>
      <c r="Z551" s="399">
        <v>0</v>
      </c>
      <c r="AA551" s="398"/>
      <c r="AB551" s="398"/>
      <c r="AC551" s="399">
        <v>0</v>
      </c>
      <c r="AD551" s="1201"/>
      <c r="AE551" s="406"/>
      <c r="AF551" s="399">
        <v>0</v>
      </c>
      <c r="AG551" s="704"/>
      <c r="AH551" s="401">
        <f>AF551-Z551</f>
        <v>0</v>
      </c>
      <c r="AI551" s="402">
        <f>IF(Z551=0,0,AH551/Z551)</f>
        <v>0</v>
      </c>
      <c r="AJ551" s="1201"/>
      <c r="AK551" s="406"/>
      <c r="AL551" s="399">
        <v>0</v>
      </c>
      <c r="AM551" s="403"/>
      <c r="AN551" s="401">
        <v>0</v>
      </c>
      <c r="AO551" s="1012">
        <v>2</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1116" t="str">
        <f t="shared" si="97"/>
        <v>[...]</v>
      </c>
      <c r="B552" s="3"/>
      <c r="C552" s="1184"/>
      <c r="D552" s="35"/>
      <c r="E552" s="35"/>
      <c r="F552" s="35"/>
      <c r="G552" s="35"/>
      <c r="H552" s="35"/>
      <c r="I552" s="35"/>
      <c r="J552" s="35"/>
      <c r="K552" s="35"/>
      <c r="L552" s="35"/>
      <c r="M552" s="35"/>
      <c r="N552" s="35"/>
      <c r="O552" s="35"/>
      <c r="P552" s="35"/>
      <c r="Q552" s="35"/>
      <c r="R552" s="35"/>
      <c r="S552" s="35"/>
      <c r="T552" s="35"/>
      <c r="U552" s="35"/>
      <c r="V552" s="992" t="s">
        <v>55</v>
      </c>
      <c r="W552" s="405"/>
      <c r="X552" s="398"/>
      <c r="Y552" s="406"/>
      <c r="Z552" s="399">
        <v>0</v>
      </c>
      <c r="AA552" s="398"/>
      <c r="AB552" s="398"/>
      <c r="AC552" s="399">
        <v>0</v>
      </c>
      <c r="AD552" s="1201"/>
      <c r="AE552" s="406"/>
      <c r="AF552" s="399">
        <v>0</v>
      </c>
      <c r="AG552" s="704"/>
      <c r="AH552" s="401">
        <f>AF552-Z552</f>
        <v>0</v>
      </c>
      <c r="AI552" s="402">
        <f>IF(Z552=0,0,AH552/Z552)</f>
        <v>0</v>
      </c>
      <c r="AJ552" s="1201"/>
      <c r="AK552" s="406"/>
      <c r="AL552" s="399">
        <v>0</v>
      </c>
      <c r="AM552" s="403"/>
      <c r="AN552" s="401">
        <v>0</v>
      </c>
      <c r="AO552" s="1012">
        <v>3</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1116" t="str">
        <f t="shared" si="97"/>
        <v>TOTAL DÉPENSES FIXES</v>
      </c>
      <c r="B553" s="3"/>
      <c r="C553" s="1184"/>
      <c r="D553" s="35"/>
      <c r="E553" s="35"/>
      <c r="F553" s="35"/>
      <c r="G553" s="35"/>
      <c r="H553" s="35"/>
      <c r="I553" s="35"/>
      <c r="J553" s="35"/>
      <c r="K553" s="35"/>
      <c r="L553" s="35"/>
      <c r="M553" s="35"/>
      <c r="N553" s="35"/>
      <c r="O553" s="35"/>
      <c r="P553" s="35"/>
      <c r="Q553" s="35"/>
      <c r="R553" s="35"/>
      <c r="S553" s="35"/>
      <c r="T553" s="35"/>
      <c r="U553" s="35"/>
      <c r="V553" s="413" t="s">
        <v>211</v>
      </c>
      <c r="W553" s="1206"/>
      <c r="X553" s="1207" t="e">
        <f>Z553/+Z494</f>
        <v>#REF!</v>
      </c>
      <c r="Y553" s="1206"/>
      <c r="Z553" s="416">
        <f>SUM(Z540:Z552)</f>
        <v>0</v>
      </c>
      <c r="AA553" s="1207" t="e">
        <f>AC553/+AC494</f>
        <v>#DIV/0!</v>
      </c>
      <c r="AB553" s="1206"/>
      <c r="AC553" s="416">
        <f>SUM(AC540:AC552)</f>
        <v>0</v>
      </c>
      <c r="AD553" s="417">
        <f>AF553/AF494</f>
        <v>0.14533116182356809</v>
      </c>
      <c r="AE553" s="1206"/>
      <c r="AF553" s="416">
        <f>SUM(AF540:AF552)</f>
        <v>375226.44000000006</v>
      </c>
      <c r="AG553" s="422"/>
      <c r="AH553" s="1216">
        <f>SUM(AH540:AH552)</f>
        <v>375226.44000000006</v>
      </c>
      <c r="AI553" s="1207">
        <f>IF(Z553=0,0,AH553/Z553)</f>
        <v>0</v>
      </c>
      <c r="AJ553" s="417">
        <f>IF($AL$407=0,0,AL553/$AL$407)</f>
        <v>0</v>
      </c>
      <c r="AK553" s="1206"/>
      <c r="AL553" s="416">
        <f>SUM(AL540:AL552)</f>
        <v>448697.54000000004</v>
      </c>
      <c r="AM553" s="423"/>
      <c r="AN553" s="1208">
        <f>SUM(AN540:AN552)</f>
        <v>-73471.099999999991</v>
      </c>
      <c r="AO553" s="1217">
        <f t="shared" ref="AO553:AO570" si="105">IF(AL553=0,0,AN553/AL553)</f>
        <v>-0.16374304169352027</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1116" t="str">
        <f t="shared" si="97"/>
        <v/>
      </c>
      <c r="B554" s="3"/>
      <c r="C554" s="1184"/>
      <c r="D554" s="35"/>
      <c r="E554" s="35"/>
      <c r="F554" s="35"/>
      <c r="G554" s="35"/>
      <c r="H554" s="35"/>
      <c r="I554" s="35"/>
      <c r="J554" s="35"/>
      <c r="K554" s="35"/>
      <c r="L554" s="35"/>
      <c r="M554" s="35"/>
      <c r="N554" s="35"/>
      <c r="O554" s="35"/>
      <c r="P554" s="35"/>
      <c r="Q554" s="35"/>
      <c r="R554" s="35"/>
      <c r="S554" s="35"/>
      <c r="T554" s="35"/>
      <c r="U554" s="35"/>
      <c r="V554" s="992"/>
      <c r="W554" s="398"/>
      <c r="X554" s="398"/>
      <c r="Y554" s="398"/>
      <c r="Z554" s="440"/>
      <c r="AA554" s="398"/>
      <c r="AB554" s="398"/>
      <c r="AC554" s="440"/>
      <c r="AD554" s="1201"/>
      <c r="AE554" s="398"/>
      <c r="AF554" s="399"/>
      <c r="AG554" s="1201"/>
      <c r="AH554" s="401">
        <f t="shared" ref="AH554:AH568" si="106">AF554-Z554</f>
        <v>0</v>
      </c>
      <c r="AI554" s="402"/>
      <c r="AJ554" s="1201"/>
      <c r="AK554" s="398"/>
      <c r="AL554" s="399"/>
      <c r="AM554" s="441"/>
      <c r="AN554" s="401">
        <f t="shared" ref="AN554:AN570" si="107">AF554-AL554</f>
        <v>0</v>
      </c>
      <c r="AO554" s="442">
        <f t="shared" si="105"/>
        <v>0</v>
      </c>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1116" t="str">
        <f t="shared" si="97"/>
        <v>TOTAL DES DÉPENSES</v>
      </c>
      <c r="B555" s="3"/>
      <c r="C555" s="1184"/>
      <c r="D555" s="35"/>
      <c r="E555" s="35"/>
      <c r="F555" s="35"/>
      <c r="G555" s="35"/>
      <c r="H555" s="35"/>
      <c r="I555" s="35"/>
      <c r="J555" s="35"/>
      <c r="K555" s="35"/>
      <c r="L555" s="35"/>
      <c r="M555" s="35"/>
      <c r="N555" s="35"/>
      <c r="O555" s="35"/>
      <c r="P555" s="35"/>
      <c r="Q555" s="35"/>
      <c r="R555" s="35"/>
      <c r="S555" s="35"/>
      <c r="T555" s="35"/>
      <c r="U555" s="35"/>
      <c r="V555" s="413" t="s">
        <v>140</v>
      </c>
      <c r="W555" s="1206"/>
      <c r="X555" s="1207" t="e">
        <f>Z555/+Z494</f>
        <v>#REF!</v>
      </c>
      <c r="Y555" s="1206"/>
      <c r="Z555" s="416">
        <f>Z506+Z520+Z539+Z553</f>
        <v>0</v>
      </c>
      <c r="AA555" s="1207" t="e">
        <f>AC555/+AC494</f>
        <v>#DIV/0!</v>
      </c>
      <c r="AB555" s="1206"/>
      <c r="AC555" s="416">
        <f>AC506+AC520+AC539+AC553</f>
        <v>0</v>
      </c>
      <c r="AD555" s="417">
        <f>AF555/AF494</f>
        <v>0.68620237267543993</v>
      </c>
      <c r="AE555" s="1206"/>
      <c r="AF555" s="416">
        <f>AF506+AF520+AF539+AF553</f>
        <v>1771686.6099999994</v>
      </c>
      <c r="AG555" s="422"/>
      <c r="AH555" s="1216">
        <f t="shared" si="106"/>
        <v>1771686.6099999994</v>
      </c>
      <c r="AI555" s="1207" t="e">
        <f>AH555/Z555</f>
        <v>#DIV/0!</v>
      </c>
      <c r="AJ555" s="417">
        <f>IF($AL$407=0,0,AL555/$AL$407)</f>
        <v>0</v>
      </c>
      <c r="AK555" s="1206"/>
      <c r="AL555" s="416">
        <f>AL506+AL520+AL539+AL553</f>
        <v>2344906.9400000004</v>
      </c>
      <c r="AM555" s="423"/>
      <c r="AN555" s="1208">
        <f t="shared" si="107"/>
        <v>-573220.33000000101</v>
      </c>
      <c r="AO555" s="396">
        <f t="shared" si="105"/>
        <v>-0.24445333851926801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1116" t="str">
        <f t="shared" si="97"/>
        <v>Revenus autres</v>
      </c>
      <c r="B556" s="3"/>
      <c r="C556" s="1184"/>
      <c r="D556" s="35"/>
      <c r="E556" s="35"/>
      <c r="F556" s="35"/>
      <c r="G556" s="35"/>
      <c r="H556" s="35"/>
      <c r="I556" s="35"/>
      <c r="J556" s="35"/>
      <c r="K556" s="35"/>
      <c r="L556" s="35"/>
      <c r="M556" s="35"/>
      <c r="N556" s="35"/>
      <c r="O556" s="35"/>
      <c r="P556" s="35"/>
      <c r="Q556" s="35"/>
      <c r="R556" s="35"/>
      <c r="S556" s="35"/>
      <c r="T556" s="35"/>
      <c r="U556" s="35"/>
      <c r="V556" s="992" t="s">
        <v>212</v>
      </c>
      <c r="W556" s="438"/>
      <c r="X556" s="438"/>
      <c r="Y556" s="398"/>
      <c r="Z556" s="1211">
        <v>0</v>
      </c>
      <c r="AA556" s="443"/>
      <c r="AB556" s="444">
        <f t="shared" ref="AB556:AB564" si="108">IF(AC556=0,0,AC556/(G$13+G$97))</f>
        <v>0</v>
      </c>
      <c r="AC556" s="1211">
        <v>0</v>
      </c>
      <c r="AD556" s="1220"/>
      <c r="AE556" s="444"/>
      <c r="AF556" s="1211">
        <v>-16039.360000000008</v>
      </c>
      <c r="AG556" s="1221"/>
      <c r="AH556" s="401">
        <f t="shared" si="106"/>
        <v>-16039.360000000008</v>
      </c>
      <c r="AI556" s="1219" t="e">
        <f>IF(AH556=0,0,AH556/Z556)</f>
        <v>#DIV/0!</v>
      </c>
      <c r="AJ556" s="1220"/>
      <c r="AK556" s="444"/>
      <c r="AL556" s="1211">
        <v>160742.47999999998</v>
      </c>
      <c r="AM556" s="447"/>
      <c r="AN556" s="401">
        <f t="shared" si="107"/>
        <v>-176781.84</v>
      </c>
      <c r="AO556" s="1012">
        <f t="shared" si="105"/>
        <v>-1.0997829571871731</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1116" t="str">
        <f t="shared" si="97"/>
        <v>Holdbacks</v>
      </c>
      <c r="B557" s="3"/>
      <c r="C557" s="1184"/>
      <c r="D557" s="35"/>
      <c r="E557" s="35"/>
      <c r="F557" s="35"/>
      <c r="G557" s="35"/>
      <c r="H557" s="35"/>
      <c r="I557" s="35"/>
      <c r="J557" s="35"/>
      <c r="K557" s="35"/>
      <c r="L557" s="35"/>
      <c r="M557" s="35"/>
      <c r="N557" s="35"/>
      <c r="O557" s="35"/>
      <c r="P557" s="35"/>
      <c r="Q557" s="35"/>
      <c r="R557" s="35"/>
      <c r="S557" s="35"/>
      <c r="T557" s="35"/>
      <c r="U557" s="35"/>
      <c r="V557" s="992" t="s">
        <v>144</v>
      </c>
      <c r="W557" s="398"/>
      <c r="X557" s="398"/>
      <c r="Y557" s="398"/>
      <c r="Z557" s="399">
        <v>0</v>
      </c>
      <c r="AA557" s="437"/>
      <c r="AB557" s="401">
        <f t="shared" si="108"/>
        <v>0</v>
      </c>
      <c r="AC557" s="399">
        <v>0</v>
      </c>
      <c r="AD557" s="448"/>
      <c r="AE557" s="449"/>
      <c r="AF557" s="399">
        <v>0</v>
      </c>
      <c r="AG557" s="1222"/>
      <c r="AH557" s="401">
        <f t="shared" si="106"/>
        <v>0</v>
      </c>
      <c r="AI557" s="420">
        <f>IF(Z557=0,0,AH557/Z557)</f>
        <v>0</v>
      </c>
      <c r="AJ557" s="448"/>
      <c r="AK557" s="449"/>
      <c r="AL557" s="399">
        <v>0</v>
      </c>
      <c r="AM557" s="448"/>
      <c r="AN557" s="401">
        <f t="shared" si="107"/>
        <v>0</v>
      </c>
      <c r="AO557" s="1012">
        <f t="shared" si="105"/>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1116" t="str">
        <f t="shared" si="97"/>
        <v>RBSC neuf</v>
      </c>
      <c r="B558" s="3"/>
      <c r="C558" s="1184"/>
      <c r="D558" s="35"/>
      <c r="E558" s="35"/>
      <c r="F558" s="35"/>
      <c r="G558" s="35"/>
      <c r="H558" s="35"/>
      <c r="I558" s="35"/>
      <c r="J558" s="35"/>
      <c r="K558" s="35"/>
      <c r="L558" s="35"/>
      <c r="M558" s="35"/>
      <c r="N558" s="35"/>
      <c r="O558" s="35"/>
      <c r="P558" s="35"/>
      <c r="Q558" s="35"/>
      <c r="R558" s="35"/>
      <c r="S558" s="35"/>
      <c r="T558" s="35"/>
      <c r="U558" s="35"/>
      <c r="V558" s="992" t="s">
        <v>3378</v>
      </c>
      <c r="W558" s="398"/>
      <c r="X558" s="398"/>
      <c r="Y558" s="398"/>
      <c r="Z558" s="399">
        <v>0</v>
      </c>
      <c r="AA558" s="437"/>
      <c r="AB558" s="438">
        <f t="shared" si="108"/>
        <v>0</v>
      </c>
      <c r="AC558" s="399">
        <v>0</v>
      </c>
      <c r="AD558" s="1223"/>
      <c r="AF558" s="399">
        <v>64325.369999999995</v>
      </c>
      <c r="AG558" s="1222"/>
      <c r="AH558" s="401">
        <f t="shared" si="106"/>
        <v>64325.369999999995</v>
      </c>
      <c r="AI558" s="420" t="e">
        <f t="shared" ref="AI558:AI567" si="109">IF(AH558=0,0,AH558/Z558)</f>
        <v>#DIV/0!</v>
      </c>
      <c r="AJ558" s="1223"/>
      <c r="AL558" s="399">
        <v>107656.29999999999</v>
      </c>
      <c r="AM558" s="448"/>
      <c r="AN558" s="401">
        <f t="shared" si="107"/>
        <v>-43330.929999999993</v>
      </c>
      <c r="AO558" s="1012">
        <f t="shared" si="105"/>
        <v>-0.4024932121947345</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1116" t="str">
        <f t="shared" si="97"/>
        <v>Programme neuf 2</v>
      </c>
      <c r="B559" s="3"/>
      <c r="C559" s="1184"/>
      <c r="D559" s="35"/>
      <c r="E559" s="35"/>
      <c r="F559" s="35"/>
      <c r="G559" s="35"/>
      <c r="H559" s="35"/>
      <c r="I559" s="35"/>
      <c r="J559" s="35"/>
      <c r="K559" s="35"/>
      <c r="L559" s="35"/>
      <c r="M559" s="35"/>
      <c r="N559" s="35"/>
      <c r="O559" s="35"/>
      <c r="P559" s="35"/>
      <c r="Q559" s="35"/>
      <c r="R559" s="35"/>
      <c r="S559" s="35"/>
      <c r="T559" s="35"/>
      <c r="U559" s="35"/>
      <c r="V559" s="992" t="s">
        <v>142</v>
      </c>
      <c r="W559" s="398"/>
      <c r="X559" s="398"/>
      <c r="Y559" s="398"/>
      <c r="Z559" s="399">
        <v>0</v>
      </c>
      <c r="AA559" s="437"/>
      <c r="AB559" s="438">
        <f t="shared" si="108"/>
        <v>0</v>
      </c>
      <c r="AC559" s="399">
        <v>0</v>
      </c>
      <c r="AD559" s="1223"/>
      <c r="AE559" s="438"/>
      <c r="AF559" s="399">
        <v>0</v>
      </c>
      <c r="AG559" s="1222"/>
      <c r="AH559" s="401">
        <f t="shared" si="106"/>
        <v>0</v>
      </c>
      <c r="AI559" s="420">
        <f t="shared" si="109"/>
        <v>0</v>
      </c>
      <c r="AJ559" s="1223"/>
      <c r="AK559" s="438"/>
      <c r="AL559" s="399">
        <v>0</v>
      </c>
      <c r="AM559" s="448"/>
      <c r="AN559" s="401">
        <f t="shared" si="107"/>
        <v>0</v>
      </c>
      <c r="AO559" s="1012">
        <f t="shared" si="105"/>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1116" t="str">
        <f t="shared" si="97"/>
        <v>Programme neuf 3</v>
      </c>
      <c r="B560" s="3"/>
      <c r="C560" s="1184"/>
      <c r="D560" s="35"/>
      <c r="E560" s="35"/>
      <c r="F560" s="35"/>
      <c r="G560" s="35"/>
      <c r="H560" s="35"/>
      <c r="I560" s="35"/>
      <c r="J560" s="35"/>
      <c r="K560" s="35"/>
      <c r="L560" s="35"/>
      <c r="M560" s="35"/>
      <c r="N560" s="35"/>
      <c r="O560" s="35"/>
      <c r="P560" s="35"/>
      <c r="Q560" s="35"/>
      <c r="R560" s="35"/>
      <c r="S560" s="35"/>
      <c r="T560" s="35"/>
      <c r="U560" s="35"/>
      <c r="V560" s="992" t="s">
        <v>143</v>
      </c>
      <c r="W560" s="398"/>
      <c r="X560" s="398"/>
      <c r="Y560" s="398"/>
      <c r="Z560" s="399">
        <v>0</v>
      </c>
      <c r="AA560" s="437"/>
      <c r="AB560" s="438">
        <f t="shared" si="108"/>
        <v>0</v>
      </c>
      <c r="AC560" s="399">
        <v>0</v>
      </c>
      <c r="AD560" s="1223"/>
      <c r="AE560" s="438"/>
      <c r="AF560" s="399">
        <v>0</v>
      </c>
      <c r="AG560" s="1222"/>
      <c r="AH560" s="401">
        <f t="shared" si="106"/>
        <v>0</v>
      </c>
      <c r="AI560" s="420">
        <f t="shared" si="109"/>
        <v>0</v>
      </c>
      <c r="AJ560" s="1223"/>
      <c r="AK560" s="438"/>
      <c r="AL560" s="399">
        <v>0</v>
      </c>
      <c r="AM560" s="448"/>
      <c r="AN560" s="401">
        <f t="shared" si="107"/>
        <v>0</v>
      </c>
      <c r="AO560" s="1012">
        <f t="shared" si="105"/>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1116" t="str">
        <f t="shared" si="97"/>
        <v>RBSC used</v>
      </c>
      <c r="B561" s="3"/>
      <c r="C561" s="1184"/>
      <c r="D561" s="35"/>
      <c r="E561" s="35"/>
      <c r="F561" s="35"/>
      <c r="G561" s="35"/>
      <c r="H561" s="35"/>
      <c r="I561" s="35"/>
      <c r="J561" s="35"/>
      <c r="K561" s="35"/>
      <c r="L561" s="35"/>
      <c r="M561" s="35"/>
      <c r="N561" s="35"/>
      <c r="O561" s="35"/>
      <c r="P561" s="35"/>
      <c r="Q561" s="35"/>
      <c r="R561" s="35"/>
      <c r="S561" s="35"/>
      <c r="T561" s="35"/>
      <c r="U561" s="35"/>
      <c r="V561" s="992" t="s">
        <v>3381</v>
      </c>
      <c r="W561" s="398"/>
      <c r="X561" s="398"/>
      <c r="Y561" s="398"/>
      <c r="Z561" s="399">
        <v>0</v>
      </c>
      <c r="AA561" s="437"/>
      <c r="AB561" s="438">
        <f t="shared" si="108"/>
        <v>0</v>
      </c>
      <c r="AC561" s="399">
        <v>0</v>
      </c>
      <c r="AD561" s="1223"/>
      <c r="AE561" s="438"/>
      <c r="AF561" s="399">
        <v>0</v>
      </c>
      <c r="AG561" s="1222"/>
      <c r="AH561" s="401">
        <f t="shared" si="106"/>
        <v>0</v>
      </c>
      <c r="AI561" s="420">
        <f t="shared" si="109"/>
        <v>0</v>
      </c>
      <c r="AJ561" s="1223"/>
      <c r="AK561" s="438"/>
      <c r="AL561" s="399">
        <v>0</v>
      </c>
      <c r="AM561" s="448"/>
      <c r="AN561" s="401">
        <f t="shared" si="107"/>
        <v>0</v>
      </c>
      <c r="AO561" s="1012">
        <f t="shared" si="105"/>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1116" t="str">
        <f t="shared" si="97"/>
        <v>Programme 360</v>
      </c>
      <c r="B562" s="3"/>
      <c r="C562" s="1184"/>
      <c r="D562" s="35"/>
      <c r="E562" s="35"/>
      <c r="F562" s="35"/>
      <c r="G562" s="35"/>
      <c r="H562" s="35"/>
      <c r="I562" s="35"/>
      <c r="J562" s="35"/>
      <c r="K562" s="35"/>
      <c r="L562" s="35"/>
      <c r="M562" s="35"/>
      <c r="N562" s="35"/>
      <c r="O562" s="35"/>
      <c r="P562" s="35"/>
      <c r="Q562" s="35"/>
      <c r="R562" s="35"/>
      <c r="S562" s="35"/>
      <c r="T562" s="35"/>
      <c r="U562" s="35"/>
      <c r="V562" s="992" t="s">
        <v>3382</v>
      </c>
      <c r="W562" s="398"/>
      <c r="X562" s="398"/>
      <c r="Y562" s="398"/>
      <c r="Z562" s="399">
        <v>0</v>
      </c>
      <c r="AA562" s="437"/>
      <c r="AB562" s="438">
        <f t="shared" si="108"/>
        <v>0</v>
      </c>
      <c r="AC562" s="399">
        <v>0</v>
      </c>
      <c r="AD562" s="1223"/>
      <c r="AE562" s="438"/>
      <c r="AF562" s="399">
        <v>0</v>
      </c>
      <c r="AG562" s="1222"/>
      <c r="AH562" s="401">
        <f t="shared" si="106"/>
        <v>0</v>
      </c>
      <c r="AI562" s="420">
        <f t="shared" si="109"/>
        <v>0</v>
      </c>
      <c r="AJ562" s="1223"/>
      <c r="AK562" s="438"/>
      <c r="AL562" s="399">
        <v>0</v>
      </c>
      <c r="AM562" s="448"/>
      <c r="AN562" s="401">
        <f t="shared" si="107"/>
        <v>0</v>
      </c>
      <c r="AO562" s="1012">
        <f t="shared" si="105"/>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1116" t="str">
        <f t="shared" si="97"/>
        <v>Programme used 3</v>
      </c>
      <c r="B563" s="3"/>
      <c r="C563" s="1184"/>
      <c r="D563" s="35"/>
      <c r="E563" s="35"/>
      <c r="F563" s="35"/>
      <c r="G563" s="35"/>
      <c r="H563" s="35"/>
      <c r="I563" s="35"/>
      <c r="J563" s="35"/>
      <c r="K563" s="35"/>
      <c r="L563" s="35"/>
      <c r="M563" s="35"/>
      <c r="N563" s="35"/>
      <c r="O563" s="35"/>
      <c r="P563" s="35"/>
      <c r="Q563" s="35"/>
      <c r="R563" s="35"/>
      <c r="S563" s="35"/>
      <c r="T563" s="35"/>
      <c r="U563" s="35"/>
      <c r="V563" s="992" t="s">
        <v>156</v>
      </c>
      <c r="W563" s="398"/>
      <c r="X563" s="398"/>
      <c r="Y563" s="398"/>
      <c r="Z563" s="399">
        <v>0</v>
      </c>
      <c r="AA563" s="437"/>
      <c r="AB563" s="438">
        <f t="shared" si="108"/>
        <v>0</v>
      </c>
      <c r="AC563" s="399">
        <v>0</v>
      </c>
      <c r="AD563" s="1223"/>
      <c r="AE563" s="438"/>
      <c r="AF563" s="399">
        <v>0</v>
      </c>
      <c r="AG563" s="1222"/>
      <c r="AH563" s="401">
        <f t="shared" si="106"/>
        <v>0</v>
      </c>
      <c r="AI563" s="420">
        <f t="shared" si="109"/>
        <v>0</v>
      </c>
      <c r="AJ563" s="1223"/>
      <c r="AK563" s="438"/>
      <c r="AL563" s="399">
        <v>0</v>
      </c>
      <c r="AM563" s="448"/>
      <c r="AN563" s="401">
        <f t="shared" si="107"/>
        <v>0</v>
      </c>
      <c r="AO563" s="1012">
        <f t="shared" si="105"/>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1116" t="str">
        <f t="shared" si="97"/>
        <v>Facility Fund</v>
      </c>
      <c r="B564" s="3"/>
      <c r="C564" s="1184"/>
      <c r="D564" s="35"/>
      <c r="E564" s="35"/>
      <c r="F564" s="35"/>
      <c r="G564" s="35"/>
      <c r="H564" s="35"/>
      <c r="I564" s="35"/>
      <c r="J564" s="35"/>
      <c r="K564" s="35"/>
      <c r="L564" s="35"/>
      <c r="M564" s="35"/>
      <c r="N564" s="35"/>
      <c r="O564" s="35"/>
      <c r="P564" s="35"/>
      <c r="Q564" s="35"/>
      <c r="R564" s="35"/>
      <c r="S564" s="35"/>
      <c r="T564" s="35"/>
      <c r="U564" s="35"/>
      <c r="V564" s="992" t="s">
        <v>3384</v>
      </c>
      <c r="W564" s="398"/>
      <c r="X564" s="398"/>
      <c r="Y564" s="398"/>
      <c r="Z564" s="399">
        <v>0</v>
      </c>
      <c r="AA564" s="398"/>
      <c r="AB564" s="398">
        <f t="shared" si="108"/>
        <v>0</v>
      </c>
      <c r="AC564" s="399">
        <v>0</v>
      </c>
      <c r="AD564" s="1201"/>
      <c r="AE564" s="406"/>
      <c r="AF564" s="399">
        <v>0</v>
      </c>
      <c r="AG564" s="704"/>
      <c r="AH564" s="401">
        <f t="shared" si="106"/>
        <v>0</v>
      </c>
      <c r="AI564" s="402">
        <f t="shared" si="109"/>
        <v>0</v>
      </c>
      <c r="AJ564" s="1201"/>
      <c r="AK564" s="406"/>
      <c r="AL564" s="399">
        <v>0</v>
      </c>
      <c r="AM564" s="448"/>
      <c r="AN564" s="401">
        <f t="shared" si="107"/>
        <v>0</v>
      </c>
      <c r="AO564" s="1012">
        <f t="shared" si="105"/>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1116" t="str">
        <f t="shared" si="97"/>
        <v>[...]</v>
      </c>
      <c r="B565" s="3"/>
      <c r="C565" s="1184"/>
      <c r="D565" s="35"/>
      <c r="E565" s="35"/>
      <c r="F565" s="35"/>
      <c r="G565" s="35"/>
      <c r="H565" s="35"/>
      <c r="I565" s="35"/>
      <c r="J565" s="35"/>
      <c r="K565" s="35"/>
      <c r="L565" s="35"/>
      <c r="M565" s="35"/>
      <c r="N565" s="35"/>
      <c r="O565" s="35"/>
      <c r="P565" s="35"/>
      <c r="Q565" s="35"/>
      <c r="R565" s="35"/>
      <c r="S565" s="35"/>
      <c r="T565" s="35"/>
      <c r="U565" s="35"/>
      <c r="V565" s="992" t="s">
        <v>55</v>
      </c>
      <c r="W565" s="398"/>
      <c r="X565" s="398"/>
      <c r="Y565" s="398"/>
      <c r="Z565" s="399">
        <v>0</v>
      </c>
      <c r="AA565" s="398"/>
      <c r="AB565" s="398">
        <f>IF(AC565=0,0,AC565/(G$13+G$97))</f>
        <v>0</v>
      </c>
      <c r="AC565" s="399">
        <v>0</v>
      </c>
      <c r="AD565" s="1201"/>
      <c r="AE565" s="406"/>
      <c r="AF565" s="399">
        <v>0</v>
      </c>
      <c r="AG565" s="704"/>
      <c r="AH565" s="401">
        <f t="shared" si="106"/>
        <v>0</v>
      </c>
      <c r="AI565" s="402">
        <f t="shared" si="109"/>
        <v>0</v>
      </c>
      <c r="AJ565" s="1201"/>
      <c r="AK565" s="406"/>
      <c r="AL565" s="399">
        <v>0</v>
      </c>
      <c r="AM565" s="448"/>
      <c r="AN565" s="401">
        <f t="shared" si="107"/>
        <v>0</v>
      </c>
      <c r="AO565" s="1012">
        <f t="shared" si="105"/>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1116" t="str">
        <f t="shared" si="97"/>
        <v>[...]</v>
      </c>
      <c r="B566" s="3"/>
      <c r="C566" s="1184"/>
      <c r="D566" s="35"/>
      <c r="E566" s="35"/>
      <c r="F566" s="35"/>
      <c r="G566" s="35"/>
      <c r="H566" s="35"/>
      <c r="I566" s="35"/>
      <c r="J566" s="35"/>
      <c r="K566" s="35"/>
      <c r="L566" s="35"/>
      <c r="M566" s="35"/>
      <c r="N566" s="35"/>
      <c r="O566" s="35"/>
      <c r="P566" s="35"/>
      <c r="Q566" s="35"/>
      <c r="R566" s="35"/>
      <c r="S566" s="35"/>
      <c r="T566" s="35"/>
      <c r="U566" s="35"/>
      <c r="V566" s="992" t="s">
        <v>55</v>
      </c>
      <c r="W566" s="398"/>
      <c r="X566" s="398"/>
      <c r="Y566" s="398"/>
      <c r="Z566" s="399">
        <v>0</v>
      </c>
      <c r="AA566" s="398"/>
      <c r="AB566" s="398">
        <f>IF(AC566=0,0,AC566/(G$13+G$97))</f>
        <v>0</v>
      </c>
      <c r="AC566" s="399">
        <v>0</v>
      </c>
      <c r="AD566" s="1201"/>
      <c r="AE566" s="406"/>
      <c r="AF566" s="399">
        <v>0</v>
      </c>
      <c r="AG566" s="704"/>
      <c r="AH566" s="401">
        <f t="shared" si="106"/>
        <v>0</v>
      </c>
      <c r="AI566" s="402">
        <f t="shared" si="109"/>
        <v>0</v>
      </c>
      <c r="AJ566" s="1201"/>
      <c r="AK566" s="406"/>
      <c r="AL566" s="399">
        <v>0</v>
      </c>
      <c r="AM566" s="448"/>
      <c r="AN566" s="401">
        <f t="shared" si="107"/>
        <v>0</v>
      </c>
      <c r="AO566" s="1012">
        <f t="shared" si="105"/>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1116" t="str">
        <f t="shared" si="97"/>
        <v>Frais administration</v>
      </c>
      <c r="B567" s="3"/>
      <c r="C567" s="1184"/>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v>0</v>
      </c>
      <c r="AA567" s="437"/>
      <c r="AB567" s="438">
        <f>IF(AC567=0,0,AC567/(G$13+G$97))</f>
        <v>0</v>
      </c>
      <c r="AC567" s="399">
        <v>0</v>
      </c>
      <c r="AD567" s="1224"/>
      <c r="AE567" s="437"/>
      <c r="AF567" s="399">
        <v>77318</v>
      </c>
      <c r="AG567" s="1222"/>
      <c r="AH567" s="401">
        <f t="shared" si="106"/>
        <v>77318</v>
      </c>
      <c r="AI567" s="420" t="e">
        <f t="shared" si="109"/>
        <v>#DIV/0!</v>
      </c>
      <c r="AJ567" s="1224"/>
      <c r="AK567" s="437"/>
      <c r="AL567" s="399">
        <v>0</v>
      </c>
      <c r="AM567" s="448"/>
      <c r="AN567" s="401">
        <f t="shared" si="107"/>
        <v>77318</v>
      </c>
      <c r="AO567" s="1012">
        <f t="shared" si="105"/>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1116" t="str">
        <f t="shared" si="97"/>
        <v>TOTAL AUTRES REVENUS</v>
      </c>
      <c r="B568" s="3"/>
      <c r="C568" s="1184"/>
      <c r="D568" s="35"/>
      <c r="E568" s="35"/>
      <c r="F568" s="35"/>
      <c r="G568" s="35"/>
      <c r="H568" s="35"/>
      <c r="I568" s="35"/>
      <c r="J568" s="35"/>
      <c r="K568" s="35"/>
      <c r="L568" s="35"/>
      <c r="M568" s="35"/>
      <c r="N568" s="35"/>
      <c r="O568" s="35"/>
      <c r="P568" s="35"/>
      <c r="Q568" s="35"/>
      <c r="R568" s="35"/>
      <c r="S568" s="35"/>
      <c r="T568" s="35"/>
      <c r="U568" s="35"/>
      <c r="V568" s="413" t="s">
        <v>213</v>
      </c>
      <c r="W568" s="1206"/>
      <c r="X568" s="1207" t="e">
        <f>Z568/+Z494</f>
        <v>#REF!</v>
      </c>
      <c r="Y568" s="1215"/>
      <c r="Z568" s="416">
        <f>SUM(Z556:Z567)</f>
        <v>0</v>
      </c>
      <c r="AA568" s="1207" t="e">
        <f>AC568/+AC494</f>
        <v>#DIV/0!</v>
      </c>
      <c r="AB568" s="1215"/>
      <c r="AC568" s="416">
        <f>SUM(AC556:AC567)</f>
        <v>0</v>
      </c>
      <c r="AD568" s="1207">
        <f>AF568/+AF494</f>
        <v>4.8648428674160214E-2</v>
      </c>
      <c r="AE568" s="1215"/>
      <c r="AF568" s="416">
        <f>SUM(AF556:AF567)</f>
        <v>125604.00999999998</v>
      </c>
      <c r="AG568" s="422"/>
      <c r="AH568" s="1208">
        <f t="shared" si="106"/>
        <v>125604.00999999998</v>
      </c>
      <c r="AI568" s="1207" t="e">
        <f>AH568/Z568</f>
        <v>#DIV/0!</v>
      </c>
      <c r="AJ568" s="1207"/>
      <c r="AK568" s="1215"/>
      <c r="AL568" s="416">
        <f>SUM(AL556:AL567)</f>
        <v>268398.77999999997</v>
      </c>
      <c r="AM568" s="453"/>
      <c r="AN568" s="1208">
        <f t="shared" si="107"/>
        <v>-142794.76999999999</v>
      </c>
      <c r="AO568" s="1217">
        <f t="shared" si="105"/>
        <v>-0.53202466121492809</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1116" t="str">
        <f t="shared" si="97"/>
        <v/>
      </c>
      <c r="B569" s="3"/>
      <c r="C569" s="1184"/>
      <c r="D569" s="35"/>
      <c r="E569" s="35"/>
      <c r="F569" s="35"/>
      <c r="G569" s="35"/>
      <c r="H569" s="35"/>
      <c r="I569" s="35"/>
      <c r="J569" s="35"/>
      <c r="K569" s="35"/>
      <c r="L569" s="35"/>
      <c r="M569" s="35"/>
      <c r="N569" s="35"/>
      <c r="O569" s="35"/>
      <c r="P569" s="35"/>
      <c r="Q569" s="35"/>
      <c r="R569" s="35"/>
      <c r="S569" s="35"/>
      <c r="T569" s="35"/>
      <c r="U569" s="35"/>
      <c r="V569" s="454"/>
      <c r="W569" s="1225"/>
      <c r="X569" s="1225"/>
      <c r="Y569" s="1226"/>
      <c r="Z569" s="457"/>
      <c r="AA569" s="1225"/>
      <c r="AB569" s="1227"/>
      <c r="AC569" s="457"/>
      <c r="AD569" s="1225"/>
      <c r="AE569" s="1227"/>
      <c r="AF569" s="457"/>
      <c r="AG569" s="459"/>
      <c r="AH569" s="1228"/>
      <c r="AI569" s="1229"/>
      <c r="AJ569" s="1225"/>
      <c r="AK569" s="1227"/>
      <c r="AL569" s="457"/>
      <c r="AM569" s="462"/>
      <c r="AN569" s="1228">
        <f t="shared" si="107"/>
        <v>0</v>
      </c>
      <c r="AO569" s="463">
        <f t="shared" si="105"/>
        <v>0</v>
      </c>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1116" t="str">
        <f t="shared" si="97"/>
        <v>BAIIA OPÉRATIONNEL</v>
      </c>
      <c r="B570" s="3"/>
      <c r="C570" s="1184"/>
      <c r="D570" s="35"/>
      <c r="E570" s="35"/>
      <c r="F570" s="35"/>
      <c r="G570" s="35"/>
      <c r="H570" s="35"/>
      <c r="I570" s="35"/>
      <c r="J570" s="35"/>
      <c r="K570" s="35"/>
      <c r="L570" s="35"/>
      <c r="M570" s="35"/>
      <c r="N570" s="35"/>
      <c r="O570" s="35"/>
      <c r="P570" s="35"/>
      <c r="Q570" s="35"/>
      <c r="R570" s="35"/>
      <c r="S570" s="35"/>
      <c r="T570" s="35"/>
      <c r="U570" s="35"/>
      <c r="V570" s="748" t="s">
        <v>214</v>
      </c>
      <c r="W570" s="749"/>
      <c r="X570" s="750" t="s">
        <v>215</v>
      </c>
      <c r="Y570" s="751" t="e">
        <f>Z570/Z493</f>
        <v>#REF!</v>
      </c>
      <c r="Z570" s="468" t="e">
        <f>Z494-Z555+Z568</f>
        <v>#REF!</v>
      </c>
      <c r="AA570" s="750" t="s">
        <v>215</v>
      </c>
      <c r="AB570" s="751" t="e">
        <f>AC570/AC493</f>
        <v>#DIV/0!</v>
      </c>
      <c r="AC570" s="468">
        <f>AC494-AC555+AC568</f>
        <v>0</v>
      </c>
      <c r="AD570" s="750" t="s">
        <v>215</v>
      </c>
      <c r="AE570" s="751">
        <f>AF570/AF493</f>
        <v>1.2276099351727203E-2</v>
      </c>
      <c r="AF570" s="468">
        <f>AF494-AF555+AF568</f>
        <v>935789.28000000142</v>
      </c>
      <c r="AG570" s="470"/>
      <c r="AH570" s="470" t="e">
        <f>AF570-Z570</f>
        <v>#REF!</v>
      </c>
      <c r="AI570" s="471" t="e">
        <f>AH570/Z570</f>
        <v>#REF!</v>
      </c>
      <c r="AJ570" s="750" t="s">
        <v>215</v>
      </c>
      <c r="AK570" s="751">
        <f>IF($AL$406=0,0,AL570/$AL$406)</f>
        <v>0</v>
      </c>
      <c r="AL570" s="468">
        <f>AL494-AL555+AL568</f>
        <v>1089640.0199999961</v>
      </c>
      <c r="AM570" s="472"/>
      <c r="AN570" s="752">
        <f t="shared" si="107"/>
        <v>-153850.73999999464</v>
      </c>
      <c r="AO570" s="473">
        <f t="shared" si="105"/>
        <v>-0.14119409821235751</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1116" t="str">
        <f t="shared" si="97"/>
        <v/>
      </c>
      <c r="B571" s="3"/>
      <c r="C571" s="1184"/>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1116" t="str">
        <f t="shared" si="97"/>
        <v>Ste-Marie Auto</v>
      </c>
      <c r="B572" s="3"/>
      <c r="C572" s="1184"/>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Q2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1116" t="str">
        <f t="shared" si="97"/>
        <v/>
      </c>
      <c r="B573" s="3"/>
      <c r="C573" s="1184"/>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1116" t="str">
        <f t="shared" si="97"/>
        <v/>
      </c>
      <c r="B574" s="3"/>
      <c r="C574" s="1184"/>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c r="A575" s="1116" t="str">
        <f t="shared" si="97"/>
        <v>BAIIA Corpo</v>
      </c>
      <c r="B575" s="3"/>
      <c r="C575" s="1184"/>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1.5768416106889796E-2</v>
      </c>
      <c r="AF575" s="752">
        <f>+AF576+AF502</f>
        <v>1202003.5300000014</v>
      </c>
      <c r="AG575" s="470"/>
      <c r="AH575" s="470" t="e">
        <f>AF575-Z575</f>
        <v>#REF!</v>
      </c>
      <c r="AI575" s="471" t="e">
        <f>AH575/Z575</f>
        <v>#REF!</v>
      </c>
      <c r="AJ575" s="750" t="s">
        <v>215</v>
      </c>
      <c r="AK575" s="751">
        <f>AL575/AL493</f>
        <v>1.8588154371251494E-2</v>
      </c>
      <c r="AL575" s="752">
        <f>+AL576+AL502</f>
        <v>1657746.7299999963</v>
      </c>
      <c r="AM575" s="472"/>
      <c r="AN575" s="752">
        <f>AF575-AL575</f>
        <v>-455743.19999999483</v>
      </c>
      <c r="AO575" s="753">
        <f>IF(AL575=0,0,AN575/AL575)</f>
        <v>-0.27491726676486694</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1116" t="str">
        <f t="shared" si="97"/>
        <v>BAIIA OPÉRATIONNEL</v>
      </c>
      <c r="B576" s="3"/>
      <c r="C576" s="1184"/>
      <c r="D576" s="35"/>
      <c r="E576" s="35"/>
      <c r="F576" s="35"/>
      <c r="G576" s="35"/>
      <c r="H576" s="35"/>
      <c r="I576" s="35"/>
      <c r="J576" s="35"/>
      <c r="K576" s="35"/>
      <c r="L576" s="35"/>
      <c r="M576" s="35"/>
      <c r="N576" s="35"/>
      <c r="O576" s="35"/>
      <c r="P576" s="35"/>
      <c r="Q576" s="35"/>
      <c r="R576" s="35"/>
      <c r="S576" s="35"/>
      <c r="T576" s="35"/>
      <c r="U576" s="35"/>
      <c r="V576" s="748" t="s">
        <v>214</v>
      </c>
      <c r="W576" s="749"/>
      <c r="X576" s="750" t="s">
        <v>215</v>
      </c>
      <c r="Y576" s="751" t="e">
        <f>Z576/Z493</f>
        <v>#REF!</v>
      </c>
      <c r="Z576" s="468" t="e">
        <f>Z570</f>
        <v>#REF!</v>
      </c>
      <c r="AA576" s="750" t="s">
        <v>215</v>
      </c>
      <c r="AB576" s="751" t="e">
        <f>AC576/AC493</f>
        <v>#DIV/0!</v>
      </c>
      <c r="AC576" s="468">
        <f>AC570</f>
        <v>0</v>
      </c>
      <c r="AD576" s="750" t="s">
        <v>215</v>
      </c>
      <c r="AE576" s="751">
        <f>AF576/AF493</f>
        <v>1.2276099351727203E-2</v>
      </c>
      <c r="AF576" s="468">
        <f>AF570</f>
        <v>935789.28000000142</v>
      </c>
      <c r="AG576" s="752"/>
      <c r="AH576" s="470" t="e">
        <f>AF576-Z576</f>
        <v>#REF!</v>
      </c>
      <c r="AI576" s="471" t="e">
        <f>AH576/Z576</f>
        <v>#REF!</v>
      </c>
      <c r="AJ576" s="750" t="s">
        <v>215</v>
      </c>
      <c r="AK576" s="751">
        <f>IF($AL$406=0,0,AL576/$AL$406)</f>
        <v>0</v>
      </c>
      <c r="AL576" s="468">
        <f>AL570</f>
        <v>1089640.0199999961</v>
      </c>
      <c r="AM576" s="474"/>
      <c r="AN576" s="475">
        <f>AF576-AL576</f>
        <v>-153850.73999999464</v>
      </c>
      <c r="AO576" s="476">
        <f>IF(AL576=0,0,AN576/AL576)</f>
        <v>-0.14119409821235751</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1116" t="str">
        <f t="shared" si="97"/>
        <v/>
      </c>
      <c r="B577" s="3"/>
      <c r="C577" s="1184"/>
      <c r="D577" s="35"/>
      <c r="E577" s="35"/>
      <c r="F577" s="91"/>
      <c r="G577" s="35"/>
      <c r="H577" s="35"/>
      <c r="I577" s="91"/>
      <c r="J577" s="35"/>
      <c r="K577" s="35"/>
      <c r="L577" s="35"/>
      <c r="M577" s="91"/>
      <c r="N577" s="35"/>
      <c r="O577" s="35"/>
      <c r="P577" s="35"/>
      <c r="Q577" s="91"/>
      <c r="R577" s="91"/>
      <c r="S577" s="91"/>
      <c r="T577" s="1218"/>
      <c r="U577" s="1218"/>
      <c r="V577" s="1230"/>
      <c r="W577" s="35"/>
      <c r="X577" s="35"/>
      <c r="Y577" s="35"/>
      <c r="Z577" s="478"/>
      <c r="AA577" s="35"/>
      <c r="AB577" s="35"/>
      <c r="AC577" s="479"/>
      <c r="AD577" s="35"/>
      <c r="AE577" s="35"/>
      <c r="AF577" s="478"/>
      <c r="AG577" s="35"/>
      <c r="AH577" s="35"/>
      <c r="AI577" s="479"/>
      <c r="AJ577" s="35"/>
      <c r="AK577" s="35"/>
      <c r="AL577" s="478"/>
      <c r="AM577" s="480"/>
      <c r="AN577" s="91"/>
      <c r="AO577" s="123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1116" t="str">
        <f t="shared" si="97"/>
        <v>Amortissement</v>
      </c>
      <c r="B578" s="3"/>
      <c r="C578" s="1184"/>
      <c r="D578" s="35"/>
      <c r="E578" s="35"/>
      <c r="F578" s="35"/>
      <c r="G578" s="35"/>
      <c r="H578" s="35"/>
      <c r="I578" s="35"/>
      <c r="J578" s="35"/>
      <c r="K578" s="35"/>
      <c r="L578" s="35"/>
      <c r="M578" s="35"/>
      <c r="N578" s="35"/>
      <c r="O578" s="35"/>
      <c r="P578" s="35"/>
      <c r="Q578" s="35"/>
      <c r="R578" s="35"/>
      <c r="S578" s="35"/>
      <c r="T578" s="35"/>
      <c r="U578" s="35"/>
      <c r="V578" s="992" t="s">
        <v>217</v>
      </c>
      <c r="W578" s="405"/>
      <c r="X578" s="398"/>
      <c r="Y578" s="406"/>
      <c r="Z578" s="399">
        <v>0</v>
      </c>
      <c r="AA578" s="398"/>
      <c r="AB578" s="406">
        <f t="shared" ref="AB578:AB582" si="110">IF(AC578=0,0,AC578/(G$13+G$97))</f>
        <v>0</v>
      </c>
      <c r="AC578" s="399">
        <v>0</v>
      </c>
      <c r="AD578" s="398"/>
      <c r="AE578" s="406"/>
      <c r="AF578" s="399">
        <v>32430</v>
      </c>
      <c r="AG578" s="398"/>
      <c r="AH578" s="401">
        <f t="shared" ref="AH578:AH585" si="111">AF578-Z578</f>
        <v>32430</v>
      </c>
      <c r="AI578" s="420">
        <f t="shared" ref="AI578:AI584" si="112">IF(Z578=0,0,AH578/Z578)</f>
        <v>0</v>
      </c>
      <c r="AJ578" s="398"/>
      <c r="AK578" s="406"/>
      <c r="AL578" s="399">
        <v>36006.639999999999</v>
      </c>
      <c r="AM578" s="403"/>
      <c r="AN578" s="401">
        <f t="shared" ref="AN578:AN585" si="113">AF578-AL578</f>
        <v>-3576.6399999999994</v>
      </c>
      <c r="AO578" s="1012">
        <f t="shared" ref="AO578:AO585" si="114">IF(AL578=0,0,AN578/AL578)</f>
        <v>-9.9332789729894247E-2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1116" t="str">
        <f t="shared" si="97"/>
        <v>Intérêts sur marge</v>
      </c>
      <c r="B579" s="3"/>
      <c r="C579" s="1184"/>
      <c r="D579" s="35"/>
      <c r="E579" s="35"/>
      <c r="F579" s="91"/>
      <c r="G579" s="35"/>
      <c r="H579" s="35"/>
      <c r="I579" s="91"/>
      <c r="J579" s="35"/>
      <c r="K579" s="35"/>
      <c r="L579" s="35"/>
      <c r="M579" s="91"/>
      <c r="N579" s="35"/>
      <c r="O579" s="35"/>
      <c r="P579" s="35"/>
      <c r="Q579" s="91"/>
      <c r="R579" s="91"/>
      <c r="S579" s="91"/>
      <c r="T579" s="35"/>
      <c r="U579" s="35"/>
      <c r="V579" s="992" t="s">
        <v>218</v>
      </c>
      <c r="W579" s="35"/>
      <c r="X579" s="35"/>
      <c r="Y579" s="35"/>
      <c r="Z579" s="399">
        <v>0</v>
      </c>
      <c r="AA579" s="35"/>
      <c r="AB579" s="35">
        <f t="shared" si="110"/>
        <v>0</v>
      </c>
      <c r="AC579" s="399">
        <v>0</v>
      </c>
      <c r="AD579" s="35"/>
      <c r="AE579" s="38"/>
      <c r="AF579" s="399">
        <v>0</v>
      </c>
      <c r="AG579" s="35"/>
      <c r="AH579" s="401">
        <f t="shared" si="111"/>
        <v>0</v>
      </c>
      <c r="AI579" s="420">
        <f t="shared" si="112"/>
        <v>0</v>
      </c>
      <c r="AJ579" s="35"/>
      <c r="AK579" s="38"/>
      <c r="AL579" s="399">
        <v>0</v>
      </c>
      <c r="AM579" s="480"/>
      <c r="AN579" s="401">
        <f t="shared" si="113"/>
        <v>0</v>
      </c>
      <c r="AO579" s="1012">
        <f t="shared" si="11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1116" t="str">
        <f t="shared" si="97"/>
        <v>Intérêts sur prêt</v>
      </c>
      <c r="B580" s="3"/>
      <c r="C580" s="1184"/>
      <c r="D580" s="35"/>
      <c r="E580" s="35"/>
      <c r="F580" s="91"/>
      <c r="G580" s="35"/>
      <c r="H580" s="35"/>
      <c r="I580" s="91"/>
      <c r="J580" s="35"/>
      <c r="K580" s="35"/>
      <c r="L580" s="35"/>
      <c r="M580" s="91"/>
      <c r="N580" s="35"/>
      <c r="O580" s="35"/>
      <c r="P580" s="35"/>
      <c r="Q580" s="91"/>
      <c r="R580" s="91"/>
      <c r="S580" s="91"/>
      <c r="T580" s="35"/>
      <c r="U580" s="35"/>
      <c r="V580" s="992" t="s">
        <v>219</v>
      </c>
      <c r="W580" s="38"/>
      <c r="X580" s="38"/>
      <c r="Y580" s="38"/>
      <c r="Z580" s="399">
        <v>0</v>
      </c>
      <c r="AA580" s="35"/>
      <c r="AB580" s="35">
        <f t="shared" si="110"/>
        <v>0</v>
      </c>
      <c r="AC580" s="399">
        <v>0</v>
      </c>
      <c r="AD580" s="35"/>
      <c r="AE580" s="38"/>
      <c r="AF580" s="399">
        <v>24305.360000000001</v>
      </c>
      <c r="AG580" s="35"/>
      <c r="AH580" s="401">
        <f t="shared" si="111"/>
        <v>24305.360000000001</v>
      </c>
      <c r="AI580" s="420">
        <f t="shared" si="112"/>
        <v>0</v>
      </c>
      <c r="AJ580" s="35"/>
      <c r="AK580" s="38"/>
      <c r="AL580" s="399">
        <v>0</v>
      </c>
      <c r="AM580" s="480"/>
      <c r="AN580" s="401">
        <f t="shared" si="113"/>
        <v>24305.360000000001</v>
      </c>
      <c r="AO580" s="1012">
        <f t="shared" si="11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1116" t="str">
        <f t="shared" si="97"/>
        <v>Intérêts sur avance</v>
      </c>
      <c r="B581" s="3"/>
      <c r="C581" s="1184"/>
      <c r="D581" s="35"/>
      <c r="E581" s="35"/>
      <c r="F581" s="91"/>
      <c r="G581" s="35"/>
      <c r="H581" s="35"/>
      <c r="I581" s="91"/>
      <c r="J581" s="35"/>
      <c r="K581" s="35"/>
      <c r="L581" s="35"/>
      <c r="M581" s="91"/>
      <c r="N581" s="35"/>
      <c r="O581" s="35"/>
      <c r="P581" s="35"/>
      <c r="Q581" s="91"/>
      <c r="R581" s="91"/>
      <c r="S581" s="91"/>
      <c r="T581" s="35"/>
      <c r="U581" s="35"/>
      <c r="V581" s="992" t="s">
        <v>220</v>
      </c>
      <c r="W581" s="38"/>
      <c r="X581" s="38"/>
      <c r="Y581" s="38"/>
      <c r="Z581" s="399">
        <v>0</v>
      </c>
      <c r="AA581" s="35"/>
      <c r="AB581" s="35">
        <f t="shared" si="110"/>
        <v>0</v>
      </c>
      <c r="AC581" s="399">
        <v>0</v>
      </c>
      <c r="AD581" s="35"/>
      <c r="AE581" s="38"/>
      <c r="AF581" s="399">
        <v>0</v>
      </c>
      <c r="AG581" s="35"/>
      <c r="AH581" s="401">
        <f t="shared" si="111"/>
        <v>0</v>
      </c>
      <c r="AI581" s="420">
        <f t="shared" si="112"/>
        <v>0</v>
      </c>
      <c r="AJ581" s="35"/>
      <c r="AK581" s="38"/>
      <c r="AL581" s="399">
        <v>0</v>
      </c>
      <c r="AM581" s="480"/>
      <c r="AN581" s="401">
        <f t="shared" si="113"/>
        <v>0</v>
      </c>
      <c r="AO581" s="1012">
        <f t="shared" si="11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1116" t="str">
        <f t="shared" si="97"/>
        <v>[...]</v>
      </c>
      <c r="B582" s="3"/>
      <c r="C582" s="1184"/>
      <c r="D582" s="35"/>
      <c r="E582" s="35"/>
      <c r="F582" s="91"/>
      <c r="G582" s="35"/>
      <c r="H582" s="35"/>
      <c r="I582" s="91"/>
      <c r="J582" s="35"/>
      <c r="K582" s="35"/>
      <c r="L582" s="35"/>
      <c r="M582" s="91"/>
      <c r="N582" s="35"/>
      <c r="O582" s="35"/>
      <c r="P582" s="35"/>
      <c r="Q582" s="91"/>
      <c r="R582" s="91"/>
      <c r="S582" s="91"/>
      <c r="T582" s="35"/>
      <c r="U582" s="35"/>
      <c r="V582" s="992" t="s">
        <v>55</v>
      </c>
      <c r="W582" s="38"/>
      <c r="X582" s="38"/>
      <c r="Y582" s="38"/>
      <c r="Z582" s="399">
        <v>0</v>
      </c>
      <c r="AA582" s="398"/>
      <c r="AB582" s="398">
        <f t="shared" si="110"/>
        <v>0</v>
      </c>
      <c r="AC582" s="399">
        <v>0</v>
      </c>
      <c r="AD582" s="1201"/>
      <c r="AE582" s="406"/>
      <c r="AF582" s="399">
        <v>0</v>
      </c>
      <c r="AG582" s="704"/>
      <c r="AH582" s="401">
        <f t="shared" si="111"/>
        <v>0</v>
      </c>
      <c r="AI582" s="402">
        <f t="shared" si="112"/>
        <v>0</v>
      </c>
      <c r="AJ582" s="1201"/>
      <c r="AK582" s="406"/>
      <c r="AL582" s="399">
        <v>0</v>
      </c>
      <c r="AM582" s="480"/>
      <c r="AN582" s="401">
        <f t="shared" si="113"/>
        <v>0</v>
      </c>
      <c r="AO582" s="1012">
        <f t="shared" si="11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992" t="str">
        <f t="shared" si="97"/>
        <v>Revenus d'intérêts Floor plan</v>
      </c>
      <c r="B583" s="3"/>
      <c r="C583" s="1184"/>
      <c r="D583" s="35"/>
      <c r="E583" s="35"/>
      <c r="F583" s="91"/>
      <c r="G583" s="35"/>
      <c r="H583" s="35"/>
      <c r="I583" s="91"/>
      <c r="J583" s="35"/>
      <c r="K583" s="35"/>
      <c r="L583" s="35"/>
      <c r="M583" s="91"/>
      <c r="N583" s="35"/>
      <c r="O583" s="35"/>
      <c r="P583" s="35"/>
      <c r="Q583" s="91"/>
      <c r="R583" s="91"/>
      <c r="S583" s="91"/>
      <c r="T583" s="35"/>
      <c r="U583" s="35"/>
      <c r="V583" s="992" t="s">
        <v>1098</v>
      </c>
      <c r="W583" s="38"/>
      <c r="X583" s="38"/>
      <c r="Y583" s="38"/>
      <c r="Z583" s="399">
        <v>0</v>
      </c>
      <c r="AA583" s="398"/>
      <c r="AB583" s="398">
        <f>IF(AC583=0,0,AC583/(G$13+G$97))</f>
        <v>0</v>
      </c>
      <c r="AC583" s="399">
        <v>0</v>
      </c>
      <c r="AD583" s="1201"/>
      <c r="AE583" s="406"/>
      <c r="AF583" s="399">
        <v>-5930.14</v>
      </c>
      <c r="AG583" s="704"/>
      <c r="AH583" s="401">
        <f t="shared" si="111"/>
        <v>-5930.14</v>
      </c>
      <c r="AI583" s="402">
        <f t="shared" si="112"/>
        <v>0</v>
      </c>
      <c r="AJ583" s="1201"/>
      <c r="AK583" s="406"/>
      <c r="AL583" s="399">
        <v>0</v>
      </c>
      <c r="AM583" s="480"/>
      <c r="AN583" s="401">
        <f t="shared" si="113"/>
        <v>-5930.14</v>
      </c>
      <c r="AO583" s="1012">
        <f t="shared" si="11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c r="A584" s="1116" t="str">
        <f t="shared" si="97"/>
        <v>[...]</v>
      </c>
      <c r="B584" s="3"/>
      <c r="C584" s="1184"/>
      <c r="D584" s="35"/>
      <c r="E584" s="35"/>
      <c r="F584" s="91"/>
      <c r="G584" s="35"/>
      <c r="H584" s="35"/>
      <c r="I584" s="91"/>
      <c r="J584" s="35"/>
      <c r="K584" s="35"/>
      <c r="L584" s="35"/>
      <c r="M584" s="91"/>
      <c r="N584" s="35"/>
      <c r="O584" s="35"/>
      <c r="P584" s="35"/>
      <c r="Q584" s="91"/>
      <c r="R584" s="91"/>
      <c r="S584" s="91"/>
      <c r="T584" s="35"/>
      <c r="U584" s="35"/>
      <c r="V584" s="992" t="s">
        <v>55</v>
      </c>
      <c r="W584" s="38"/>
      <c r="X584" s="35"/>
      <c r="Y584" s="38"/>
      <c r="Z584" s="399">
        <v>0</v>
      </c>
      <c r="AA584" s="398"/>
      <c r="AB584" s="398">
        <f t="shared" ref="AB584" si="115">IF(AC584=0,0,AC584/(G$13+G$97))</f>
        <v>0</v>
      </c>
      <c r="AC584" s="399">
        <v>0</v>
      </c>
      <c r="AD584" s="1201"/>
      <c r="AE584" s="406">
        <f>IF(AF584=0,0,AF584/(J$13+J$97))</f>
        <v>0</v>
      </c>
      <c r="AF584" s="399">
        <v>0</v>
      </c>
      <c r="AG584" s="704"/>
      <c r="AH584" s="401">
        <f t="shared" si="111"/>
        <v>0</v>
      </c>
      <c r="AI584" s="402">
        <f t="shared" si="112"/>
        <v>0</v>
      </c>
      <c r="AJ584" s="1201"/>
      <c r="AK584" s="406">
        <f>AL584/(O$13+O$97)</f>
        <v>0</v>
      </c>
      <c r="AL584" s="399">
        <v>0</v>
      </c>
      <c r="AM584" s="480"/>
      <c r="AN584" s="401">
        <f t="shared" si="113"/>
        <v>0</v>
      </c>
      <c r="AO584" s="1012">
        <f t="shared" si="11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1116" t="str">
        <f t="shared" si="97"/>
        <v>Profit Net</v>
      </c>
      <c r="B585" s="3"/>
      <c r="C585" s="1184"/>
      <c r="D585" s="35"/>
      <c r="E585" s="35"/>
      <c r="F585" s="91"/>
      <c r="G585" s="35"/>
      <c r="H585" s="35"/>
      <c r="I585" s="91"/>
      <c r="J585" s="35"/>
      <c r="K585" s="35"/>
      <c r="L585" s="35"/>
      <c r="M585" s="91"/>
      <c r="N585" s="35"/>
      <c r="O585" s="35"/>
      <c r="P585" s="35"/>
      <c r="Q585" s="91"/>
      <c r="R585" s="91"/>
      <c r="S585" s="91"/>
      <c r="T585" s="35"/>
      <c r="U585" s="35"/>
      <c r="V585" s="748" t="s">
        <v>221</v>
      </c>
      <c r="W585" s="749"/>
      <c r="X585" s="750" t="s">
        <v>215</v>
      </c>
      <c r="Y585" s="751" t="e">
        <f>Z585/Z493</f>
        <v>#REF!</v>
      </c>
      <c r="Z585" s="468" t="e">
        <f>Z576-Z578-Z579-Z580-Z584-Z583-Z581-Z582</f>
        <v>#REF!</v>
      </c>
      <c r="AA585" s="750"/>
      <c r="AB585" s="751"/>
      <c r="AC585" s="468"/>
      <c r="AD585" s="750" t="s">
        <v>215</v>
      </c>
      <c r="AE585" s="751">
        <f>AF585/AF493</f>
        <v>1.1609613913567069E-2</v>
      </c>
      <c r="AF585" s="468">
        <f>AF576-AF578-AF579-AF580-AF584-AF583-AF581-AF582</f>
        <v>884984.06000000145</v>
      </c>
      <c r="AG585" s="470"/>
      <c r="AH585" s="470" t="e">
        <f t="shared" si="111"/>
        <v>#REF!</v>
      </c>
      <c r="AI585" s="471" t="e">
        <f>AH585/Z585</f>
        <v>#REF!</v>
      </c>
      <c r="AJ585" s="750" t="s">
        <v>215</v>
      </c>
      <c r="AK585" s="751">
        <f>IF($AL$407=0,0,AL585/$AL$407)</f>
        <v>0</v>
      </c>
      <c r="AL585" s="468">
        <f>AL576-AL578-AL579-AL580-AL584-AL583-AL581-AL582</f>
        <v>1053633.3799999962</v>
      </c>
      <c r="AM585" s="472"/>
      <c r="AN585" s="752">
        <f t="shared" si="113"/>
        <v>-168649.31999999471</v>
      </c>
      <c r="AO585" s="753">
        <f t="shared" si="114"/>
        <v>-0.16006451883670894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1116" t="str">
        <f t="shared" si="97"/>
        <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R91:S91"/>
    <mergeCell ref="D3:F3"/>
    <mergeCell ref="G3:I3"/>
    <mergeCell ref="J3:L3"/>
    <mergeCell ref="M3:N3"/>
    <mergeCell ref="O3:Q3"/>
    <mergeCell ref="R3:S3"/>
    <mergeCell ref="D91:F91"/>
    <mergeCell ref="G91:I91"/>
    <mergeCell ref="J91:L91"/>
    <mergeCell ref="M91:N91"/>
    <mergeCell ref="O91:Q91"/>
    <mergeCell ref="R244:S244"/>
    <mergeCell ref="D171:F171"/>
    <mergeCell ref="G171:I171"/>
    <mergeCell ref="J171:L171"/>
    <mergeCell ref="M171:N171"/>
    <mergeCell ref="O171:Q171"/>
    <mergeCell ref="R171:S171"/>
    <mergeCell ref="D244:F244"/>
    <mergeCell ref="G244:I244"/>
    <mergeCell ref="J244:L244"/>
    <mergeCell ref="M244:N244"/>
    <mergeCell ref="O244:Q244"/>
    <mergeCell ref="R369:S369"/>
    <mergeCell ref="D312:F312"/>
    <mergeCell ref="G312:I312"/>
    <mergeCell ref="J312:L312"/>
    <mergeCell ref="M312:N312"/>
    <mergeCell ref="O312:Q312"/>
    <mergeCell ref="R312:S312"/>
    <mergeCell ref="D369:F369"/>
    <mergeCell ref="G369:I369"/>
    <mergeCell ref="J369:L369"/>
    <mergeCell ref="M369:N369"/>
    <mergeCell ref="O369:Q369"/>
    <mergeCell ref="AM491:AO491"/>
    <mergeCell ref="D434:F434"/>
    <mergeCell ref="G434:I434"/>
    <mergeCell ref="J434:L434"/>
    <mergeCell ref="M434:N434"/>
    <mergeCell ref="O434:Q434"/>
    <mergeCell ref="R434:S434"/>
    <mergeCell ref="X491:Z491"/>
    <mergeCell ref="AA491:AC491"/>
    <mergeCell ref="AD491:AF491"/>
    <mergeCell ref="AG491:AI491"/>
    <mergeCell ref="AJ491:AL491"/>
  </mergeCells>
  <conditionalFormatting sqref="D113 H180:L181 I184:L185">
    <cfRule type="expression" dxfId="186" priority="135" stopIfTrue="1">
      <formula>"esterreur(reference)"</formula>
    </cfRule>
  </conditionalFormatting>
  <conditionalFormatting sqref="D246:D255">
    <cfRule type="expression" dxfId="185" priority="165" stopIfTrue="1">
      <formula>"esterreur(reference)"</formula>
    </cfRule>
  </conditionalFormatting>
  <conditionalFormatting sqref="D487">
    <cfRule type="expression" dxfId="184" priority="137" stopIfTrue="1">
      <formula>"esterreur(reference)"</formula>
    </cfRule>
  </conditionalFormatting>
  <conditionalFormatting sqref="D186:E192">
    <cfRule type="expression" dxfId="183" priority="108" stopIfTrue="1">
      <formula>"esterreur(reference)"</formula>
    </cfRule>
  </conditionalFormatting>
  <conditionalFormatting sqref="E260">
    <cfRule type="expression" dxfId="182" priority="166" stopIfTrue="1">
      <formula>"esterreur(reference)"</formula>
    </cfRule>
  </conditionalFormatting>
  <conditionalFormatting sqref="F5">
    <cfRule type="expression" dxfId="181" priority="163" stopIfTrue="1">
      <formula>"esterreur(reference)"</formula>
    </cfRule>
  </conditionalFormatting>
  <conditionalFormatting sqref="F84">
    <cfRule type="expression" dxfId="180" priority="162" stopIfTrue="1">
      <formula>"esterreur(reference)"</formula>
    </cfRule>
  </conditionalFormatting>
  <conditionalFormatting sqref="F102">
    <cfRule type="expression" dxfId="179" priority="167" stopIfTrue="1">
      <formula>"esterreur(reference)"</formula>
    </cfRule>
  </conditionalFormatting>
  <conditionalFormatting sqref="F258">
    <cfRule type="expression" dxfId="178" priority="154" stopIfTrue="1">
      <formula>"esterreur(reference)"</formula>
    </cfRule>
  </conditionalFormatting>
  <conditionalFormatting sqref="G31:G32">
    <cfRule type="expression" dxfId="177" priority="160" stopIfTrue="1">
      <formula>"esterreur(reference)"</formula>
    </cfRule>
  </conditionalFormatting>
  <conditionalFormatting sqref="G113:G114">
    <cfRule type="expression" dxfId="176" priority="157" stopIfTrue="1">
      <formula>"esterreur(reference)"</formula>
    </cfRule>
  </conditionalFormatting>
  <conditionalFormatting sqref="G186:G187">
    <cfRule type="expression" dxfId="175" priority="113" stopIfTrue="1">
      <formula>"esterreur(reference)"</formula>
    </cfRule>
  </conditionalFormatting>
  <conditionalFormatting sqref="G246:G255">
    <cfRule type="expression" dxfId="174" priority="164" stopIfTrue="1">
      <formula>"esterreur(reference)"</formula>
    </cfRule>
  </conditionalFormatting>
  <conditionalFormatting sqref="H25:H26 H28:H72">
    <cfRule type="expression" dxfId="173" priority="159" stopIfTrue="1">
      <formula>"esterreur(reference)"</formula>
    </cfRule>
  </conditionalFormatting>
  <conditionalFormatting sqref="H74">
    <cfRule type="expression" dxfId="172" priority="90" stopIfTrue="1">
      <formula>"esterreur(reference)"</formula>
    </cfRule>
  </conditionalFormatting>
  <conditionalFormatting sqref="H83">
    <cfRule type="expression" dxfId="171" priority="87" stopIfTrue="1">
      <formula>"esterreur(reference)"</formula>
    </cfRule>
  </conditionalFormatting>
  <conditionalFormatting sqref="H85">
    <cfRule type="expression" dxfId="170" priority="29" stopIfTrue="1">
      <formula>"esterreur(reference)"</formula>
    </cfRule>
  </conditionalFormatting>
  <conditionalFormatting sqref="H110:H154">
    <cfRule type="expression" dxfId="169" priority="24" stopIfTrue="1">
      <formula>"esterreur(reference)"</formula>
    </cfRule>
  </conditionalFormatting>
  <conditionalFormatting sqref="H156:H158">
    <cfRule type="expression" dxfId="168" priority="83" stopIfTrue="1">
      <formula>"esterreur(reference)"</formula>
    </cfRule>
  </conditionalFormatting>
  <conditionalFormatting sqref="H164">
    <cfRule type="expression" dxfId="167" priority="80" stopIfTrue="1">
      <formula>"esterreur(reference)"</formula>
    </cfRule>
  </conditionalFormatting>
  <conditionalFormatting sqref="H166">
    <cfRule type="expression" dxfId="166" priority="32" stopIfTrue="1">
      <formula>"esterreur(reference)"</formula>
    </cfRule>
  </conditionalFormatting>
  <conditionalFormatting sqref="H183:H227">
    <cfRule type="expression" dxfId="165" priority="20" stopIfTrue="1">
      <formula>"esterreur(reference)"</formula>
    </cfRule>
  </conditionalFormatting>
  <conditionalFormatting sqref="H229:H231">
    <cfRule type="expression" dxfId="164" priority="74" stopIfTrue="1">
      <formula>"esterreur(reference)"</formula>
    </cfRule>
  </conditionalFormatting>
  <conditionalFormatting sqref="H237">
    <cfRule type="expression" dxfId="163" priority="71" stopIfTrue="1">
      <formula>"esterreur(reference)"</formula>
    </cfRule>
  </conditionalFormatting>
  <conditionalFormatting sqref="H239">
    <cfRule type="expression" dxfId="162" priority="35" stopIfTrue="1">
      <formula>"esterreur(reference)"</formula>
    </cfRule>
  </conditionalFormatting>
  <conditionalFormatting sqref="H269">
    <cfRule type="expression" dxfId="161" priority="17" stopIfTrue="1">
      <formula>"esterreur(reference)"</formula>
    </cfRule>
  </conditionalFormatting>
  <conditionalFormatting sqref="H272:H303">
    <cfRule type="expression" dxfId="160" priority="68" stopIfTrue="1">
      <formula>"esterreur(reference)"</formula>
    </cfRule>
  </conditionalFormatting>
  <conditionalFormatting sqref="H305">
    <cfRule type="expression" dxfId="159" priority="66" stopIfTrue="1">
      <formula>"esterreur(reference)"</formula>
    </cfRule>
  </conditionalFormatting>
  <conditionalFormatting sqref="H307">
    <cfRule type="expression" dxfId="158" priority="38" stopIfTrue="1">
      <formula>"esterreur(reference)"</formula>
    </cfRule>
  </conditionalFormatting>
  <conditionalFormatting sqref="H327">
    <cfRule type="expression" dxfId="157" priority="13" stopIfTrue="1">
      <formula>"esterreur(reference)"</formula>
    </cfRule>
  </conditionalFormatting>
  <conditionalFormatting sqref="H330:H361">
    <cfRule type="expression" dxfId="156" priority="62" stopIfTrue="1">
      <formula>"esterreur(reference)"</formula>
    </cfRule>
  </conditionalFormatting>
  <conditionalFormatting sqref="H363">
    <cfRule type="expression" dxfId="155" priority="60" stopIfTrue="1">
      <formula>"esterreur(reference)"</formula>
    </cfRule>
  </conditionalFormatting>
  <conditionalFormatting sqref="H365">
    <cfRule type="expression" dxfId="154" priority="41" stopIfTrue="1">
      <formula>"esterreur(reference)"</formula>
    </cfRule>
  </conditionalFormatting>
  <conditionalFormatting sqref="H391">
    <cfRule type="expression" dxfId="153" priority="10" stopIfTrue="1">
      <formula>"esterreur(reference)"</formula>
    </cfRule>
  </conditionalFormatting>
  <conditionalFormatting sqref="H394:H425">
    <cfRule type="expression" dxfId="152" priority="57" stopIfTrue="1">
      <formula>"esterreur(reference)"</formula>
    </cfRule>
  </conditionalFormatting>
  <conditionalFormatting sqref="H427">
    <cfRule type="expression" dxfId="151" priority="55" stopIfTrue="1">
      <formula>"esterreur(reference)"</formula>
    </cfRule>
  </conditionalFormatting>
  <conditionalFormatting sqref="H429:H431">
    <cfRule type="expression" dxfId="150" priority="44" stopIfTrue="1">
      <formula>"esterreur(reference)"</formula>
    </cfRule>
  </conditionalFormatting>
  <conditionalFormatting sqref="H449">
    <cfRule type="expression" dxfId="149" priority="6" stopIfTrue="1">
      <formula>"esterreur(reference)"</formula>
    </cfRule>
  </conditionalFormatting>
  <conditionalFormatting sqref="H452:H482">
    <cfRule type="expression" dxfId="148" priority="50" stopIfTrue="1">
      <formula>"esterreur(reference)"</formula>
    </cfRule>
  </conditionalFormatting>
  <conditionalFormatting sqref="H484">
    <cfRule type="expression" dxfId="147" priority="47" stopIfTrue="1">
      <formula>"esterreur(reference)"</formula>
    </cfRule>
  </conditionalFormatting>
  <conditionalFormatting sqref="H486:H487">
    <cfRule type="expression" dxfId="146" priority="3" stopIfTrue="1">
      <formula>"esterreur(reference)"</formula>
    </cfRule>
  </conditionalFormatting>
  <conditionalFormatting sqref="H433:I433 K433:L433 J433:J434">
    <cfRule type="expression" dxfId="145" priority="144" stopIfTrue="1">
      <formula>"esterreur(reference)"</formula>
    </cfRule>
  </conditionalFormatting>
  <conditionalFormatting sqref="H317:J317">
    <cfRule type="expression" dxfId="144" priority="131" stopIfTrue="1">
      <formula>"esterreur(reference)"</formula>
    </cfRule>
  </conditionalFormatting>
  <conditionalFormatting sqref="H439:J439">
    <cfRule type="expression" dxfId="143" priority="105" stopIfTrue="1">
      <formula>"esterreur(reference)"</formula>
    </cfRule>
  </conditionalFormatting>
  <conditionalFormatting sqref="H435:L436">
    <cfRule type="expression" dxfId="142" priority="101" stopIfTrue="1">
      <formula>"esterreur(reference)"</formula>
    </cfRule>
  </conditionalFormatting>
  <conditionalFormatting sqref="H447:L447 H450:L451">
    <cfRule type="expression" dxfId="141" priority="100" stopIfTrue="1">
      <formula>"esterreur(reference)"</formula>
    </cfRule>
  </conditionalFormatting>
  <conditionalFormatting sqref="H483:L483 H485:L485">
    <cfRule type="expression" dxfId="140" priority="145" stopIfTrue="1">
      <formula>"esterreur(reference)"</formula>
    </cfRule>
  </conditionalFormatting>
  <conditionalFormatting sqref="I16:I18 I20 I24:I30">
    <cfRule type="expression" dxfId="139" priority="161" stopIfTrue="1">
      <formula>"esterreur(reference)"</formula>
    </cfRule>
  </conditionalFormatting>
  <conditionalFormatting sqref="I109:I110">
    <cfRule type="expression" dxfId="138" priority="25" stopIfTrue="1">
      <formula>"esterreur(reference)"</formula>
    </cfRule>
  </conditionalFormatting>
  <conditionalFormatting sqref="I182:I183">
    <cfRule type="expression" dxfId="137" priority="21" stopIfTrue="1">
      <formula>"esterreur(reference)"</formula>
    </cfRule>
  </conditionalFormatting>
  <conditionalFormatting sqref="I268:I269">
    <cfRule type="expression" dxfId="136" priority="18" stopIfTrue="1">
      <formula>"esterreur(reference)"</formula>
    </cfRule>
  </conditionalFormatting>
  <conditionalFormatting sqref="I326:I327">
    <cfRule type="expression" dxfId="135" priority="14" stopIfTrue="1">
      <formula>"esterreur(reference)"</formula>
    </cfRule>
  </conditionalFormatting>
  <conditionalFormatting sqref="I390:I391">
    <cfRule type="expression" dxfId="134" priority="11" stopIfTrue="1">
      <formula>"esterreur(reference)"</formula>
    </cfRule>
  </conditionalFormatting>
  <conditionalFormatting sqref="I448:I449">
    <cfRule type="expression" dxfId="13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2" priority="138" stopIfTrue="1">
      <formula>"esterreur(reference)"</formula>
    </cfRule>
  </conditionalFormatting>
  <conditionalFormatting sqref="J16 L16:L24">
    <cfRule type="expression" dxfId="131" priority="133" stopIfTrue="1">
      <formula>"esterreur(reference)"</formula>
    </cfRule>
  </conditionalFormatting>
  <conditionalFormatting sqref="J182 J183:L183">
    <cfRule type="expression" dxfId="130" priority="22" stopIfTrue="1">
      <formula>"esterreur(reference)"</formula>
    </cfRule>
  </conditionalFormatting>
  <conditionalFormatting sqref="J326 J327:K327">
    <cfRule type="expression" dxfId="129" priority="15" stopIfTrue="1">
      <formula>"esterreur(reference)"</formula>
    </cfRule>
  </conditionalFormatting>
  <conditionalFormatting sqref="J371:J390">
    <cfRule type="expression" dxfId="128" priority="4" stopIfTrue="1">
      <formula>"esterreur(reference)"</formula>
    </cfRule>
  </conditionalFormatting>
  <conditionalFormatting sqref="J448 J449:K449">
    <cfRule type="expression" dxfId="127" priority="8" stopIfTrue="1">
      <formula>"esterreur(reference)"</formula>
    </cfRule>
  </conditionalFormatting>
  <conditionalFormatting sqref="J54:K54">
    <cfRule type="expression" dxfId="126" priority="94" stopIfTrue="1">
      <formula>"esterreur(reference)"</formula>
    </cfRule>
  </conditionalFormatting>
  <conditionalFormatting sqref="J72:K72">
    <cfRule type="expression" dxfId="125" priority="92" stopIfTrue="1">
      <formula>"esterreur(reference)"</formula>
    </cfRule>
  </conditionalFormatting>
  <conditionalFormatting sqref="J74:K74">
    <cfRule type="expression" dxfId="124" priority="89" stopIfTrue="1">
      <formula>"esterreur(reference)"</formula>
    </cfRule>
  </conditionalFormatting>
  <conditionalFormatting sqref="J85:K85">
    <cfRule type="expression" dxfId="123" priority="28" stopIfTrue="1">
      <formula>"esterreur(reference)"</formula>
    </cfRule>
  </conditionalFormatting>
  <conditionalFormatting sqref="J156:K158">
    <cfRule type="expression" dxfId="122" priority="82" stopIfTrue="1">
      <formula>"esterreur(reference)"</formula>
    </cfRule>
  </conditionalFormatting>
  <conditionalFormatting sqref="J164:K164">
    <cfRule type="expression" dxfId="121" priority="79" stopIfTrue="1">
      <formula>"esterreur(reference)"</formula>
    </cfRule>
  </conditionalFormatting>
  <conditionalFormatting sqref="J166:K166">
    <cfRule type="expression" dxfId="120" priority="31" stopIfTrue="1">
      <formula>"esterreur(reference)"</formula>
    </cfRule>
  </conditionalFormatting>
  <conditionalFormatting sqref="J229:K231">
    <cfRule type="expression" dxfId="119" priority="73" stopIfTrue="1">
      <formula>"esterreur(reference)"</formula>
    </cfRule>
  </conditionalFormatting>
  <conditionalFormatting sqref="J237:K237">
    <cfRule type="expression" dxfId="118" priority="70" stopIfTrue="1">
      <formula>"esterreur(reference)"</formula>
    </cfRule>
  </conditionalFormatting>
  <conditionalFormatting sqref="J239:K239">
    <cfRule type="expression" dxfId="117" priority="34" stopIfTrue="1">
      <formula>"esterreur(reference)"</formula>
    </cfRule>
  </conditionalFormatting>
  <conditionalFormatting sqref="J305:K305">
    <cfRule type="expression" dxfId="116" priority="65" stopIfTrue="1">
      <formula>"esterreur(reference)"</formula>
    </cfRule>
  </conditionalFormatting>
  <conditionalFormatting sqref="J307:K307">
    <cfRule type="expression" dxfId="115" priority="37" stopIfTrue="1">
      <formula>"esterreur(reference)"</formula>
    </cfRule>
  </conditionalFormatting>
  <conditionalFormatting sqref="J363:K363">
    <cfRule type="expression" dxfId="114" priority="59" stopIfTrue="1">
      <formula>"esterreur(reference)"</formula>
    </cfRule>
  </conditionalFormatting>
  <conditionalFormatting sqref="J365:K365">
    <cfRule type="expression" dxfId="113" priority="40" stopIfTrue="1">
      <formula>"esterreur(reference)"</formula>
    </cfRule>
  </conditionalFormatting>
  <conditionalFormatting sqref="J427:K427">
    <cfRule type="expression" dxfId="112" priority="54" stopIfTrue="1">
      <formula>"esterreur(reference)"</formula>
    </cfRule>
  </conditionalFormatting>
  <conditionalFormatting sqref="J429:K431">
    <cfRule type="expression" dxfId="111" priority="43" stopIfTrue="1">
      <formula>"esterreur(reference)"</formula>
    </cfRule>
  </conditionalFormatting>
  <conditionalFormatting sqref="J464:K464">
    <cfRule type="expression" dxfId="110" priority="52" stopIfTrue="1">
      <formula>"esterreur(reference)"</formula>
    </cfRule>
  </conditionalFormatting>
  <conditionalFormatting sqref="J482:K482">
    <cfRule type="expression" dxfId="109" priority="49" stopIfTrue="1">
      <formula>"esterreur(reference)"</formula>
    </cfRule>
  </conditionalFormatting>
  <conditionalFormatting sqref="J484:K484">
    <cfRule type="expression" dxfId="108" priority="46" stopIfTrue="1">
      <formula>"esterreur(reference)"</formula>
    </cfRule>
  </conditionalFormatting>
  <conditionalFormatting sqref="J486:K487">
    <cfRule type="expression" dxfId="107" priority="2" stopIfTrue="1">
      <formula>"esterreur(reference)"</formula>
    </cfRule>
  </conditionalFormatting>
  <conditionalFormatting sqref="J53:L53 J55:L71">
    <cfRule type="expression" dxfId="106" priority="132" stopIfTrue="1">
      <formula>"esterreur(reference)"</formula>
    </cfRule>
  </conditionalFormatting>
  <conditionalFormatting sqref="J465:L481">
    <cfRule type="expression" dxfId="105" priority="146" stopIfTrue="1">
      <formula>"esterreur(reference)"</formula>
    </cfRule>
  </conditionalFormatting>
  <conditionalFormatting sqref="K5">
    <cfRule type="expression" dxfId="104" priority="153" stopIfTrue="1">
      <formula>"esterreur(reference)"</formula>
    </cfRule>
  </conditionalFormatting>
  <conditionalFormatting sqref="K321:L321">
    <cfRule type="expression" dxfId="103" priority="151" stopIfTrue="1">
      <formula>"esterreur(reference)"</formula>
    </cfRule>
  </conditionalFormatting>
  <conditionalFormatting sqref="K437:L437 K439:L440">
    <cfRule type="expression" dxfId="102" priority="106" stopIfTrue="1">
      <formula>"esterreur(reference)"</formula>
    </cfRule>
  </conditionalFormatting>
  <conditionalFormatting sqref="K443:L443">
    <cfRule type="expression" dxfId="101" priority="107" stopIfTrue="1">
      <formula>"esterreur(reference)"</formula>
    </cfRule>
  </conditionalFormatting>
  <conditionalFormatting sqref="L5:L14">
    <cfRule type="expression" dxfId="100" priority="26" stopIfTrue="1">
      <formula>"esterreur(reference)"</formula>
    </cfRule>
  </conditionalFormatting>
  <conditionalFormatting sqref="L75:L82">
    <cfRule type="expression" dxfId="99" priority="140" stopIfTrue="1">
      <formula>"esterreur(reference)"</formula>
    </cfRule>
  </conditionalFormatting>
  <conditionalFormatting sqref="L157:L163">
    <cfRule type="expression" dxfId="98" priority="150" stopIfTrue="1">
      <formula>"esterreur(reference)"</formula>
    </cfRule>
  </conditionalFormatting>
  <conditionalFormatting sqref="L230:L236">
    <cfRule type="expression" dxfId="97" priority="112" stopIfTrue="1">
      <formula>"esterreur(reference)"</formula>
    </cfRule>
  </conditionalFormatting>
  <conditionalFormatting sqref="L272:L283">
    <cfRule type="expression" dxfId="96" priority="148" stopIfTrue="1">
      <formula>"esterreur(reference)"</formula>
    </cfRule>
  </conditionalFormatting>
  <conditionalFormatting sqref="L285:L302">
    <cfRule type="expression" dxfId="95" priority="149" stopIfTrue="1">
      <formula>"esterreur(reference)"</formula>
    </cfRule>
  </conditionalFormatting>
  <conditionalFormatting sqref="L324">
    <cfRule type="expression" dxfId="94" priority="97" stopIfTrue="1">
      <formula>"esterreur(reference)"</formula>
    </cfRule>
  </conditionalFormatting>
  <conditionalFormatting sqref="L330:L341">
    <cfRule type="expression" dxfId="93" priority="152" stopIfTrue="1">
      <formula>"esterreur(reference)"</formula>
    </cfRule>
  </conditionalFormatting>
  <conditionalFormatting sqref="L422:L424">
    <cfRule type="expression" dxfId="92" priority="147" stopIfTrue="1">
      <formula>"esterreur(reference)"</formula>
    </cfRule>
  </conditionalFormatting>
  <conditionalFormatting sqref="M95:M97">
    <cfRule type="expression" dxfId="91" priority="139" stopIfTrue="1">
      <formula>"esterreur(reference)"</formula>
    </cfRule>
  </conditionalFormatting>
  <conditionalFormatting sqref="M177:M179">
    <cfRule type="expression" dxfId="90" priority="111" stopIfTrue="1">
      <formula>"esterreur(reference)"</formula>
    </cfRule>
  </conditionalFormatting>
  <conditionalFormatting sqref="N283">
    <cfRule type="expression" dxfId="89" priority="134" stopIfTrue="1">
      <formula>"esterreur(reference)"</formula>
    </cfRule>
  </conditionalFormatting>
  <conditionalFormatting sqref="N394:N404">
    <cfRule type="expression" dxfId="88" priority="136" stopIfTrue="1">
      <formula>"esterreur(reference)"</formula>
    </cfRule>
  </conditionalFormatting>
  <conditionalFormatting sqref="N271:Q271">
    <cfRule type="expression" dxfId="87" priority="122" stopIfTrue="1">
      <formula>"esterreur(reference)"</formula>
    </cfRule>
  </conditionalFormatting>
  <conditionalFormatting sqref="O16 Q16:Q24">
    <cfRule type="expression" dxfId="86" priority="127" stopIfTrue="1">
      <formula>"esterreur(reference)"</formula>
    </cfRule>
  </conditionalFormatting>
  <conditionalFormatting sqref="O109 O110:Q122">
    <cfRule type="expression" dxfId="85" priority="23" stopIfTrue="1">
      <formula>"esterreur(reference)"</formula>
    </cfRule>
  </conditionalFormatting>
  <conditionalFormatting sqref="O182 O183:Q195">
    <cfRule type="expression" dxfId="84"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3" priority="121" stopIfTrue="1">
      <formula>"esterreur(reference)"</formula>
    </cfRule>
  </conditionalFormatting>
  <conditionalFormatting sqref="O266:O268 O269:P269">
    <cfRule type="expression" dxfId="82" priority="16" stopIfTrue="1">
      <formula>"esterreur(reference)"</formula>
    </cfRule>
  </conditionalFormatting>
  <conditionalFormatting sqref="O317">
    <cfRule type="expression" dxfId="81" priority="117" stopIfTrue="1">
      <formula>"esterreur(reference)"</formula>
    </cfRule>
  </conditionalFormatting>
  <conditionalFormatting sqref="O326 O327:P327">
    <cfRule type="expression" dxfId="80" priority="12" stopIfTrue="1">
      <formula>"esterreur(reference)"</formula>
    </cfRule>
  </conditionalFormatting>
  <conditionalFormatting sqref="O390 O391:P391">
    <cfRule type="expression" dxfId="79" priority="9" stopIfTrue="1">
      <formula>"esterreur(reference)"</formula>
    </cfRule>
  </conditionalFormatting>
  <conditionalFormatting sqref="O439">
    <cfRule type="expression" dxfId="78" priority="102" stopIfTrue="1">
      <formula>"esterreur(reference)"</formula>
    </cfRule>
  </conditionalFormatting>
  <conditionalFormatting sqref="O448 O449:P449">
    <cfRule type="expression" dxfId="77" priority="5" stopIfTrue="1">
      <formula>"esterreur(reference)"</formula>
    </cfRule>
  </conditionalFormatting>
  <conditionalFormatting sqref="O54:P54">
    <cfRule type="expression" dxfId="76" priority="93" stopIfTrue="1">
      <formula>"esterreur(reference)"</formula>
    </cfRule>
  </conditionalFormatting>
  <conditionalFormatting sqref="O72:P72">
    <cfRule type="expression" dxfId="75" priority="91" stopIfTrue="1">
      <formula>"esterreur(reference)"</formula>
    </cfRule>
  </conditionalFormatting>
  <conditionalFormatting sqref="O74:P74">
    <cfRule type="expression" dxfId="74" priority="88" stopIfTrue="1">
      <formula>"esterreur(reference)"</formula>
    </cfRule>
  </conditionalFormatting>
  <conditionalFormatting sqref="O85:P85">
    <cfRule type="expression" dxfId="73" priority="27" stopIfTrue="1">
      <formula>"esterreur(reference)"</formula>
    </cfRule>
  </conditionalFormatting>
  <conditionalFormatting sqref="O123:P133">
    <cfRule type="expression" dxfId="72" priority="86" stopIfTrue="1">
      <formula>"esterreur(reference)"</formula>
    </cfRule>
  </conditionalFormatting>
  <conditionalFormatting sqref="O136:P136">
    <cfRule type="expression" dxfId="71" priority="85" stopIfTrue="1">
      <formula>"esterreur(reference)"</formula>
    </cfRule>
  </conditionalFormatting>
  <conditionalFormatting sqref="O154:P154">
    <cfRule type="expression" dxfId="70" priority="84" stopIfTrue="1">
      <formula>"esterreur(reference)"</formula>
    </cfRule>
  </conditionalFormatting>
  <conditionalFormatting sqref="O156:P158">
    <cfRule type="expression" dxfId="69" priority="81" stopIfTrue="1">
      <formula>"esterreur(reference)"</formula>
    </cfRule>
  </conditionalFormatting>
  <conditionalFormatting sqref="O164:P164">
    <cfRule type="expression" dxfId="68" priority="78" stopIfTrue="1">
      <formula>"esterreur(reference)"</formula>
    </cfRule>
  </conditionalFormatting>
  <conditionalFormatting sqref="O166:P166">
    <cfRule type="expression" dxfId="67" priority="30" stopIfTrue="1">
      <formula>"esterreur(reference)"</formula>
    </cfRule>
  </conditionalFormatting>
  <conditionalFormatting sqref="O196:P206">
    <cfRule type="expression" dxfId="66" priority="77" stopIfTrue="1">
      <formula>"esterreur(reference)"</formula>
    </cfRule>
  </conditionalFormatting>
  <conditionalFormatting sqref="O209:P209">
    <cfRule type="expression" dxfId="65" priority="76" stopIfTrue="1">
      <formula>"esterreur(reference)"</formula>
    </cfRule>
  </conditionalFormatting>
  <conditionalFormatting sqref="O227:P227">
    <cfRule type="expression" dxfId="64" priority="75" stopIfTrue="1">
      <formula>"esterreur(reference)"</formula>
    </cfRule>
  </conditionalFormatting>
  <conditionalFormatting sqref="O229:P231">
    <cfRule type="expression" dxfId="63" priority="72" stopIfTrue="1">
      <formula>"esterreur(reference)"</formula>
    </cfRule>
  </conditionalFormatting>
  <conditionalFormatting sqref="O237:P237">
    <cfRule type="expression" dxfId="62" priority="69" stopIfTrue="1">
      <formula>"esterreur(reference)"</formula>
    </cfRule>
  </conditionalFormatting>
  <conditionalFormatting sqref="O239:P239">
    <cfRule type="expression" dxfId="61" priority="33" stopIfTrue="1">
      <formula>"esterreur(reference)"</formula>
    </cfRule>
  </conditionalFormatting>
  <conditionalFormatting sqref="O276:P303">
    <cfRule type="expression" dxfId="60" priority="67" stopIfTrue="1">
      <formula>"esterreur(reference)"</formula>
    </cfRule>
  </conditionalFormatting>
  <conditionalFormatting sqref="O305:P305">
    <cfRule type="expression" dxfId="59" priority="64" stopIfTrue="1">
      <formula>"esterreur(reference)"</formula>
    </cfRule>
  </conditionalFormatting>
  <conditionalFormatting sqref="O307:P307">
    <cfRule type="expression" dxfId="58" priority="36" stopIfTrue="1">
      <formula>"esterreur(reference)"</formula>
    </cfRule>
  </conditionalFormatting>
  <conditionalFormatting sqref="O330:P342">
    <cfRule type="expression" dxfId="57" priority="63" stopIfTrue="1">
      <formula>"esterreur(reference)"</formula>
    </cfRule>
  </conditionalFormatting>
  <conditionalFormatting sqref="O361:P361">
    <cfRule type="expression" dxfId="56" priority="61" stopIfTrue="1">
      <formula>"esterreur(reference)"</formula>
    </cfRule>
  </conditionalFormatting>
  <conditionalFormatting sqref="O363:P363">
    <cfRule type="expression" dxfId="55" priority="58" stopIfTrue="1">
      <formula>"esterreur(reference)"</formula>
    </cfRule>
  </conditionalFormatting>
  <conditionalFormatting sqref="O365:P365">
    <cfRule type="expression" dxfId="54" priority="39" stopIfTrue="1">
      <formula>"esterreur(reference)"</formula>
    </cfRule>
  </conditionalFormatting>
  <conditionalFormatting sqref="O371:P379 O380:Q382 O383:P384 O385:Q389 O392:Q405 O428:Q428">
    <cfRule type="expression" dxfId="53" priority="115" stopIfTrue="1">
      <formula>"esterreur(reference)"</formula>
    </cfRule>
  </conditionalFormatting>
  <conditionalFormatting sqref="O406:P425">
    <cfRule type="expression" dxfId="52" priority="56" stopIfTrue="1">
      <formula>"esterreur(reference)"</formula>
    </cfRule>
  </conditionalFormatting>
  <conditionalFormatting sqref="O427:P427">
    <cfRule type="expression" dxfId="51" priority="53" stopIfTrue="1">
      <formula>"esterreur(reference)"</formula>
    </cfRule>
  </conditionalFormatting>
  <conditionalFormatting sqref="O429:P429">
    <cfRule type="expression" dxfId="50" priority="42" stopIfTrue="1">
      <formula>"esterreur(reference)"</formula>
    </cfRule>
  </conditionalFormatting>
  <conditionalFormatting sqref="O464:P464">
    <cfRule type="expression" dxfId="49" priority="51" stopIfTrue="1">
      <formula>"esterreur(reference)"</formula>
    </cfRule>
  </conditionalFormatting>
  <conditionalFormatting sqref="O482:P482">
    <cfRule type="expression" dxfId="48" priority="48" stopIfTrue="1">
      <formula>"esterreur(reference)"</formula>
    </cfRule>
  </conditionalFormatting>
  <conditionalFormatting sqref="O484:P484">
    <cfRule type="expression" dxfId="47" priority="45" stopIfTrue="1">
      <formula>"esterreur(reference)"</formula>
    </cfRule>
  </conditionalFormatting>
  <conditionalFormatting sqref="O486:P486">
    <cfRule type="expression" dxfId="46" priority="1" stopIfTrue="1">
      <formula>"esterreur(reference)"</formula>
    </cfRule>
  </conditionalFormatting>
  <conditionalFormatting sqref="O53:Q53 O55:Q71">
    <cfRule type="expression" dxfId="45" priority="126" stopIfTrue="1">
      <formula>"esterreur(reference)"</formula>
    </cfRule>
  </conditionalFormatting>
  <conditionalFormatting sqref="O180:Q181">
    <cfRule type="expression" dxfId="44" priority="109" stopIfTrue="1">
      <formula>"esterreur(reference)"</formula>
    </cfRule>
  </conditionalFormatting>
  <conditionalFormatting sqref="O436:Q436">
    <cfRule type="expression" dxfId="43" priority="114" stopIfTrue="1">
      <formula>"esterreur(reference)"</formula>
    </cfRule>
  </conditionalFormatting>
  <conditionalFormatting sqref="O447:Q447 O450:Q463 O465:Q481">
    <cfRule type="expression" dxfId="42" priority="99" stopIfTrue="1">
      <formula>"esterreur(reference)"</formula>
    </cfRule>
  </conditionalFormatting>
  <conditionalFormatting sqref="O483:Q483 O485:Q485">
    <cfRule type="expression" dxfId="41" priority="98" stopIfTrue="1">
      <formula>"esterreur(reference)"</formula>
    </cfRule>
  </conditionalFormatting>
  <conditionalFormatting sqref="P5:Q5">
    <cfRule type="expression" dxfId="40" priority="130" stopIfTrue="1">
      <formula>"esterreur(reference)"</formula>
    </cfRule>
  </conditionalFormatting>
  <conditionalFormatting sqref="P315:Q315 P317:Q318 O328:Q329 O343:Q360 O364:Q364">
    <cfRule type="expression" dxfId="39" priority="118" stopIfTrue="1">
      <formula>"esterreur(reference)"</formula>
    </cfRule>
  </conditionalFormatting>
  <conditionalFormatting sqref="P321:Q321">
    <cfRule type="expression" dxfId="38" priority="119" stopIfTrue="1">
      <formula>"esterreur(reference)"</formula>
    </cfRule>
  </conditionalFormatting>
  <conditionalFormatting sqref="P437:Q437 P439:Q440">
    <cfRule type="expression" dxfId="37" priority="103" stopIfTrue="1">
      <formula>"esterreur(reference)"</formula>
    </cfRule>
  </conditionalFormatting>
  <conditionalFormatting sqref="P443:Q443">
    <cfRule type="expression" dxfId="36" priority="104" stopIfTrue="1">
      <formula>"esterreur(reference)"</formula>
    </cfRule>
  </conditionalFormatting>
  <conditionalFormatting sqref="Q6:Q14 O13:O14 O18:O24 O25:Q26 O27 O28:Q30 O31:P36 O37 O38:P52 O83:P83 O84:Q84">
    <cfRule type="expression" dxfId="35" priority="128" stopIfTrue="1">
      <formula>"esterreur(reference)"</formula>
    </cfRule>
  </conditionalFormatting>
  <conditionalFormatting sqref="Q75:Q82">
    <cfRule type="expression" dxfId="34" priority="129" stopIfTrue="1">
      <formula>"esterreur(reference)"</formula>
    </cfRule>
  </conditionalFormatting>
  <conditionalFormatting sqref="Q157:Q163">
    <cfRule type="expression" dxfId="33" priority="125" stopIfTrue="1">
      <formula>"esterreur(reference)"</formula>
    </cfRule>
  </conditionalFormatting>
  <conditionalFormatting sqref="Q230:Q236">
    <cfRule type="expression" dxfId="32" priority="110" stopIfTrue="1">
      <formula>"esterreur(reference)"</formula>
    </cfRule>
  </conditionalFormatting>
  <conditionalFormatting sqref="Q259">
    <cfRule type="expression" dxfId="31" priority="95" stopIfTrue="1">
      <formula>"esterreur(reference)"</formula>
    </cfRule>
  </conditionalFormatting>
  <conditionalFormatting sqref="Q272:Q283">
    <cfRule type="expression" dxfId="30" priority="123" stopIfTrue="1">
      <formula>"esterreur(reference)"</formula>
    </cfRule>
  </conditionalFormatting>
  <conditionalFormatting sqref="Q285:Q302">
    <cfRule type="expression" dxfId="29" priority="124" stopIfTrue="1">
      <formula>"esterreur(reference)"</formula>
    </cfRule>
  </conditionalFormatting>
  <conditionalFormatting sqref="Q324">
    <cfRule type="expression" dxfId="28" priority="96" stopIfTrue="1">
      <formula>"esterreur(reference)"</formula>
    </cfRule>
  </conditionalFormatting>
  <conditionalFormatting sqref="Q330:Q341">
    <cfRule type="expression" dxfId="27" priority="120" stopIfTrue="1">
      <formula>"esterreur(reference)"</formula>
    </cfRule>
  </conditionalFormatting>
  <conditionalFormatting sqref="Q422:Q424">
    <cfRule type="expression" dxfId="26" priority="116" stopIfTrue="1">
      <formula>"esterreur(reference)"</formula>
    </cfRule>
  </conditionalFormatting>
  <conditionalFormatting sqref="R388">
    <cfRule type="expression" dxfId="25" priority="141" stopIfTrue="1">
      <formula>"esterreur(reference)"</formula>
    </cfRule>
  </conditionalFormatting>
  <conditionalFormatting sqref="S260">
    <cfRule type="expression" dxfId="24" priority="155" stopIfTrue="1">
      <formula>"esterreur(reference)"</formula>
    </cfRule>
  </conditionalFormatting>
  <conditionalFormatting sqref="AG496:AI505 AH507:AI519 AH521:AI538 AH540:AI547 AH548:AH549 AH550:AI552 AH554:AI554 AH578:AI584">
    <cfRule type="cellIs" dxfId="23" priority="142" operator="greaterThan">
      <formula>0</formula>
    </cfRule>
  </conditionalFormatting>
  <conditionalFormatting sqref="AH556:AI563 AH567:AI567">
    <cfRule type="cellIs" dxfId="22" priority="143" operator="lessThan">
      <formula>0</formula>
    </cfRule>
  </conditionalFormatting>
  <conditionalFormatting sqref="AH564:AI566">
    <cfRule type="cellIs" dxfId="21" priority="158" operator="greaterThan">
      <formula>0</formula>
    </cfRule>
  </conditionalFormatting>
  <conditionalFormatting sqref="AO496:AO505">
    <cfRule type="cellIs" dxfId="20" priority="156"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sheetPr>
    <tabColor rgb="FF00B0F0"/>
  </sheetPr>
  <dimension ref="B1:AR43"/>
  <sheetViews>
    <sheetView zoomScale="80" zoomScaleNormal="80" workbookViewId="0">
      <selection activeCell="S18" sqref="S18:S32"/>
    </sheetView>
  </sheetViews>
  <sheetFormatPr baseColWidth="10" defaultRowHeight="17.399999999999999"/>
  <cols>
    <col min="2" max="2" width="15.19921875" hidden="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Juin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1"/>
      <c r="D3" s="1261" t="s">
        <v>339</v>
      </c>
      <c r="E3" s="1262"/>
      <c r="F3" s="1262"/>
      <c r="G3" s="1260"/>
      <c r="H3" s="1259"/>
      <c r="I3" s="1262"/>
      <c r="J3" s="1262"/>
      <c r="K3" s="1260"/>
      <c r="L3" s="1259" t="s">
        <v>340</v>
      </c>
      <c r="M3" s="1262"/>
      <c r="N3" s="1262"/>
      <c r="O3" s="1260"/>
      <c r="P3" s="1259" t="s">
        <v>668</v>
      </c>
      <c r="Q3" s="1260"/>
      <c r="R3" s="1261" t="s">
        <v>341</v>
      </c>
      <c r="S3" s="1262"/>
      <c r="T3" s="1262"/>
      <c r="U3" s="1260"/>
      <c r="V3" s="1259" t="s">
        <v>670</v>
      </c>
      <c r="W3" s="1260"/>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c r="C6" s="992" t="s">
        <v>3109</v>
      </c>
      <c r="D6" s="993"/>
      <c r="E6" s="993"/>
      <c r="F6" s="1033"/>
      <c r="G6" s="993"/>
      <c r="H6" s="994"/>
      <c r="I6" s="993"/>
      <c r="J6" s="993"/>
      <c r="K6" s="993"/>
      <c r="L6" s="994">
        <f>SUMIFS(BV_Data_An_Cour!$AW:$AW,BV_Data_An_Cour!$AO:$AO,$Y6)</f>
        <v>29</v>
      </c>
      <c r="M6" s="659">
        <f>-SUMIFS(BV_Data_An_Cour!$AM:$AM,BV_Data_An_Cour!$AO:$AO,$Y6)</f>
        <v>18692.679999999993</v>
      </c>
      <c r="N6" s="1036">
        <f>IFERROR(O6/M6,0)</f>
        <v>0.58985923901762571</v>
      </c>
      <c r="O6" s="995">
        <f>-SUMIFS(BV_Data_An_Cour!$AM:$AM,BV_Data_An_Cour!$AO:$AO,$Y6)-SUMIFS(BV_Data_An_Cour!$AM:$AM,BV_Data_An_Cour!$AO:$AO,$Z6)</f>
        <v>11026.049999999988</v>
      </c>
      <c r="P6" s="1037">
        <f>IFERROR((M6-E6)/E6,0)</f>
        <v>0</v>
      </c>
      <c r="Q6" s="995">
        <f>O6-G6</f>
        <v>11026.049999999988</v>
      </c>
      <c r="R6" s="994">
        <f>SUMIFS(BV_Data_An_Prec!$AW:$AW,BV_Data_An_Prec!$AO:$AO,$Y6)</f>
        <v>33</v>
      </c>
      <c r="S6" s="659">
        <f>-SUMIFS(BV_Data_An_Prec!$AM:$AM,BV_Data_An_Prec!$AO:$AO,$Y6)</f>
        <v>42485.899999999994</v>
      </c>
      <c r="T6" s="1036">
        <f>IFERROR(U6/S6,0)</f>
        <v>0.71003015117956769</v>
      </c>
      <c r="U6" s="995">
        <f>-SUMIFS(BV_Data_An_Prec!$AM:$AM,BV_Data_An_Prec!$AO:$AO,$Y6)-SUMIFS(BV_Data_An_Prec!$AM:$AM,BV_Data_An_Prec!$AO:$AO,$Z6)</f>
        <v>30166.26999999999</v>
      </c>
      <c r="V6" s="1037">
        <f>IF(R6=0,0,L6/R6)</f>
        <v>0.87878787878787878</v>
      </c>
      <c r="W6" s="995">
        <f>O6-U6</f>
        <v>-19140.22</v>
      </c>
      <c r="X6" s="936"/>
      <c r="Y6" s="398" t="s">
        <v>2497</v>
      </c>
      <c r="Z6" s="398" t="s">
        <v>2889</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c r="C7" s="992" t="s">
        <v>3110</v>
      </c>
      <c r="D7" s="993"/>
      <c r="E7" s="993"/>
      <c r="F7" s="1033"/>
      <c r="G7" s="993"/>
      <c r="H7" s="994"/>
      <c r="I7" s="993"/>
      <c r="J7" s="993"/>
      <c r="K7" s="993"/>
      <c r="L7" s="994">
        <f>SUMIFS(BV_Data_An_Cour!$AW:$AW,BV_Data_An_Cour!$AO:$AO,$Y7)</f>
        <v>22</v>
      </c>
      <c r="M7" s="659">
        <f>-SUMIFS(BV_Data_An_Cour!$AM:$AM,BV_Data_An_Cour!$AO:$AO,$Y7)</f>
        <v>12164.35</v>
      </c>
      <c r="N7" s="1036">
        <f t="shared" ref="N7:N14" si="0">IFERROR(O7/M7,0)</f>
        <v>0.79948373731436539</v>
      </c>
      <c r="O7" s="995">
        <f>-SUMIFS(BV_Data_An_Cour!$AM:$AM,BV_Data_An_Cour!$AO:$AO,$Y7)-SUMIFS(BV_Data_An_Cour!$AM:$AM,BV_Data_An_Cour!$AO:$AO,$Z7)</f>
        <v>9725.2000000000007</v>
      </c>
      <c r="P7" s="1037">
        <f t="shared" ref="P7:P13" si="1">IFERROR((M7-E7)/E7,0)</f>
        <v>0</v>
      </c>
      <c r="Q7" s="995">
        <f t="shared" ref="Q7:Q13" si="2">O7-G7</f>
        <v>9725.2000000000007</v>
      </c>
      <c r="R7" s="993">
        <f>SUMIFS(BV_Data_An_Prec!$AW:$AW,BV_Data_An_Prec!$AO:$AO,$Y7)</f>
        <v>0</v>
      </c>
      <c r="S7" s="1035">
        <f>-SUMIFS(BV_Data_An_Prec!$AM:$AM,BV_Data_An_Prec!$AO:$AO,$Y7)</f>
        <v>0</v>
      </c>
      <c r="T7" s="1036">
        <f t="shared" ref="T7:T13" si="3">IFERROR(U7/S7,0)</f>
        <v>0</v>
      </c>
      <c r="U7" s="996">
        <f>-SUMIFS(BV_Data_An_Prec!$AM:$AM,BV_Data_An_Prec!$AO:$AO,$Y7)-SUMIFS(BV_Data_An_Prec!$AM:$AM,BV_Data_An_Prec!$AO:$AO,$Z7)</f>
        <v>0</v>
      </c>
      <c r="V7" s="1037">
        <f t="shared" ref="V7:V13" si="4">IF(R7=0,0,L7/R7)</f>
        <v>0</v>
      </c>
      <c r="W7" s="995">
        <f t="shared" ref="W7:W13" si="5">O7-U7</f>
        <v>9725.2000000000007</v>
      </c>
      <c r="X7" s="936"/>
      <c r="Y7" s="398" t="s">
        <v>2493</v>
      </c>
      <c r="Z7" s="398" t="s">
        <v>2885</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c r="C8" s="992" t="s">
        <v>3111</v>
      </c>
      <c r="D8" s="993"/>
      <c r="E8" s="993"/>
      <c r="F8" s="1033"/>
      <c r="G8" s="993"/>
      <c r="H8" s="994"/>
      <c r="I8" s="993"/>
      <c r="J8" s="993"/>
      <c r="K8" s="993"/>
      <c r="L8" s="994">
        <f>SUMIFS(BV_Data_An_Cour!$AW:$AW,BV_Data_An_Cour!$AO:$AO,$Y8)</f>
        <v>19</v>
      </c>
      <c r="M8" s="659">
        <f>-SUMIFS(BV_Data_An_Cour!$AM:$AM,BV_Data_An_Cour!$AO:$AO,$Y8)</f>
        <v>3563.6000000000004</v>
      </c>
      <c r="N8" s="1036">
        <f t="shared" si="0"/>
        <v>0.80416152205634761</v>
      </c>
      <c r="O8" s="995">
        <f>-SUMIFS(BV_Data_An_Cour!$AM:$AM,BV_Data_An_Cour!$AO:$AO,$Y8)-SUMIFS(BV_Data_An_Cour!$AM:$AM,BV_Data_An_Cour!$AO:$AO,$Z8)</f>
        <v>2865.7100000000005</v>
      </c>
      <c r="P8" s="1037">
        <f t="shared" si="1"/>
        <v>0</v>
      </c>
      <c r="Q8" s="995">
        <f t="shared" si="2"/>
        <v>2865.7100000000005</v>
      </c>
      <c r="R8" s="993">
        <f>SUMIFS(BV_Data_An_Prec!$AW:$AW,BV_Data_An_Prec!$AO:$AO,$Y8)</f>
        <v>0</v>
      </c>
      <c r="S8" s="1035">
        <f>-SUMIFS(BV_Data_An_Prec!$AM:$AM,BV_Data_An_Prec!$AO:$AO,$Y8)</f>
        <v>0</v>
      </c>
      <c r="T8" s="1036">
        <f t="shared" si="3"/>
        <v>0</v>
      </c>
      <c r="U8" s="996">
        <f>-SUMIFS(BV_Data_An_Prec!$AM:$AM,BV_Data_An_Prec!$AO:$AO,$Y8)-SUMIFS(BV_Data_An_Prec!$AM:$AM,BV_Data_An_Prec!$AO:$AO,$Z8)</f>
        <v>0</v>
      </c>
      <c r="V8" s="1037">
        <f t="shared" si="4"/>
        <v>0</v>
      </c>
      <c r="W8" s="995">
        <f t="shared" si="5"/>
        <v>2865.7100000000005</v>
      </c>
      <c r="X8" s="936"/>
      <c r="Y8" s="398" t="s">
        <v>2501</v>
      </c>
      <c r="Z8" s="398" t="s">
        <v>2893</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c r="C9" s="992" t="s">
        <v>3112</v>
      </c>
      <c r="D9" s="993"/>
      <c r="E9" s="993"/>
      <c r="F9" s="1033"/>
      <c r="G9" s="993"/>
      <c r="H9" s="994"/>
      <c r="I9" s="993"/>
      <c r="J9" s="993"/>
      <c r="K9" s="993"/>
      <c r="L9" s="994">
        <f>SUMIFS(BV_Data_An_Cour!$AW:$AW,BV_Data_An_Cour!$AO:$AO,$Y9)</f>
        <v>0</v>
      </c>
      <c r="M9" s="659">
        <f>-SUMIFS(BV_Data_An_Cour!$AM:$AM,BV_Data_An_Cour!$AO:$AO,$Y9)</f>
        <v>0</v>
      </c>
      <c r="N9" s="1036">
        <f t="shared" si="0"/>
        <v>0</v>
      </c>
      <c r="O9" s="995">
        <f>-SUMIFS(BV_Data_An_Cour!$AM:$AM,BV_Data_An_Cour!$AO:$AO,$Y9)-SUMIFS(BV_Data_An_Cour!$AM:$AM,BV_Data_An_Cour!$AO:$AO,$Z9)</f>
        <v>0</v>
      </c>
      <c r="P9" s="1037">
        <f t="shared" si="1"/>
        <v>0</v>
      </c>
      <c r="Q9" s="995">
        <f t="shared" si="2"/>
        <v>0</v>
      </c>
      <c r="R9" s="993">
        <f>SUMIFS(BV_Data_An_Prec!$AW:$AW,BV_Data_An_Prec!$AO:$AO,$Y9)</f>
        <v>0</v>
      </c>
      <c r="S9" s="1035">
        <f>-SUMIFS(BV_Data_An_Prec!$AM:$AM,BV_Data_An_Prec!$AO:$AO,$Y9)</f>
        <v>0</v>
      </c>
      <c r="T9" s="1036">
        <f t="shared" si="3"/>
        <v>0</v>
      </c>
      <c r="U9" s="996">
        <f>-SUMIFS(BV_Data_An_Prec!$AM:$AM,BV_Data_An_Prec!$AO:$AO,$Y9)-SUMIFS(BV_Data_An_Prec!$AM:$AM,BV_Data_An_Prec!$AO:$AO,$Z9)</f>
        <v>0</v>
      </c>
      <c r="V9" s="1037">
        <f t="shared" si="4"/>
        <v>0</v>
      </c>
      <c r="W9" s="995">
        <f t="shared" si="5"/>
        <v>0</v>
      </c>
      <c r="X9" s="936"/>
      <c r="Y9" s="398" t="s">
        <v>2523</v>
      </c>
      <c r="Z9" s="398" t="s">
        <v>2915</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c r="C10" s="992" t="s">
        <v>3113</v>
      </c>
      <c r="D10" s="993"/>
      <c r="E10" s="993"/>
      <c r="F10" s="1033"/>
      <c r="G10" s="993"/>
      <c r="H10" s="994"/>
      <c r="I10" s="993"/>
      <c r="J10" s="993"/>
      <c r="K10" s="993"/>
      <c r="L10" s="994">
        <f>SUMIFS(BV_Data_An_Cour!$AW:$AW,BV_Data_An_Cour!$AO:$AO,$Y10)</f>
        <v>25</v>
      </c>
      <c r="M10" s="659">
        <f>-SUMIFS(BV_Data_An_Cour!$AM:$AM,BV_Data_An_Cour!$AO:$AO,$Y10)</f>
        <v>10555.910000000018</v>
      </c>
      <c r="N10" s="1036">
        <f t="shared" si="0"/>
        <v>0.32884327357849902</v>
      </c>
      <c r="O10" s="995">
        <f>-SUMIFS(BV_Data_An_Cour!$AM:$AM,BV_Data_An_Cour!$AO:$AO,$Y10)-SUMIFS(BV_Data_An_Cour!$AM:$AM,BV_Data_An_Cour!$AO:$AO,$Z10)</f>
        <v>3471.2400000000198</v>
      </c>
      <c r="P10" s="1037">
        <f t="shared" si="1"/>
        <v>0</v>
      </c>
      <c r="Q10" s="995">
        <f t="shared" si="2"/>
        <v>3471.2400000000198</v>
      </c>
      <c r="R10" s="993">
        <f>SUMIFS(BV_Data_An_Prec!$AW:$AW,BV_Data_An_Prec!$AO:$AO,$Y10)</f>
        <v>37</v>
      </c>
      <c r="S10" s="1035">
        <f>-SUMIFS(BV_Data_An_Prec!$AM:$AM,BV_Data_An_Prec!$AO:$AO,$Y10)</f>
        <v>21764.25</v>
      </c>
      <c r="T10" s="1036">
        <f t="shared" si="3"/>
        <v>0.69449716852177301</v>
      </c>
      <c r="U10" s="996">
        <f>-SUMIFS(BV_Data_An_Prec!$AM:$AM,BV_Data_An_Prec!$AO:$AO,$Y10)-SUMIFS(BV_Data_An_Prec!$AM:$AM,BV_Data_An_Prec!$AO:$AO,$Z10)</f>
        <v>15115.21</v>
      </c>
      <c r="V10" s="1037">
        <f t="shared" si="4"/>
        <v>0.67567567567567566</v>
      </c>
      <c r="W10" s="995">
        <f t="shared" si="5"/>
        <v>-11643.969999999979</v>
      </c>
      <c r="X10" s="936"/>
      <c r="Y10" s="398" t="s">
        <v>2541</v>
      </c>
      <c r="Z10" s="398" t="s">
        <v>2933</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c r="C11" s="992" t="s">
        <v>3114</v>
      </c>
      <c r="D11" s="993"/>
      <c r="E11" s="993"/>
      <c r="F11" s="1033"/>
      <c r="G11" s="993"/>
      <c r="H11" s="994"/>
      <c r="I11" s="993"/>
      <c r="J11" s="993"/>
      <c r="K11" s="993"/>
      <c r="L11" s="994">
        <f>SUMIFS(BV_Data_An_Cour!$AW:$AW,BV_Data_An_Cour!$AO:$AO,$Y11)</f>
        <v>30</v>
      </c>
      <c r="M11" s="659">
        <f>-SUMIFS(BV_Data_An_Cour!$AM:$AM,BV_Data_An_Cour!$AO:$AO,$Y11)</f>
        <v>6763.5</v>
      </c>
      <c r="N11" s="1036">
        <f t="shared" si="0"/>
        <v>0.20327493161824506</v>
      </c>
      <c r="O11" s="995">
        <f>-SUMIFS(BV_Data_An_Cour!$AM:$AM,BV_Data_An_Cour!$AO:$AO,$Y11)-SUMIFS(BV_Data_An_Cour!$AM:$AM,BV_Data_An_Cour!$AO:$AO,$Z11)</f>
        <v>1374.8500000000004</v>
      </c>
      <c r="P11" s="1037">
        <f t="shared" si="1"/>
        <v>0</v>
      </c>
      <c r="Q11" s="995">
        <f t="shared" si="2"/>
        <v>1374.8500000000004</v>
      </c>
      <c r="R11" s="993">
        <f>SUMIFS(BV_Data_An_Prec!$AW:$AW,BV_Data_An_Prec!$AO:$AO,$Y11)</f>
        <v>0</v>
      </c>
      <c r="S11" s="1035">
        <f>-SUMIFS(BV_Data_An_Prec!$AM:$AM,BV_Data_An_Prec!$AO:$AO,$Y11)</f>
        <v>0</v>
      </c>
      <c r="T11" s="1036">
        <f t="shared" si="3"/>
        <v>0</v>
      </c>
      <c r="U11" s="996">
        <f>-SUMIFS(BV_Data_An_Prec!$AM:$AM,BV_Data_An_Prec!$AO:$AO,$Y11)-SUMIFS(BV_Data_An_Prec!$AM:$AM,BV_Data_An_Prec!$AO:$AO,$Z11)</f>
        <v>0</v>
      </c>
      <c r="V11" s="1037">
        <f t="shared" si="4"/>
        <v>0</v>
      </c>
      <c r="W11" s="995">
        <f t="shared" si="5"/>
        <v>1374.8500000000004</v>
      </c>
      <c r="X11" s="936"/>
      <c r="Y11" s="398" t="s">
        <v>2547</v>
      </c>
      <c r="Z11" s="398" t="s">
        <v>2939</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c r="C12" s="992" t="s">
        <v>3115</v>
      </c>
      <c r="D12" s="993"/>
      <c r="E12" s="993"/>
      <c r="F12" s="1033"/>
      <c r="G12" s="993"/>
      <c r="H12" s="994"/>
      <c r="I12" s="993"/>
      <c r="J12" s="993"/>
      <c r="K12" s="993"/>
      <c r="L12" s="994">
        <f>SUMIFS(BV_Data_An_Cour!$AW:$AW,BV_Data_An_Cour!$AO:$AO,$Y12)</f>
        <v>31</v>
      </c>
      <c r="M12" s="659">
        <f>-SUMIFS(BV_Data_An_Cour!$AM:$AM,BV_Data_An_Cour!$AO:$AO,$Y12)</f>
        <v>52100.100000000035</v>
      </c>
      <c r="N12" s="1036">
        <f t="shared" si="0"/>
        <v>0.27031925082677372</v>
      </c>
      <c r="O12" s="995">
        <f>-SUMIFS(BV_Data_An_Cour!$AM:$AM,BV_Data_An_Cour!$AO:$AO,$Y12)-SUMIFS(BV_Data_An_Cour!$AM:$AM,BV_Data_An_Cour!$AO:$AO,$Z12)</f>
        <v>14083.660000000003</v>
      </c>
      <c r="P12" s="1037">
        <f t="shared" si="1"/>
        <v>0</v>
      </c>
      <c r="Q12" s="995">
        <f t="shared" si="2"/>
        <v>14083.660000000003</v>
      </c>
      <c r="R12" s="993">
        <f>SUMIFS(BV_Data_An_Prec!$AW:$AW,BV_Data_An_Prec!$AO:$AO,$Y12)</f>
        <v>27</v>
      </c>
      <c r="S12" s="1035">
        <f>-SUMIFS(BV_Data_An_Prec!$AM:$AM,BV_Data_An_Prec!$AO:$AO,$Y12)</f>
        <v>70380.56</v>
      </c>
      <c r="T12" s="1036">
        <f t="shared" si="3"/>
        <v>0.15886886947191139</v>
      </c>
      <c r="U12" s="996">
        <f>-SUMIFS(BV_Data_An_Prec!$AM:$AM,BV_Data_An_Prec!$AO:$AO,$Y12)-SUMIFS(BV_Data_An_Prec!$AM:$AM,BV_Data_An_Prec!$AO:$AO,$Z12)</f>
        <v>11181.280000000028</v>
      </c>
      <c r="V12" s="1037">
        <f t="shared" si="4"/>
        <v>1.1481481481481481</v>
      </c>
      <c r="W12" s="995">
        <f t="shared" si="5"/>
        <v>2902.3799999999756</v>
      </c>
      <c r="X12" s="936"/>
      <c r="Y12" s="398" t="s">
        <v>2517</v>
      </c>
      <c r="Z12" s="398" t="s">
        <v>2909</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3130</v>
      </c>
      <c r="D13" s="998"/>
      <c r="E13" s="998"/>
      <c r="F13" s="999"/>
      <c r="G13" s="998"/>
      <c r="H13" s="1000"/>
      <c r="I13" s="998"/>
      <c r="J13" s="998"/>
      <c r="K13" s="998"/>
      <c r="L13" s="1000">
        <f>SUMIFS(BV_Data_An_Cour!$AW:$AW,BV_Data_An_Cour!$AO:$AO,$Y13)</f>
        <v>6</v>
      </c>
      <c r="M13" s="659">
        <f>-SUMIFS(BV_Data_An_Cour!$AM:$AM,BV_Data_An_Cour!$AO:$AO,$Y13)</f>
        <v>1486.33</v>
      </c>
      <c r="N13" s="1036">
        <f t="shared" si="0"/>
        <v>0</v>
      </c>
      <c r="O13" s="995">
        <f>-SUMIFS(BV_Data_An_Cour!$AM:$AM,BV_Data_An_Cour!$AO:$AO,$Y13)-SUMIFS(BV_Data_An_Cour!$AM:$AM,BV_Data_An_Cour!$AO:$AO,$Z13)</f>
        <v>0</v>
      </c>
      <c r="P13" s="1001">
        <f t="shared" si="1"/>
        <v>0</v>
      </c>
      <c r="Q13" s="1002">
        <f t="shared" si="2"/>
        <v>0</v>
      </c>
      <c r="R13" s="998">
        <f>SUMIFS(BV_Data_An_Prec!$AW:$AW,BV_Data_An_Prec!$AO:$AO,$Y13)</f>
        <v>0</v>
      </c>
      <c r="S13" s="1003">
        <f>-SUMIFS(BV_Data_An_Prec!$AM:$AM,BV_Data_An_Prec!$AO:$AO,$Y13)</f>
        <v>0</v>
      </c>
      <c r="T13" s="1036">
        <f t="shared" si="3"/>
        <v>0</v>
      </c>
      <c r="U13" s="1004">
        <f>-SUMIFS(BV_Data_An_Prec!$AM:$AM,BV_Data_An_Prec!$AO:$AO,$Y13)-SUMIFS(BV_Data_An_Prec!$AM:$AM,BV_Data_An_Prec!$AO:$AO,$Z13)</f>
        <v>0</v>
      </c>
      <c r="V13" s="1001">
        <f t="shared" si="4"/>
        <v>0</v>
      </c>
      <c r="W13" s="1002">
        <f t="shared" si="5"/>
        <v>0</v>
      </c>
      <c r="X13" s="936"/>
      <c r="Y13" s="398" t="s">
        <v>2529</v>
      </c>
      <c r="Z13" s="398" t="s">
        <v>2921</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105326.47000000004</v>
      </c>
      <c r="N14" s="1007">
        <f t="shared" si="0"/>
        <v>0.40395078274245777</v>
      </c>
      <c r="O14" s="1006">
        <f>SUM(O6:O13)</f>
        <v>42546.710000000014</v>
      </c>
      <c r="P14" s="1010">
        <f>IFERROR((M14-E14)/E14,0)</f>
        <v>0</v>
      </c>
      <c r="Q14" s="1011">
        <f>O14-G14</f>
        <v>42546.710000000014</v>
      </c>
      <c r="R14" s="1009"/>
      <c r="S14" s="1006">
        <f>SUM(S6:S13)</f>
        <v>134630.71</v>
      </c>
      <c r="T14" s="1007">
        <f t="shared" ref="T14" si="6">IFERROR(U14/S14,0)</f>
        <v>0.4193898999715594</v>
      </c>
      <c r="U14" s="1006">
        <f>SUM(U6:U13)</f>
        <v>56462.760000000017</v>
      </c>
      <c r="V14" s="1010">
        <f>IF(R14=0,0,L14/R14)</f>
        <v>0</v>
      </c>
      <c r="W14" s="1011">
        <f>SUM(W6:W13)</f>
        <v>-13916.050000000003</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c r="C16" s="992" t="s">
        <v>3116</v>
      </c>
      <c r="D16" s="993"/>
      <c r="E16" s="993"/>
      <c r="F16" s="1033"/>
      <c r="G16" s="993"/>
      <c r="H16" s="994"/>
      <c r="I16" s="993"/>
      <c r="J16" s="993"/>
      <c r="K16" s="993"/>
      <c r="L16" s="994">
        <f>SUMIFS(BV_Data_An_Cour!$AW:$AW,BV_Data_An_Cour!$AO:$AO,$Y16)</f>
        <v>8</v>
      </c>
      <c r="M16" s="659">
        <f>-SUMIFS(BV_Data_An_Cour!$AM:$AM,BV_Data_An_Cour!$AO:$AO,$Y16)</f>
        <v>4107.75</v>
      </c>
      <c r="N16" s="1036">
        <f>IFERROR(O16/M16,0)</f>
        <v>0.51993183616334981</v>
      </c>
      <c r="O16" s="995">
        <f>-SUMIFS(BV_Data_An_Cour!$AM:$AM,BV_Data_An_Cour!$AO:$AO,$Y16)-SUMIFS(BV_Data_An_Cour!$AM:$AM,BV_Data_An_Cour!$AO:$AO,$Z16)</f>
        <v>2135.75</v>
      </c>
      <c r="P16" s="1037">
        <f t="shared" ref="P16:P22" si="7">IFERROR((M16-E16)/E16,0)</f>
        <v>0</v>
      </c>
      <c r="Q16" s="995">
        <f t="shared" ref="Q16:Q22" si="8">O16-G16</f>
        <v>2135.75</v>
      </c>
      <c r="R16" s="993">
        <f>SUMIFS(BV_Data_An_Prec!$AW:$AW,BV_Data_An_Prec!$AO:$AO,$Y16)</f>
        <v>8</v>
      </c>
      <c r="S16" s="1035">
        <f>-SUMIFS(BV_Data_An_Prec!$AM:$AM,BV_Data_An_Prec!$AO:$AO,$Y16)</f>
        <v>5239.1700000000019</v>
      </c>
      <c r="T16" s="1036">
        <f t="shared" ref="T16:T24" si="9">IFERROR(U16/S16,0)</f>
        <v>0.30551976744408016</v>
      </c>
      <c r="U16" s="996">
        <f>-SUMIFS(BV_Data_An_Prec!$AM:$AM,BV_Data_An_Prec!$AO:$AO,$Y16)-SUMIFS(BV_Data_An_Prec!$AM:$AM,BV_Data_An_Prec!$AO:$AO,$Z16)</f>
        <v>1600.6700000000019</v>
      </c>
      <c r="V16" s="1037">
        <f t="shared" ref="V16:V22" si="10">IF(R16=0,0,L16/R16)</f>
        <v>1</v>
      </c>
      <c r="W16" s="995">
        <f t="shared" ref="W16:W22" si="11">O16-U16</f>
        <v>535.07999999999811</v>
      </c>
      <c r="X16" s="936"/>
      <c r="Y16" s="398" t="s">
        <v>2509</v>
      </c>
      <c r="Z16" s="398" t="s">
        <v>2901</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c r="C17" s="992" t="s">
        <v>3117</v>
      </c>
      <c r="D17" s="993"/>
      <c r="E17" s="993"/>
      <c r="F17" s="1033"/>
      <c r="G17" s="993"/>
      <c r="H17" s="994"/>
      <c r="I17" s="993"/>
      <c r="J17" s="993"/>
      <c r="K17" s="993"/>
      <c r="L17" s="994">
        <f>SUMIFS(BV_Data_An_Cour!$AW:$AW,BV_Data_An_Cour!$AO:$AO,$Y17)</f>
        <v>6</v>
      </c>
      <c r="M17" s="659">
        <f>-SUMIFS(BV_Data_An_Cour!$AM:$AM,BV_Data_An_Cour!$AO:$AO,$Y17)</f>
        <v>1026</v>
      </c>
      <c r="N17" s="1036">
        <f t="shared" ref="N17:N25" si="12">IFERROR(O17/M17,0)</f>
        <v>0.59315789473684211</v>
      </c>
      <c r="O17" s="995">
        <f>-SUMIFS(BV_Data_An_Cour!$AM:$AM,BV_Data_An_Cour!$AO:$AO,$Y17)-SUMIFS(BV_Data_An_Cour!$AM:$AM,BV_Data_An_Cour!$AO:$AO,$Z17)</f>
        <v>608.58000000000004</v>
      </c>
      <c r="P17" s="1037">
        <f t="shared" si="7"/>
        <v>0</v>
      </c>
      <c r="Q17" s="995">
        <f t="shared" si="8"/>
        <v>608.58000000000004</v>
      </c>
      <c r="R17" s="993">
        <f>SUMIFS(BV_Data_An_Prec!$AW:$AW,BV_Data_An_Prec!$AO:$AO,$Y17)</f>
        <v>0</v>
      </c>
      <c r="S17" s="1035">
        <f>-SUMIFS(BV_Data_An_Prec!$AM:$AM,BV_Data_An_Prec!$AO:$AO,$Y17)</f>
        <v>0</v>
      </c>
      <c r="T17" s="1036">
        <f t="shared" si="9"/>
        <v>0</v>
      </c>
      <c r="U17" s="996">
        <f>-SUMIFS(BV_Data_An_Prec!$AM:$AM,BV_Data_An_Prec!$AO:$AO,$Y17)-SUMIFS(BV_Data_An_Prec!$AM:$AM,BV_Data_An_Prec!$AO:$AO,$Z17)</f>
        <v>0</v>
      </c>
      <c r="V17" s="1037">
        <f t="shared" si="10"/>
        <v>0</v>
      </c>
      <c r="W17" s="995">
        <f t="shared" si="11"/>
        <v>608.58000000000004</v>
      </c>
      <c r="X17" s="936"/>
      <c r="Y17" s="398" t="s">
        <v>2511</v>
      </c>
      <c r="Z17" s="398" t="s">
        <v>2903</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c r="C18" s="992" t="s">
        <v>3118</v>
      </c>
      <c r="D18" s="993"/>
      <c r="E18" s="993"/>
      <c r="F18" s="1033"/>
      <c r="G18" s="993"/>
      <c r="H18" s="994"/>
      <c r="I18" s="993"/>
      <c r="J18" s="993"/>
      <c r="K18" s="993"/>
      <c r="L18" s="994">
        <f>SUMIFS(BV_Data_An_Cour!$AW:$AW,BV_Data_An_Cour!$AO:$AO,$Y18)</f>
        <v>0</v>
      </c>
      <c r="M18" s="659">
        <f>-SUMIFS(BV_Data_An_Cour!$AM:$AM,BV_Data_An_Cour!$AO:$AO,$Y18)</f>
        <v>0</v>
      </c>
      <c r="N18" s="1036">
        <f t="shared" si="12"/>
        <v>0</v>
      </c>
      <c r="O18" s="995">
        <f>-SUMIFS(BV_Data_An_Cour!$AM:$AM,BV_Data_An_Cour!$AO:$AO,$Y18)-SUMIFS(BV_Data_An_Cour!$AM:$AM,BV_Data_An_Cour!$AO:$AO,$Z18)</f>
        <v>0</v>
      </c>
      <c r="P18" s="1037">
        <f t="shared" si="7"/>
        <v>0</v>
      </c>
      <c r="Q18" s="995">
        <f t="shared" si="8"/>
        <v>0</v>
      </c>
      <c r="R18" s="993">
        <f>SUMIFS(BV_Data_An_Prec!$AW:$AW,BV_Data_An_Prec!$AO:$AO,$Y18)</f>
        <v>0</v>
      </c>
      <c r="S18" s="1035">
        <f>-SUMIFS(BV_Data_An_Prec!$AM:$AM,BV_Data_An_Prec!$AO:$AO,$Y18)</f>
        <v>0</v>
      </c>
      <c r="T18" s="1036">
        <f t="shared" si="9"/>
        <v>0</v>
      </c>
      <c r="U18" s="996">
        <f>-SUMIFS(BV_Data_An_Prec!$AM:$AM,BV_Data_An_Prec!$AO:$AO,$Y18)-SUMIFS(BV_Data_An_Prec!$AM:$AM,BV_Data_An_Prec!$AO:$AO,$Z18)</f>
        <v>0</v>
      </c>
      <c r="V18" s="1037">
        <f t="shared" si="10"/>
        <v>0</v>
      </c>
      <c r="W18" s="995">
        <f t="shared" si="11"/>
        <v>0</v>
      </c>
      <c r="X18" s="936"/>
      <c r="Y18" s="398" t="s">
        <v>2513</v>
      </c>
      <c r="Z18" s="398" t="s">
        <v>2905</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c r="C19" s="992" t="s">
        <v>3119</v>
      </c>
      <c r="D19" s="993"/>
      <c r="E19" s="993"/>
      <c r="F19" s="1033"/>
      <c r="G19" s="993"/>
      <c r="H19" s="994"/>
      <c r="I19" s="993"/>
      <c r="J19" s="993"/>
      <c r="K19" s="993"/>
      <c r="L19" s="994">
        <f>SUMIFS(BV_Data_An_Cour!$AW:$AW,BV_Data_An_Cour!$AO:$AO,$Y19)</f>
        <v>0</v>
      </c>
      <c r="M19" s="659">
        <f>-SUMIFS(BV_Data_An_Cour!$AM:$AM,BV_Data_An_Cour!$AO:$AO,$Y19)</f>
        <v>0</v>
      </c>
      <c r="N19" s="1036">
        <f t="shared" si="12"/>
        <v>0</v>
      </c>
      <c r="O19" s="995">
        <f>-SUMIFS(BV_Data_An_Cour!$AM:$AM,BV_Data_An_Cour!$AO:$AO,$Y19)-SUMIFS(BV_Data_An_Cour!$AM:$AM,BV_Data_An_Cour!$AO:$AO,$Z19)</f>
        <v>0</v>
      </c>
      <c r="P19" s="1037">
        <f t="shared" si="7"/>
        <v>0</v>
      </c>
      <c r="Q19" s="995">
        <f t="shared" si="8"/>
        <v>0</v>
      </c>
      <c r="R19" s="993">
        <f>SUMIFS(BV_Data_An_Prec!$AW:$AW,BV_Data_An_Prec!$AO:$AO,$Y19)</f>
        <v>0</v>
      </c>
      <c r="S19" s="1035">
        <f>-SUMIFS(BV_Data_An_Prec!$AM:$AM,BV_Data_An_Prec!$AO:$AO,$Y19)</f>
        <v>0</v>
      </c>
      <c r="T19" s="1036">
        <f t="shared" si="9"/>
        <v>0</v>
      </c>
      <c r="U19" s="996">
        <f>-SUMIFS(BV_Data_An_Prec!$AM:$AM,BV_Data_An_Prec!$AO:$AO,$Y19)-SUMIFS(BV_Data_An_Prec!$AM:$AM,BV_Data_An_Prec!$AO:$AO,$Z19)</f>
        <v>0</v>
      </c>
      <c r="V19" s="1037">
        <f t="shared" si="10"/>
        <v>0</v>
      </c>
      <c r="W19" s="995">
        <f t="shared" si="11"/>
        <v>0</v>
      </c>
      <c r="X19" s="936"/>
      <c r="Y19" s="398" t="s">
        <v>2525</v>
      </c>
      <c r="Z19" s="398" t="s">
        <v>2917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c r="C20" s="992" t="s">
        <v>3120</v>
      </c>
      <c r="D20" s="993"/>
      <c r="E20" s="993"/>
      <c r="F20" s="1033"/>
      <c r="G20" s="993"/>
      <c r="H20" s="994"/>
      <c r="I20" s="993"/>
      <c r="J20" s="993"/>
      <c r="K20" s="993"/>
      <c r="L20" s="994">
        <f>SUMIFS(BV_Data_An_Cour!$AW:$AW,BV_Data_An_Cour!$AO:$AO,$Y20)</f>
        <v>5</v>
      </c>
      <c r="M20" s="659">
        <f>-SUMIFS(BV_Data_An_Cour!$AM:$AM,BV_Data_An_Cour!$AO:$AO,$Y20)</f>
        <v>801.54</v>
      </c>
      <c r="N20" s="1036">
        <f t="shared" si="12"/>
        <v>0.42586770466851315</v>
      </c>
      <c r="O20" s="995">
        <f>-SUMIFS(BV_Data_An_Cour!$AM:$AM,BV_Data_An_Cour!$AO:$AO,$Y20)-SUMIFS(BV_Data_An_Cour!$AM:$AM,BV_Data_An_Cour!$AO:$AO,$Z20)</f>
        <v>341.35</v>
      </c>
      <c r="P20" s="1037">
        <f t="shared" si="7"/>
        <v>0</v>
      </c>
      <c r="Q20" s="995">
        <f t="shared" si="8"/>
        <v>341.35</v>
      </c>
      <c r="R20" s="993">
        <f>SUMIFS(BV_Data_An_Prec!$AW:$AW,BV_Data_An_Prec!$AO:$AO,$Y20)</f>
        <v>0</v>
      </c>
      <c r="S20" s="1035">
        <f>-SUMIFS(BV_Data_An_Prec!$AM:$AM,BV_Data_An_Prec!$AO:$AO,$Y20)</f>
        <v>0</v>
      </c>
      <c r="T20" s="1036">
        <f t="shared" si="9"/>
        <v>0</v>
      </c>
      <c r="U20" s="996">
        <f>-SUMIFS(BV_Data_An_Prec!$AM:$AM,BV_Data_An_Prec!$AO:$AO,$Y20)-SUMIFS(BV_Data_An_Prec!$AM:$AM,BV_Data_An_Prec!$AO:$AO,$Z20)</f>
        <v>0</v>
      </c>
      <c r="V20" s="1037">
        <f t="shared" si="10"/>
        <v>0</v>
      </c>
      <c r="W20" s="995">
        <f t="shared" si="11"/>
        <v>341.35</v>
      </c>
      <c r="X20" s="936"/>
      <c r="Y20" s="398" t="s">
        <v>2543</v>
      </c>
      <c r="Z20" s="398" t="s">
        <v>2935</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c r="C21" s="992" t="s">
        <v>3121</v>
      </c>
      <c r="D21" s="993"/>
      <c r="E21" s="993"/>
      <c r="F21" s="1033"/>
      <c r="G21" s="993"/>
      <c r="H21" s="994"/>
      <c r="I21" s="993"/>
      <c r="J21" s="993"/>
      <c r="K21" s="993"/>
      <c r="L21" s="994">
        <f>SUMIFS(BV_Data_An_Cour!$AW:$AW,BV_Data_An_Cour!$AO:$AO,$Y21)</f>
        <v>4</v>
      </c>
      <c r="M21" s="659">
        <f>-SUMIFS(BV_Data_An_Cour!$AM:$AM,BV_Data_An_Cour!$AO:$AO,$Y21)</f>
        <v>329.59000000000003</v>
      </c>
      <c r="N21" s="1036">
        <f t="shared" si="12"/>
        <v>0.10570709062774972</v>
      </c>
      <c r="O21" s="995">
        <f>-SUMIFS(BV_Data_An_Cour!$AM:$AM,BV_Data_An_Cour!$AO:$AO,$Y21)-SUMIFS(BV_Data_An_Cour!$AM:$AM,BV_Data_An_Cour!$AO:$AO,$Z21)</f>
        <v>34.840000000000032</v>
      </c>
      <c r="P21" s="1037">
        <f t="shared" si="7"/>
        <v>0</v>
      </c>
      <c r="Q21" s="995">
        <f t="shared" si="8"/>
        <v>34.840000000000032</v>
      </c>
      <c r="R21" s="993">
        <f>SUMIFS(BV_Data_An_Prec!$AW:$AW,BV_Data_An_Prec!$AO:$AO,$Y21)</f>
        <v>0</v>
      </c>
      <c r="S21" s="1035">
        <f>-SUMIFS(BV_Data_An_Prec!$AM:$AM,BV_Data_An_Prec!$AO:$AO,$Y21)</f>
        <v>0</v>
      </c>
      <c r="T21" s="1036">
        <f t="shared" si="9"/>
        <v>0</v>
      </c>
      <c r="U21" s="996">
        <f>-SUMIFS(BV_Data_An_Prec!$AM:$AM,BV_Data_An_Prec!$AO:$AO,$Y21)-SUMIFS(BV_Data_An_Prec!$AM:$AM,BV_Data_An_Prec!$AO:$AO,$Z21)</f>
        <v>0</v>
      </c>
      <c r="V21" s="1037">
        <f t="shared" si="10"/>
        <v>0</v>
      </c>
      <c r="W21" s="995">
        <f t="shared" si="11"/>
        <v>34.840000000000032</v>
      </c>
      <c r="X21" s="936"/>
      <c r="Y21" s="398" t="s">
        <v>2549</v>
      </c>
      <c r="Z21" s="398" t="s">
        <v>2941</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2" t="s">
        <v>3122</v>
      </c>
      <c r="D22" s="993"/>
      <c r="E22" s="993"/>
      <c r="F22" s="1033"/>
      <c r="G22" s="993"/>
      <c r="H22" s="994"/>
      <c r="I22" s="993"/>
      <c r="J22" s="993"/>
      <c r="K22" s="993"/>
      <c r="L22" s="994">
        <f>SUMIFS(BV_Data_An_Cour!$AW:$AW,BV_Data_An_Cour!$AO:$AO,$Y22)</f>
        <v>3</v>
      </c>
      <c r="M22" s="659">
        <f>-SUMIFS(BV_Data_An_Cour!$AM:$AM,BV_Data_An_Cour!$AO:$AO,$Y22)</f>
        <v>331.62</v>
      </c>
      <c r="N22" s="1036">
        <f t="shared" si="12"/>
        <v>1</v>
      </c>
      <c r="O22" s="995">
        <f>-SUMIFS(BV_Data_An_Cour!$AM:$AM,BV_Data_An_Cour!$AO:$AO,$Y22)-SUMIFS(BV_Data_An_Cour!$AM:$AM,BV_Data_An_Cour!$AO:$AO,$Z22)</f>
        <v>331.62</v>
      </c>
      <c r="P22" s="1037">
        <f t="shared" si="7"/>
        <v>0</v>
      </c>
      <c r="Q22" s="995">
        <f t="shared" si="8"/>
        <v>331.62</v>
      </c>
      <c r="R22" s="993">
        <f>SUMIFS(BV_Data_An_Prec!$AW:$AW,BV_Data_An_Prec!$AO:$AO,$Y22)</f>
        <v>0</v>
      </c>
      <c r="S22" s="1035">
        <f>-SUMIFS(BV_Data_An_Prec!$AM:$AM,BV_Data_An_Prec!$AO:$AO,$Y22)</f>
        <v>0</v>
      </c>
      <c r="T22" s="1036">
        <f t="shared" si="9"/>
        <v>0</v>
      </c>
      <c r="U22" s="996">
        <f>-SUMIFS(BV_Data_An_Prec!$AM:$AM,BV_Data_An_Prec!$AO:$AO,$Y22)-SUMIFS(BV_Data_An_Prec!$AM:$AM,BV_Data_An_Prec!$AO:$AO,$Z22)</f>
        <v>0</v>
      </c>
      <c r="V22" s="1037">
        <f t="shared" si="10"/>
        <v>0</v>
      </c>
      <c r="W22" s="995">
        <f t="shared" si="11"/>
        <v>331.62</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3145</v>
      </c>
      <c r="D23" s="993"/>
      <c r="E23" s="993"/>
      <c r="F23" s="1033"/>
      <c r="G23" s="993"/>
      <c r="H23" s="994"/>
      <c r="I23" s="993"/>
      <c r="J23" s="993"/>
      <c r="K23" s="993"/>
      <c r="L23" s="994">
        <f>SUMIFS(BV_Data_An_Cour!$AW:$AW,BV_Data_An_Cour!$AO:$AO,$Y23)</f>
        <v>0</v>
      </c>
      <c r="M23" s="659">
        <f>-SUMIFS(BV_Data_An_Cour!$AM:$AM,BV_Data_An_Cour!$AO:$AO,$Y23)</f>
        <v>0</v>
      </c>
      <c r="N23" s="1036">
        <f t="shared" si="12"/>
        <v>0</v>
      </c>
      <c r="O23" s="995">
        <f>-SUMIFS(BV_Data_An_Cour!$AM:$AM,BV_Data_An_Cour!$AO:$AO,$Y23)-SUMIFS(BV_Data_An_Cour!$AM:$AM,BV_Data_An_Cour!$AO:$AO,$Z23)</f>
        <v>0</v>
      </c>
      <c r="P23" s="1037">
        <f t="shared" ref="P23:P24" si="13">IFERROR((M23-E23)/E23,0)</f>
        <v>0</v>
      </c>
      <c r="Q23" s="995">
        <f t="shared" ref="Q23:Q24" si="14">O23-G23</f>
        <v>0</v>
      </c>
      <c r="R23" s="993">
        <f>SUMIFS(BV_Data_An_Prec!$AW:$AW,BV_Data_An_Prec!$AO:$AO,$Y23)</f>
        <v>1</v>
      </c>
      <c r="S23" s="1035">
        <f>-SUMIFS(BV_Data_An_Prec!$AM:$AM,BV_Data_An_Prec!$AO:$AO,$Y23)</f>
        <v>239.19999999999993</v>
      </c>
      <c r="T23" s="1036">
        <f t="shared" si="9"/>
        <v>0.28231605351170552</v>
      </c>
      <c r="U23" s="996">
        <f>-SUMIFS(BV_Data_An_Prec!$AM:$AM,BV_Data_An_Prec!$AO:$AO,$Y23)-SUMIFS(BV_Data_An_Prec!$AM:$AM,BV_Data_An_Prec!$AO:$AO,$Z23)</f>
        <v>67.529999999999944</v>
      </c>
      <c r="V23" s="1037">
        <f t="shared" ref="V23:V24" si="15">IF(R23=0,0,L23/R23)</f>
        <v>0</v>
      </c>
      <c r="W23" s="995">
        <f t="shared" ref="W23:W24" si="16">O23-U23</f>
        <v>-67.529999999999944</v>
      </c>
      <c r="X23" s="936"/>
      <c r="Y23" s="398" t="s">
        <v>2507</v>
      </c>
      <c r="Z23" s="398" t="s">
        <v>2899</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3130</v>
      </c>
      <c r="D24" s="998"/>
      <c r="E24" s="998"/>
      <c r="F24" s="999"/>
      <c r="G24" s="998"/>
      <c r="H24" s="1000"/>
      <c r="I24" s="998"/>
      <c r="J24" s="998"/>
      <c r="K24" s="998"/>
      <c r="L24" s="1000">
        <f>SUMIFS(BV_Data_An_Cour!$AW:$AW,BV_Data_An_Cour!$AO:$AO,$Y24)</f>
        <v>0</v>
      </c>
      <c r="M24" s="659">
        <f>-SUMIFS(BV_Data_An_Cour!$AM:$AM,BV_Data_An_Cour!$AO:$AO,$Y24)</f>
        <v>0</v>
      </c>
      <c r="N24" s="1036">
        <f t="shared" si="12"/>
        <v>0</v>
      </c>
      <c r="O24" s="995">
        <f>-SUMIFS(BV_Data_An_Cour!$AM:$AM,BV_Data_An_Cour!$AO:$AO,$Y24)-SUMIFS(BV_Data_An_Cour!$AM:$AM,BV_Data_An_Cour!$AO:$AO,$Z24)</f>
        <v>0</v>
      </c>
      <c r="P24" s="1001">
        <f t="shared" si="13"/>
        <v>0</v>
      </c>
      <c r="Q24" s="1002">
        <f t="shared" si="14"/>
        <v>0</v>
      </c>
      <c r="R24" s="998">
        <f>SUMIFS(BV_Data_An_Prec!$AW:$AW,BV_Data_An_Prec!$AO:$AO,$Y24)</f>
        <v>0</v>
      </c>
      <c r="S24" s="1003">
        <f>-SUMIFS(BV_Data_An_Prec!$AM:$AM,BV_Data_An_Prec!$AO:$AO,$Y24)</f>
        <v>0</v>
      </c>
      <c r="T24" s="1036">
        <f t="shared" si="9"/>
        <v>0</v>
      </c>
      <c r="U24" s="1004">
        <f>-SUMIFS(BV_Data_An_Prec!$AM:$AM,BV_Data_An_Prec!$AO:$AO,$Y24)-SUMIFS(BV_Data_An_Prec!$AM:$AM,BV_Data_An_Prec!$AO:$AO,$Z24)</f>
        <v>0</v>
      </c>
      <c r="V24" s="1001">
        <f t="shared" si="15"/>
        <v>0</v>
      </c>
      <c r="W24" s="1002">
        <f t="shared" si="16"/>
        <v>0</v>
      </c>
      <c r="X24" s="936"/>
      <c r="Y24" s="398" t="s">
        <v>2531</v>
      </c>
      <c r="Z24" s="398" t="s">
        <v>2923</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6596.5</v>
      </c>
      <c r="N25" s="1007">
        <f t="shared" si="12"/>
        <v>0.52332903812627907</v>
      </c>
      <c r="O25" s="1006">
        <f>SUM(O16:O24)</f>
        <v>3452.14</v>
      </c>
      <c r="P25" s="1010">
        <f>IFERROR((M25-E25)/E25,0)</f>
        <v>0</v>
      </c>
      <c r="Q25" s="1011">
        <f>O25-G25</f>
        <v>3452.14</v>
      </c>
      <c r="R25" s="1009"/>
      <c r="S25" s="1006">
        <f>SUM(S16:S24)</f>
        <v>5478.3700000000017</v>
      </c>
      <c r="T25" s="1007">
        <f t="shared" ref="T25" si="17">IFERROR(U25/S25,0)</f>
        <v>0.30450663244724274</v>
      </c>
      <c r="U25" s="1006">
        <f>SUM(U16:U24)</f>
        <v>1668.2000000000019</v>
      </c>
      <c r="V25" s="1010">
        <f>IF(R25=0,0,L25/R25)</f>
        <v>0</v>
      </c>
      <c r="W25" s="1011">
        <f>SUM(W16:W24)</f>
        <v>1783.939999999998</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c r="C27" s="992" t="s">
        <v>3123</v>
      </c>
      <c r="D27" s="993"/>
      <c r="E27" s="993"/>
      <c r="F27" s="1033"/>
      <c r="G27" s="993"/>
      <c r="H27" s="994"/>
      <c r="I27" s="993"/>
      <c r="J27" s="993"/>
      <c r="K27" s="993"/>
      <c r="L27" s="994">
        <f>SUMIFS(BV_Data_An_Cour!$AW:$AW,BV_Data_An_Cour!$AO:$AO,$Y27)</f>
        <v>24</v>
      </c>
      <c r="M27" s="659">
        <f>-SUMIFS(BV_Data_An_Cour!$AM:$AM,BV_Data_An_Cour!$AO:$AO,$Y27)</f>
        <v>30416.51</v>
      </c>
      <c r="N27" s="1036">
        <f>IFERROR(O27/M27,0)</f>
        <v>0.82218374165872421</v>
      </c>
      <c r="O27" s="995">
        <f>-SUMIFS(BV_Data_An_Cour!$AM:$AM,BV_Data_An_Cour!$AO:$AO,$Y27)-SUMIFS(BV_Data_An_Cour!$AM:$AM,BV_Data_An_Cour!$AO:$AO,$Z27)</f>
        <v>25007.96</v>
      </c>
      <c r="P27" s="1037">
        <f t="shared" ref="P27:P35" si="18">IFERROR((M27-E27)/E27,0)</f>
        <v>0</v>
      </c>
      <c r="Q27" s="995">
        <f t="shared" ref="Q27:Q35" si="19">O27-G27</f>
        <v>25007.96</v>
      </c>
      <c r="R27" s="993">
        <f>SUMIFS(BV_Data_An_Prec!$AW:$AW,BV_Data_An_Prec!$AO:$AO,$Y27)</f>
        <v>0</v>
      </c>
      <c r="S27" s="1035">
        <f>-SUMIFS(BV_Data_An_Prec!$AM:$AM,BV_Data_An_Prec!$AO:$AO,$Y27)</f>
        <v>0</v>
      </c>
      <c r="T27" s="1036">
        <f t="shared" ref="T27:T35" si="20">IFERROR(U27/S27,0)</f>
        <v>0</v>
      </c>
      <c r="U27" s="996">
        <f>-SUMIFS(BV_Data_An_Prec!$AM:$AM,BV_Data_An_Prec!$AO:$AO,$Y27)-SUMIFS(BV_Data_An_Prec!$AM:$AM,BV_Data_An_Prec!$AO:$AO,$Z27)</f>
        <v>0</v>
      </c>
      <c r="V27" s="1037">
        <f t="shared" ref="V27:V35" si="21">IF(R27=0,0,L27/R27)</f>
        <v>0</v>
      </c>
      <c r="W27" s="995">
        <f t="shared" ref="W27:W35" si="22">O27-U27</f>
        <v>25007.96</v>
      </c>
      <c r="X27" s="936"/>
      <c r="Y27" s="398" t="s">
        <v>2499</v>
      </c>
      <c r="Z27" s="398" t="s">
        <v>2891</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c r="C28" s="992" t="s">
        <v>3124</v>
      </c>
      <c r="D28" s="993"/>
      <c r="E28" s="993"/>
      <c r="F28" s="1033"/>
      <c r="G28" s="993"/>
      <c r="H28" s="994"/>
      <c r="I28" s="993"/>
      <c r="J28" s="993"/>
      <c r="K28" s="993"/>
      <c r="L28" s="994">
        <f>SUMIFS(BV_Data_An_Cour!$AW:$AW,BV_Data_An_Cour!$AO:$AO,$Y28)</f>
        <v>19</v>
      </c>
      <c r="M28" s="659">
        <f>-SUMIFS(BV_Data_An_Cour!$AM:$AM,BV_Data_An_Cour!$AO:$AO,$Y28)</f>
        <v>13659.499999999998</v>
      </c>
      <c r="N28" s="1036">
        <f t="shared" ref="N28:N36" si="23">IFERROR(O28/M28,0)</f>
        <v>0.88273948533987334</v>
      </c>
      <c r="O28" s="995">
        <f>-SUMIFS(BV_Data_An_Cour!$AM:$AM,BV_Data_An_Cour!$AO:$AO,$Y28)-SUMIFS(BV_Data_An_Cour!$AM:$AM,BV_Data_An_Cour!$AO:$AO,$Z28)</f>
        <v>12057.779999999999</v>
      </c>
      <c r="P28" s="1037">
        <f t="shared" si="18"/>
        <v>0</v>
      </c>
      <c r="Q28" s="995">
        <f t="shared" si="19"/>
        <v>12057.779999999999</v>
      </c>
      <c r="R28" s="993">
        <f>SUMIFS(BV_Data_An_Prec!$AW:$AW,BV_Data_An_Prec!$AO:$AO,$Y28)</f>
        <v>0</v>
      </c>
      <c r="S28" s="1035">
        <f>-SUMIFS(BV_Data_An_Prec!$AM:$AM,BV_Data_An_Prec!$AO:$AO,$Y28)</f>
        <v>0</v>
      </c>
      <c r="T28" s="1036">
        <f t="shared" si="20"/>
        <v>0</v>
      </c>
      <c r="U28" s="996">
        <f>-SUMIFS(BV_Data_An_Prec!$AM:$AM,BV_Data_An_Prec!$AO:$AO,$Y28)-SUMIFS(BV_Data_An_Prec!$AM:$AM,BV_Data_An_Prec!$AO:$AO,$Z28)</f>
        <v>0</v>
      </c>
      <c r="V28" s="1037">
        <f t="shared" si="21"/>
        <v>0</v>
      </c>
      <c r="W28" s="995">
        <f t="shared" si="22"/>
        <v>12057.779999999999</v>
      </c>
      <c r="X28" s="936"/>
      <c r="Y28" s="398" t="s">
        <v>2495</v>
      </c>
      <c r="Z28" s="398" t="s">
        <v>2887</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c r="C29" s="992" t="s">
        <v>3125</v>
      </c>
      <c r="D29" s="993"/>
      <c r="E29" s="993"/>
      <c r="F29" s="1033"/>
      <c r="G29" s="993"/>
      <c r="H29" s="994"/>
      <c r="I29" s="993"/>
      <c r="J29" s="993"/>
      <c r="K29" s="993"/>
      <c r="L29" s="994">
        <f>SUMIFS(BV_Data_An_Cour!$AW:$AW,BV_Data_An_Cour!$AO:$AO,$Y29)</f>
        <v>0</v>
      </c>
      <c r="M29" s="659">
        <f>-SUMIFS(BV_Data_An_Cour!$AM:$AM,BV_Data_An_Cour!$AO:$AO,$Y29)</f>
        <v>0</v>
      </c>
      <c r="N29" s="1036">
        <f t="shared" si="23"/>
        <v>0</v>
      </c>
      <c r="O29" s="995">
        <f>-SUMIFS(BV_Data_An_Cour!$AM:$AM,BV_Data_An_Cour!$AO:$AO,$Y29)-SUMIFS(BV_Data_An_Cour!$AM:$AM,BV_Data_An_Cour!$AO:$AO,$Z29)</f>
        <v>0</v>
      </c>
      <c r="P29" s="1037">
        <f t="shared" si="18"/>
        <v>0</v>
      </c>
      <c r="Q29" s="995">
        <f t="shared" si="19"/>
        <v>0</v>
      </c>
      <c r="R29" s="993">
        <f>SUMIFS(BV_Data_An_Prec!$AW:$AW,BV_Data_An_Prec!$AO:$AO,$Y29)</f>
        <v>0</v>
      </c>
      <c r="S29" s="1035">
        <f>-SUMIFS(BV_Data_An_Prec!$AM:$AM,BV_Data_An_Prec!$AO:$AO,$Y29)</f>
        <v>0</v>
      </c>
      <c r="T29" s="1036">
        <f t="shared" si="20"/>
        <v>0</v>
      </c>
      <c r="U29" s="996">
        <f>-SUMIFS(BV_Data_An_Prec!$AM:$AM,BV_Data_An_Prec!$AO:$AO,$Y29)-SUMIFS(BV_Data_An_Prec!$AM:$AM,BV_Data_An_Prec!$AO:$AO,$Z29)</f>
        <v>0</v>
      </c>
      <c r="V29" s="1037">
        <f t="shared" si="21"/>
        <v>0</v>
      </c>
      <c r="W29" s="995">
        <f t="shared" si="22"/>
        <v>0</v>
      </c>
      <c r="X29" s="936"/>
      <c r="Y29" s="398" t="s">
        <v>2503</v>
      </c>
      <c r="Z29" s="398" t="s">
        <v>2895</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c r="C30" s="992" t="s">
        <v>3126</v>
      </c>
      <c r="D30" s="993"/>
      <c r="E30" s="993"/>
      <c r="F30" s="1033"/>
      <c r="G30" s="993"/>
      <c r="H30" s="994"/>
      <c r="I30" s="993"/>
      <c r="J30" s="993"/>
      <c r="K30" s="993"/>
      <c r="L30" s="994">
        <f>SUMIFS(BV_Data_An_Cour!$AW:$AW,BV_Data_An_Cour!$AO:$AO,$Y30)</f>
        <v>0</v>
      </c>
      <c r="M30" s="659">
        <f>-SUMIFS(BV_Data_An_Cour!$AM:$AM,BV_Data_An_Cour!$AO:$AO,$Y30)</f>
        <v>0</v>
      </c>
      <c r="N30" s="1036">
        <f t="shared" si="23"/>
        <v>0</v>
      </c>
      <c r="O30" s="995">
        <f>-SUMIFS(BV_Data_An_Cour!$AM:$AM,BV_Data_An_Cour!$AO:$AO,$Y30)-SUMIFS(BV_Data_An_Cour!$AM:$AM,BV_Data_An_Cour!$AO:$AO,$Z30)</f>
        <v>0</v>
      </c>
      <c r="P30" s="1037">
        <f t="shared" si="18"/>
        <v>0</v>
      </c>
      <c r="Q30" s="995">
        <f t="shared" si="19"/>
        <v>0</v>
      </c>
      <c r="R30" s="993">
        <f>SUMIFS(BV_Data_An_Prec!$AW:$AW,BV_Data_An_Prec!$AO:$AO,$Y30)</f>
        <v>0</v>
      </c>
      <c r="S30" s="1035">
        <f>-SUMIFS(BV_Data_An_Prec!$AM:$AM,BV_Data_An_Prec!$AO:$AO,$Y30)</f>
        <v>0</v>
      </c>
      <c r="T30" s="1036">
        <f t="shared" si="20"/>
        <v>0</v>
      </c>
      <c r="U30" s="996">
        <f>-SUMIFS(BV_Data_An_Prec!$AM:$AM,BV_Data_An_Prec!$AO:$AO,$Y30)-SUMIFS(BV_Data_An_Prec!$AM:$AM,BV_Data_An_Prec!$AO:$AO,$Z30)</f>
        <v>0</v>
      </c>
      <c r="V30" s="1037">
        <f t="shared" si="21"/>
        <v>0</v>
      </c>
      <c r="W30" s="995">
        <f t="shared" si="22"/>
        <v>0</v>
      </c>
      <c r="X30" s="936"/>
      <c r="Y30" s="398" t="s">
        <v>2527</v>
      </c>
      <c r="Z30" s="398" t="s">
        <v>2919</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c r="C31" s="992" t="s">
        <v>3127</v>
      </c>
      <c r="D31" s="993"/>
      <c r="E31" s="993"/>
      <c r="F31" s="1033"/>
      <c r="G31" s="993"/>
      <c r="H31" s="994"/>
      <c r="I31" s="993"/>
      <c r="J31" s="993"/>
      <c r="K31" s="993"/>
      <c r="L31" s="994">
        <f>SUMIFS(BV_Data_An_Cour!$AW:$AW,BV_Data_An_Cour!$AO:$AO,$Y31)</f>
        <v>22</v>
      </c>
      <c r="M31" s="659">
        <f>-SUMIFS(BV_Data_An_Cour!$AM:$AM,BV_Data_An_Cour!$AO:$AO,$Y31)</f>
        <v>10583.81</v>
      </c>
      <c r="N31" s="1036">
        <f t="shared" si="23"/>
        <v>0.2919855893104657</v>
      </c>
      <c r="O31" s="995">
        <f>-SUMIFS(BV_Data_An_Cour!$AM:$AM,BV_Data_An_Cour!$AO:$AO,$Y31)-SUMIFS(BV_Data_An_Cour!$AM:$AM,BV_Data_An_Cour!$AO:$AO,$Z31)</f>
        <v>3090.3199999999997</v>
      </c>
      <c r="P31" s="1037">
        <f t="shared" si="18"/>
        <v>0</v>
      </c>
      <c r="Q31" s="995">
        <f t="shared" si="19"/>
        <v>3090.3199999999997</v>
      </c>
      <c r="R31" s="993">
        <f>SUMIFS(BV_Data_An_Prec!$AW:$AW,BV_Data_An_Prec!$AO:$AO,$Y31)</f>
        <v>0</v>
      </c>
      <c r="S31" s="1035">
        <f>-SUMIFS(BV_Data_An_Prec!$AM:$AM,BV_Data_An_Prec!$AO:$AO,$Y31)</f>
        <v>0</v>
      </c>
      <c r="T31" s="1036">
        <f t="shared" si="20"/>
        <v>0</v>
      </c>
      <c r="U31" s="996">
        <f>-SUMIFS(BV_Data_An_Prec!$AM:$AM,BV_Data_An_Prec!$AO:$AO,$Y31)-SUMIFS(BV_Data_An_Prec!$AM:$AM,BV_Data_An_Prec!$AO:$AO,$Z31)</f>
        <v>0</v>
      </c>
      <c r="V31" s="1037">
        <f t="shared" si="21"/>
        <v>0</v>
      </c>
      <c r="W31" s="995">
        <f t="shared" si="22"/>
        <v>3090.3199999999997</v>
      </c>
      <c r="X31" s="936"/>
      <c r="Y31" s="398" t="s">
        <v>2545</v>
      </c>
      <c r="Z31" s="398" t="s">
        <v>2937</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c r="C32" s="992" t="s">
        <v>3128</v>
      </c>
      <c r="D32" s="993"/>
      <c r="E32" s="993"/>
      <c r="F32" s="1033"/>
      <c r="G32" s="993"/>
      <c r="H32" s="994"/>
      <c r="I32" s="993"/>
      <c r="J32" s="993"/>
      <c r="K32" s="993"/>
      <c r="L32" s="994">
        <f>SUMIFS(BV_Data_An_Cour!$AW:$AW,BV_Data_An_Cour!$AO:$AO,$Y32)</f>
        <v>20</v>
      </c>
      <c r="M32" s="659">
        <f>-SUMIFS(BV_Data_An_Cour!$AM:$AM,BV_Data_An_Cour!$AO:$AO,$Y32)</f>
        <v>4018.73</v>
      </c>
      <c r="N32" s="1036">
        <f t="shared" si="23"/>
        <v>0.18338629367984402</v>
      </c>
      <c r="O32" s="995">
        <f>-SUMIFS(BV_Data_An_Cour!$AM:$AM,BV_Data_An_Cour!$AO:$AO,$Y32)-SUMIFS(BV_Data_An_Cour!$AM:$AM,BV_Data_An_Cour!$AO:$AO,$Z32)</f>
        <v>736.97999999999956</v>
      </c>
      <c r="P32" s="1037">
        <f t="shared" si="18"/>
        <v>0</v>
      </c>
      <c r="Q32" s="995">
        <f t="shared" si="19"/>
        <v>736.97999999999956</v>
      </c>
      <c r="R32" s="993">
        <f>SUMIFS(BV_Data_An_Prec!$AW:$AW,BV_Data_An_Prec!$AO:$AO,$Y32)</f>
        <v>0</v>
      </c>
      <c r="S32" s="1035">
        <f>-SUMIFS(BV_Data_An_Prec!$AM:$AM,BV_Data_An_Prec!$AO:$AO,$Y32)</f>
        <v>0</v>
      </c>
      <c r="T32" s="1036">
        <f t="shared" si="20"/>
        <v>0</v>
      </c>
      <c r="U32" s="996">
        <f>-SUMIFS(BV_Data_An_Prec!$AM:$AM,BV_Data_An_Prec!$AO:$AO,$Y32)-SUMIFS(BV_Data_An_Prec!$AM:$AM,BV_Data_An_Prec!$AO:$AO,$Z32)</f>
        <v>0</v>
      </c>
      <c r="V32" s="1037">
        <f t="shared" si="21"/>
        <v>0</v>
      </c>
      <c r="W32" s="995">
        <f t="shared" si="22"/>
        <v>736.97999999999956</v>
      </c>
      <c r="X32" s="936"/>
      <c r="Y32" s="398" t="s">
        <v>2551</v>
      </c>
      <c r="Z32" s="398" t="s">
        <v>2943</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c r="C33" s="992" t="s">
        <v>3129</v>
      </c>
      <c r="D33" s="993"/>
      <c r="E33" s="993"/>
      <c r="F33" s="1033"/>
      <c r="G33" s="993"/>
      <c r="H33" s="994"/>
      <c r="I33" s="993"/>
      <c r="J33" s="993"/>
      <c r="K33" s="993"/>
      <c r="L33" s="994">
        <f>SUMIFS(BV_Data_An_Cour!$AW:$AW,BV_Data_An_Cour!$AO:$AO,$Y33)</f>
        <v>2</v>
      </c>
      <c r="M33" s="659">
        <f>-SUMIFS(BV_Data_An_Cour!$AM:$AM,BV_Data_An_Cour!$AO:$AO,$Y33)</f>
        <v>270</v>
      </c>
      <c r="N33" s="1036">
        <f t="shared" si="23"/>
        <v>0</v>
      </c>
      <c r="O33" s="995">
        <f>-SUMIFS(BV_Data_An_Cour!$AM:$AM,BV_Data_An_Cour!$AO:$AO,$Y33)-SUMIFS(BV_Data_An_Cour!$AM:$AM,BV_Data_An_Cour!$AO:$AO,$Z33)</f>
        <v>0</v>
      </c>
      <c r="P33" s="1037">
        <f t="shared" ref="P33:P34" si="24">IFERROR((M33-E33)/E33,0)</f>
        <v>0</v>
      </c>
      <c r="Q33" s="995">
        <f t="shared" ref="Q33:Q34" si="25">O33-G33</f>
        <v>0</v>
      </c>
      <c r="R33" s="993">
        <f>SUMIFS(BV_Data_An_Prec!$AW:$AW,BV_Data_An_Prec!$AO:$AO,$Y33)</f>
        <v>0</v>
      </c>
      <c r="S33" s="1035">
        <f>-SUMIFS(BV_Data_An_Prec!$AM:$AM,BV_Data_An_Prec!$AO:$AO,$Y33)</f>
        <v>0</v>
      </c>
      <c r="T33" s="1036">
        <f t="shared" si="20"/>
        <v>0</v>
      </c>
      <c r="U33" s="996">
        <f>-SUMIFS(BV_Data_An_Prec!$AM:$AM,BV_Data_An_Prec!$AO:$AO,$Y33)-SUMIFS(BV_Data_An_Prec!$AM:$AM,BV_Data_An_Prec!$AO:$AO,$Z33)</f>
        <v>0</v>
      </c>
      <c r="V33" s="1037">
        <f t="shared" ref="V33:V34" si="26">IF(R33=0,0,L33/R33)</f>
        <v>0</v>
      </c>
      <c r="W33" s="995">
        <f t="shared" ref="W33:W34" si="27">O33-U33</f>
        <v>0</v>
      </c>
      <c r="X33" s="936"/>
      <c r="Y33" s="398" t="s">
        <v>2521</v>
      </c>
      <c r="Z33" s="398" t="s">
        <v>2913</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c r="C34" s="992" t="s">
        <v>3130</v>
      </c>
      <c r="D34" s="993"/>
      <c r="E34" s="993"/>
      <c r="F34" s="1033"/>
      <c r="G34" s="993"/>
      <c r="H34" s="994"/>
      <c r="I34" s="993"/>
      <c r="J34" s="993"/>
      <c r="K34" s="993"/>
      <c r="L34" s="994">
        <f>SUMIFS(BV_Data_An_Cour!$AW:$AW,BV_Data_An_Cour!$AO:$AO,$Y34)</f>
        <v>0</v>
      </c>
      <c r="M34" s="659">
        <f>-SUMIFS(BV_Data_An_Cour!$AM:$AM,BV_Data_An_Cour!$AO:$AO,$Y34)</f>
        <v>0</v>
      </c>
      <c r="N34" s="1036">
        <f t="shared" ref="N34" si="28">IFERROR(O34/M34,0)</f>
        <v>0</v>
      </c>
      <c r="O34" s="995">
        <f>-SUMIFS(BV_Data_An_Cour!$AM:$AM,BV_Data_An_Cour!$AO:$AO,$Y34)-SUMIFS(BV_Data_An_Cour!$AM:$AM,BV_Data_An_Cour!$AO:$AO,$Z34)</f>
        <v>0</v>
      </c>
      <c r="P34" s="1037">
        <f t="shared" si="24"/>
        <v>0</v>
      </c>
      <c r="Q34" s="995">
        <f t="shared" si="25"/>
        <v>0</v>
      </c>
      <c r="R34" s="993">
        <f>SUMIFS(BV_Data_An_Prec!$AW:$AW,BV_Data_An_Prec!$AO:$AO,$Y34)</f>
        <v>0</v>
      </c>
      <c r="S34" s="1035">
        <f>-SUMIFS(BV_Data_An_Prec!$AM:$AM,BV_Data_An_Prec!$AO:$AO,$Y34)</f>
        <v>0</v>
      </c>
      <c r="T34" s="1036">
        <f t="shared" ref="T34" si="29">IFERROR(U34/S34,0)</f>
        <v>0</v>
      </c>
      <c r="U34" s="996">
        <f>-SUMIFS(BV_Data_An_Prec!$AM:$AM,BV_Data_An_Prec!$AO:$AO,$Y34)-SUMIFS(BV_Data_An_Prec!$AM:$AM,BV_Data_An_Prec!$AO:$AO,$Z34)</f>
        <v>0</v>
      </c>
      <c r="V34" s="1037">
        <f t="shared" si="26"/>
        <v>0</v>
      </c>
      <c r="W34" s="995">
        <f t="shared" si="27"/>
        <v>0</v>
      </c>
      <c r="X34" s="936"/>
      <c r="Y34" s="398" t="s">
        <v>2533</v>
      </c>
      <c r="Z34" s="398" t="s">
        <v>2925</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c r="C35" s="997" t="s">
        <v>3365</v>
      </c>
      <c r="D35" s="998"/>
      <c r="E35" s="998"/>
      <c r="F35" s="999"/>
      <c r="G35" s="998"/>
      <c r="H35" s="1000"/>
      <c r="I35" s="998"/>
      <c r="J35" s="998"/>
      <c r="K35" s="998"/>
      <c r="L35" s="1000">
        <f>SUMIFS(BV_Data_An_Cour!$AW:$AW,BV_Data_An_Cour!$AO:$AO,$Y35)</f>
        <v>-1</v>
      </c>
      <c r="M35" s="659">
        <f>-SUMIFS(BV_Data_An_Cour!$AM:$AM,BV_Data_An_Cour!$AO:$AO,$Y35)</f>
        <v>-4238.93</v>
      </c>
      <c r="N35" s="1036">
        <f t="shared" si="23"/>
        <v>1</v>
      </c>
      <c r="O35" s="995">
        <f>-SUMIFS(BV_Data_An_Cour!$AM:$AM,BV_Data_An_Cour!$AO:$AO,$Y35)-SUMIFS(BV_Data_An_Cour!$AM:$AM,BV_Data_An_Cour!$AO:$AO,$Z35)</f>
        <v>-4238.93</v>
      </c>
      <c r="P35" s="1001">
        <f t="shared" si="18"/>
        <v>0</v>
      </c>
      <c r="Q35" s="1002">
        <f t="shared" si="19"/>
        <v>-4238.93</v>
      </c>
      <c r="R35" s="998">
        <f>SUMIFS(BV_Data_An_Prec!$AW:$AW,BV_Data_An_Prec!$AO:$AO,$Y35)</f>
        <v>0</v>
      </c>
      <c r="S35" s="1003">
        <f>-SUMIFS(BV_Data_An_Prec!$AM:$AM,BV_Data_An_Prec!$AO:$AO,$Y35)</f>
        <v>0</v>
      </c>
      <c r="T35" s="1036">
        <f t="shared" si="20"/>
        <v>0</v>
      </c>
      <c r="U35" s="1004">
        <f>-SUMIFS(BV_Data_An_Prec!$AM:$AM,BV_Data_An_Prec!$AO:$AO,$Y35)-SUMIFS(BV_Data_An_Prec!$AM:$AM,BV_Data_An_Prec!$AO:$AO,$Z35)</f>
        <v>0</v>
      </c>
      <c r="V35" s="1001">
        <f t="shared" si="21"/>
        <v>0</v>
      </c>
      <c r="W35" s="1002">
        <f t="shared" si="22"/>
        <v>-4238.93</v>
      </c>
      <c r="X35" s="936"/>
      <c r="Y35" s="398" t="s">
        <v>2505</v>
      </c>
      <c r="Z35" s="398" t="s">
        <v>2897</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c r="C36" s="1038" t="s">
        <v>1173</v>
      </c>
      <c r="D36" s="1005"/>
      <c r="E36" s="1006">
        <f>SUM(E27:E35)</f>
        <v>0</v>
      </c>
      <c r="F36" s="1007" t="e">
        <f>G36/E36</f>
        <v>#DIV/0!</v>
      </c>
      <c r="G36" s="1006">
        <f>SUM(G27:G35)</f>
        <v>0</v>
      </c>
      <c r="H36" s="1008"/>
      <c r="I36" s="1006"/>
      <c r="J36" s="1006"/>
      <c r="K36" s="1006"/>
      <c r="L36" s="1009"/>
      <c r="M36" s="1006">
        <f>SUM(M27:M35)</f>
        <v>54709.619999999995</v>
      </c>
      <c r="N36" s="1007">
        <f t="shared" si="23"/>
        <v>0.66997559113004246</v>
      </c>
      <c r="O36" s="1006">
        <f>SUM(O27:O35)</f>
        <v>36654.109999999993</v>
      </c>
      <c r="P36" s="1010">
        <f>IFERROR((M36-E36)/E36,0)</f>
        <v>0</v>
      </c>
      <c r="Q36" s="1011">
        <f>O36-G36</f>
        <v>36654.109999999993</v>
      </c>
      <c r="R36" s="1009"/>
      <c r="S36" s="1006">
        <f>SUM(S27:S35)</f>
        <v>0</v>
      </c>
      <c r="T36" s="1007">
        <f t="shared" ref="T36" si="30">IFERROR(U36/S36,0)</f>
        <v>0</v>
      </c>
      <c r="U36" s="1006">
        <f>SUM(U27:U35)</f>
        <v>0</v>
      </c>
      <c r="V36" s="1010">
        <f>IF(R36=0,0,L36/R36)</f>
        <v>0</v>
      </c>
      <c r="W36" s="1011">
        <f>O36-U36</f>
        <v>36654.109999999993</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c r="C38" s="992" t="s">
        <v>1175</v>
      </c>
      <c r="D38" s="1042"/>
      <c r="E38" s="1042"/>
      <c r="F38" s="1040"/>
      <c r="G38" s="1012"/>
      <c r="H38" s="992"/>
      <c r="I38" s="1042"/>
      <c r="J38" s="1042"/>
      <c r="K38" s="1012"/>
      <c r="L38" s="992"/>
      <c r="M38" s="659"/>
      <c r="N38" s="1042"/>
      <c r="O38" s="995">
        <f>-SUMIFS(BV_Data_An_Cour!$AM:$AM,BV_Data_An_Cour!$AO:$AO,$Z38)</f>
        <v>-1141.0299999999988</v>
      </c>
      <c r="P38" s="1013"/>
      <c r="Q38" s="1014"/>
      <c r="R38" s="992"/>
      <c r="S38" s="659"/>
      <c r="T38" s="1042"/>
      <c r="U38" s="995">
        <f>-SUMIFS(BV_Data_An_Prec!$AM:$AM,BV_Data_An_Prec!$AO:$AO,$Y38)-SUMIFS(BV_Data_An_Prec!$AM:$AM,BV_Data_An_Prec!$AO:$AO,$Z38)</f>
        <v>-624.55999999999995</v>
      </c>
      <c r="V38" s="1013"/>
      <c r="W38" s="1015">
        <f t="shared" ref="W38" si="31">O38-U38</f>
        <v>-516.46999999999889</v>
      </c>
      <c r="X38" s="402"/>
      <c r="Y38" s="398"/>
      <c r="Z38" s="398" t="s">
        <v>2907</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c r="C40" s="1016" t="s">
        <v>3108</v>
      </c>
      <c r="D40" s="1017"/>
      <c r="E40" s="1017">
        <f>E25+E36+E14</f>
        <v>0</v>
      </c>
      <c r="F40" s="1018" t="e">
        <f>G40/E40</f>
        <v>#DIV/0!</v>
      </c>
      <c r="G40" s="1043">
        <f>G25+G36+G14</f>
        <v>0</v>
      </c>
      <c r="H40" s="1019"/>
      <c r="I40" s="1017"/>
      <c r="J40" s="1017"/>
      <c r="K40" s="1043"/>
      <c r="L40" s="1019"/>
      <c r="M40" s="1017">
        <f>M25+M36+M14</f>
        <v>166632.59000000003</v>
      </c>
      <c r="N40" s="1018">
        <f>O40/M40</f>
        <v>0.48917159602452315</v>
      </c>
      <c r="O40" s="1043">
        <f>O25+O36+O14+O38</f>
        <v>81511.930000000008</v>
      </c>
      <c r="P40" s="1020">
        <f>O41-G41</f>
        <v>0.48917159602452315</v>
      </c>
      <c r="Q40" s="1043">
        <f>O40-G40</f>
        <v>81511.930000000008</v>
      </c>
      <c r="R40" s="1019"/>
      <c r="S40" s="1017">
        <f>S25+S36+S14</f>
        <v>140109.07999999999</v>
      </c>
      <c r="T40" s="1018">
        <f t="shared" ref="T40" si="32">IFERROR(U40/S40,0)</f>
        <v>0.41044020844330736</v>
      </c>
      <c r="U40" s="1043">
        <f>U25+U36+U14+U38</f>
        <v>57506.400000000023</v>
      </c>
      <c r="V40" s="1021">
        <f>O41-U41</f>
        <v>7.8731387581215784E-2</v>
      </c>
      <c r="W40" s="1043">
        <f>O40-U40</f>
        <v>24005.529999999984</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0.48917159602452315</v>
      </c>
      <c r="P41" s="1026"/>
      <c r="Q41" s="473" t="e">
        <f>Q40/G40</f>
        <v>#DIV/0!</v>
      </c>
      <c r="R41" s="1022"/>
      <c r="S41" s="1025"/>
      <c r="T41" s="1023"/>
      <c r="U41" s="473">
        <f>IF(S40=0,0,U40/S40)</f>
        <v>0.41044020844330736</v>
      </c>
      <c r="V41" s="1026"/>
      <c r="W41" s="473">
        <f>W40/U40</f>
        <v>0.41744101526090965</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8" thickTop="1"/>
    <row r="43" spans="2:44" s="935" customFormat="1">
      <c r="M43" s="1027">
        <f>M40-Print_Mois!K326</f>
        <v>0</v>
      </c>
      <c r="O43" s="1028">
        <f>O40-Print_Mois!L326</f>
        <v>0</v>
      </c>
      <c r="S43" s="1027">
        <f>S40-Print_Mois!P326</f>
        <v>0</v>
      </c>
      <c r="U43" s="1027">
        <f>U40-Print_Mois!Q326</f>
        <v>0</v>
      </c>
    </row>
  </sheetData>
  <mergeCells count="6">
    <mergeCell ref="V3:W3"/>
    <mergeCell ref="D3:G3"/>
    <mergeCell ref="H3:K3"/>
    <mergeCell ref="L3:O3"/>
    <mergeCell ref="P3:Q3"/>
    <mergeCell ref="R3:U3"/>
  </mergeCells>
  <conditionalFormatting sqref="I2:K2 I4:K11 M4:O11">
    <cfRule type="expression" dxfId="19" priority="34" stopIfTrue="1">
      <formula>"esterreur(reference)"</formula>
    </cfRule>
  </conditionalFormatting>
  <conditionalFormatting sqref="I12:O13">
    <cfRule type="expression" dxfId="18" priority="4" stopIfTrue="1">
      <formula>"esterreur(reference)"</formula>
    </cfRule>
  </conditionalFormatting>
  <conditionalFormatting sqref="I16:O24">
    <cfRule type="expression" dxfId="17" priority="2" stopIfTrue="1">
      <formula>"esterreur(reference)"</formula>
    </cfRule>
  </conditionalFormatting>
  <conditionalFormatting sqref="I27:O35">
    <cfRule type="expression" dxfId="16" priority="18" stopIfTrue="1">
      <formula>"esterreur(reference)"</formula>
    </cfRule>
  </conditionalFormatting>
  <conditionalFormatting sqref="M2:O2 L2:L11">
    <cfRule type="expression" dxfId="15" priority="35" stopIfTrue="1">
      <formula>"esterreur(reference)"</formula>
    </cfRule>
  </conditionalFormatting>
  <conditionalFormatting sqref="O38">
    <cfRule type="expression" dxfId="14" priority="17" stopIfTrue="1">
      <formula>"esterreur(reference)"</formula>
    </cfRule>
  </conditionalFormatting>
  <conditionalFormatting sqref="R6:S6 U6">
    <cfRule type="expression" dxfId="13" priority="13" stopIfTrue="1">
      <formula>"esterreur(reference)"</formula>
    </cfRule>
  </conditionalFormatting>
  <conditionalFormatting sqref="T6:T13">
    <cfRule type="expression" dxfId="12" priority="3" stopIfTrue="1">
      <formula>"esterreur(reference)"</formula>
    </cfRule>
  </conditionalFormatting>
  <conditionalFormatting sqref="T16:T24">
    <cfRule type="expression" dxfId="11" priority="1" stopIfTrue="1">
      <formula>"esterreur(reference)"</formula>
    </cfRule>
  </conditionalFormatting>
  <conditionalFormatting sqref="T27:T35">
    <cfRule type="expression" dxfId="10" priority="9"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sheetPr>
    <tabColor rgb="FF00B0F0"/>
  </sheetPr>
  <dimension ref="B1:AR43"/>
  <sheetViews>
    <sheetView zoomScale="80" zoomScaleNormal="80" workbookViewId="0">
      <selection activeCell="S17" sqref="S17:S35"/>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Juin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1"/>
      <c r="D3" s="1261" t="s">
        <v>339</v>
      </c>
      <c r="E3" s="1262"/>
      <c r="F3" s="1262"/>
      <c r="G3" s="1260"/>
      <c r="H3" s="1259"/>
      <c r="I3" s="1262"/>
      <c r="J3" s="1262"/>
      <c r="K3" s="1260"/>
      <c r="L3" s="1259" t="s">
        <v>340</v>
      </c>
      <c r="M3" s="1262"/>
      <c r="N3" s="1262"/>
      <c r="O3" s="1260"/>
      <c r="P3" s="1259" t="s">
        <v>668</v>
      </c>
      <c r="Q3" s="1260"/>
      <c r="R3" s="1261" t="s">
        <v>341</v>
      </c>
      <c r="S3" s="1262"/>
      <c r="T3" s="1262"/>
      <c r="U3" s="1260"/>
      <c r="V3" s="1259" t="s">
        <v>670</v>
      </c>
      <c r="W3" s="1260"/>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2" t="s">
        <v>3109</v>
      </c>
      <c r="D6" s="993"/>
      <c r="E6" s="993"/>
      <c r="F6" s="1033"/>
      <c r="G6" s="993"/>
      <c r="H6" s="994"/>
      <c r="I6" s="993"/>
      <c r="J6" s="993"/>
      <c r="K6" s="993"/>
      <c r="L6" s="994">
        <f>SUMIFS(BV_Data_An_Cour!$AX:$AX,BV_Data_An_Cour!$AO:$AO,$Y6)</f>
        <v>266</v>
      </c>
      <c r="M6" s="659">
        <f>-SUMIFS(BV_Data_An_Cour!$AN:$AN,BV_Data_An_Cour!$AO:$AO,$Y6)</f>
        <v>317588.84999999998</v>
      </c>
      <c r="N6" s="1036">
        <f>IFERROR(O6/M6,0)</f>
        <v>0.63809822038777497</v>
      </c>
      <c r="O6" s="995">
        <f>-SUMIFS(BV_Data_An_Cour!$AN:$AN,BV_Data_An_Cour!$AO:$AO,$Y6)-SUMIFS(BV_Data_An_Cour!$AN:$AN,BV_Data_An_Cour!$AO:$AO,$Z6)</f>
        <v>202652.87999999998</v>
      </c>
      <c r="P6" s="1037">
        <f t="shared" ref="P6:P12" si="0">IFERROR((M6-E6)/E6,0)</f>
        <v>0</v>
      </c>
      <c r="Q6" s="995">
        <f t="shared" ref="Q6:Q12" si="1">O6-G6</f>
        <v>202652.87999999998</v>
      </c>
      <c r="R6" s="994">
        <f>SUMIFS(BV_Data_An_Prec!$AX:$AX,BV_Data_An_Prec!$AO:$AO,$Y6)</f>
        <v>207</v>
      </c>
      <c r="S6" s="659">
        <f>-SUMIFS(BV_Data_An_Prec!$AN:$AN,BV_Data_An_Prec!$AO:$AO,$Y6)</f>
        <v>273621.57</v>
      </c>
      <c r="T6" s="1036">
        <f>IFERROR(U6/S6,0)</f>
        <v>0.60747502472118708</v>
      </c>
      <c r="U6" s="995">
        <f>-SUMIFS(BV_Data_An_Prec!$AN:$AN,BV_Data_An_Prec!$AO:$AO,$Y6)-SUMIFS(BV_Data_An_Prec!$AN:$AN,BV_Data_An_Prec!$AO:$AO,$Z6)</f>
        <v>166218.27000000002</v>
      </c>
      <c r="V6" s="1037">
        <f t="shared" ref="V6:V12" si="2">IF(R6=0,0,L6/R6)</f>
        <v>1.2850241545893719</v>
      </c>
      <c r="W6" s="995">
        <f t="shared" ref="W6:W12" si="3">O6-U6</f>
        <v>36434.609999999957</v>
      </c>
      <c r="X6" s="936"/>
      <c r="Y6" s="398" t="s">
        <v>2497</v>
      </c>
      <c r="Z6" s="398" t="s">
        <v>2889</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2" t="s">
        <v>3110</v>
      </c>
      <c r="D7" s="993"/>
      <c r="E7" s="993"/>
      <c r="F7" s="1033"/>
      <c r="G7" s="993"/>
      <c r="H7" s="994"/>
      <c r="I7" s="993"/>
      <c r="J7" s="993"/>
      <c r="K7" s="993"/>
      <c r="L7" s="994">
        <f>SUMIFS(BV_Data_An_Cour!$AX:$AX,BV_Data_An_Cour!$AO:$AO,$Y7)</f>
        <v>38</v>
      </c>
      <c r="M7" s="659">
        <f>-SUMIFS(BV_Data_An_Cour!$AN:$AN,BV_Data_An_Cour!$AO:$AO,$Y7)</f>
        <v>19811.75</v>
      </c>
      <c r="N7" s="1036">
        <f t="shared" ref="N7:N14" si="4">IFERROR(O7/M7,0)</f>
        <v>0.81294534808888663</v>
      </c>
      <c r="O7" s="995">
        <f>-SUMIFS(BV_Data_An_Cour!$AN:$AN,BV_Data_An_Cour!$AO:$AO,$Y7)-SUMIFS(BV_Data_An_Cour!$AN:$AN,BV_Data_An_Cour!$AO:$AO,$Z7)</f>
        <v>16105.869999999999</v>
      </c>
      <c r="P7" s="1037">
        <f t="shared" si="0"/>
        <v>0</v>
      </c>
      <c r="Q7" s="995">
        <f t="shared" si="1"/>
        <v>16105.869999999999</v>
      </c>
      <c r="R7" s="994">
        <f>SUMIFS(BV_Data_An_Prec!$AX:$AX,BV_Data_An_Prec!$AO:$AO,$Y7)</f>
        <v>0</v>
      </c>
      <c r="S7" s="659">
        <f>-SUMIFS(BV_Data_An_Prec!$AN:$AN,BV_Data_An_Prec!$AO:$AO,$Y7)</f>
        <v>0</v>
      </c>
      <c r="T7" s="1036">
        <f t="shared" ref="T7:T14" si="5">IFERROR(U7/S7,0)</f>
        <v>0</v>
      </c>
      <c r="U7" s="995">
        <f>-SUMIFS(BV_Data_An_Prec!$AN:$AN,BV_Data_An_Prec!$AO:$AO,$Y7)-SUMIFS(BV_Data_An_Prec!$AN:$AN,BV_Data_An_Prec!$AO:$AO,$Z7)</f>
        <v>0</v>
      </c>
      <c r="V7" s="1037">
        <f t="shared" si="2"/>
        <v>0</v>
      </c>
      <c r="W7" s="995">
        <f t="shared" si="3"/>
        <v>16105.869999999999</v>
      </c>
      <c r="X7" s="936"/>
      <c r="Y7" s="398" t="s">
        <v>2493</v>
      </c>
      <c r="Z7" s="398" t="s">
        <v>2885</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2" t="s">
        <v>3111</v>
      </c>
      <c r="D8" s="993"/>
      <c r="E8" s="993"/>
      <c r="F8" s="1033"/>
      <c r="G8" s="993"/>
      <c r="H8" s="994"/>
      <c r="I8" s="993"/>
      <c r="J8" s="993"/>
      <c r="K8" s="993"/>
      <c r="L8" s="994">
        <f>SUMIFS(BV_Data_An_Cour!$AX:$AX,BV_Data_An_Cour!$AO:$AO,$Y8)</f>
        <v>24</v>
      </c>
      <c r="M8" s="659">
        <f>-SUMIFS(BV_Data_An_Cour!$AN:$AN,BV_Data_An_Cour!$AO:$AO,$Y8)</f>
        <v>4409.1000000000004</v>
      </c>
      <c r="N8" s="1036">
        <f t="shared" si="4"/>
        <v>0.78799981855707513</v>
      </c>
      <c r="O8" s="995">
        <f>-SUMIFS(BV_Data_An_Cour!$AN:$AN,BV_Data_An_Cour!$AO:$AO,$Y8)-SUMIFS(BV_Data_An_Cour!$AN:$AN,BV_Data_An_Cour!$AO:$AO,$Z8)</f>
        <v>3474.3700000000003</v>
      </c>
      <c r="P8" s="1037">
        <f t="shared" si="0"/>
        <v>0</v>
      </c>
      <c r="Q8" s="995">
        <f t="shared" si="1"/>
        <v>3474.3700000000003</v>
      </c>
      <c r="R8" s="994">
        <f>SUMIFS(BV_Data_An_Prec!$AX:$AX,BV_Data_An_Prec!$AO:$AO,$Y8)</f>
        <v>0</v>
      </c>
      <c r="S8" s="659">
        <f>-SUMIFS(BV_Data_An_Prec!$AN:$AN,BV_Data_An_Prec!$AO:$AO,$Y8)</f>
        <v>0</v>
      </c>
      <c r="T8" s="1036">
        <f t="shared" si="5"/>
        <v>0</v>
      </c>
      <c r="U8" s="995">
        <f>-SUMIFS(BV_Data_An_Prec!$AN:$AN,BV_Data_An_Prec!$AO:$AO,$Y8)-SUMIFS(BV_Data_An_Prec!$AN:$AN,BV_Data_An_Prec!$AO:$AO,$Z8)</f>
        <v>0</v>
      </c>
      <c r="V8" s="1037">
        <f t="shared" si="2"/>
        <v>0</v>
      </c>
      <c r="W8" s="995">
        <f t="shared" si="3"/>
        <v>3474.3700000000003</v>
      </c>
      <c r="X8" s="936"/>
      <c r="Y8" s="398" t="s">
        <v>2501</v>
      </c>
      <c r="Z8" s="398" t="s">
        <v>2893</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2" t="s">
        <v>3112</v>
      </c>
      <c r="D9" s="993"/>
      <c r="E9" s="993"/>
      <c r="F9" s="1033"/>
      <c r="G9" s="993"/>
      <c r="H9" s="994"/>
      <c r="I9" s="993"/>
      <c r="J9" s="993"/>
      <c r="K9" s="993"/>
      <c r="L9" s="994">
        <f>SUMIFS(BV_Data_An_Cour!$AX:$AX,BV_Data_An_Cour!$AO:$AO,$Y9)</f>
        <v>0</v>
      </c>
      <c r="M9" s="659">
        <f>-SUMIFS(BV_Data_An_Cour!$AN:$AN,BV_Data_An_Cour!$AO:$AO,$Y9)</f>
        <v>0</v>
      </c>
      <c r="N9" s="1036">
        <f t="shared" si="4"/>
        <v>0</v>
      </c>
      <c r="O9" s="995">
        <f>-SUMIFS(BV_Data_An_Cour!$AN:$AN,BV_Data_An_Cour!$AO:$AO,$Y9)-SUMIFS(BV_Data_An_Cour!$AN:$AN,BV_Data_An_Cour!$AO:$AO,$Z9)</f>
        <v>0</v>
      </c>
      <c r="P9" s="1037">
        <f t="shared" si="0"/>
        <v>0</v>
      </c>
      <c r="Q9" s="995">
        <f t="shared" si="1"/>
        <v>0</v>
      </c>
      <c r="R9" s="994">
        <f>SUMIFS(BV_Data_An_Prec!$AX:$AX,BV_Data_An_Prec!$AO:$AO,$Y9)</f>
        <v>0</v>
      </c>
      <c r="S9" s="659">
        <f>-SUMIFS(BV_Data_An_Prec!$AN:$AN,BV_Data_An_Prec!$AO:$AO,$Y9)</f>
        <v>0</v>
      </c>
      <c r="T9" s="1036">
        <f t="shared" si="5"/>
        <v>0</v>
      </c>
      <c r="U9" s="995">
        <f>-SUMIFS(BV_Data_An_Prec!$AN:$AN,BV_Data_An_Prec!$AO:$AO,$Y9)-SUMIFS(BV_Data_An_Prec!$AN:$AN,BV_Data_An_Prec!$AO:$AO,$Z9)</f>
        <v>0</v>
      </c>
      <c r="V9" s="1037">
        <f t="shared" si="2"/>
        <v>0</v>
      </c>
      <c r="W9" s="995">
        <f t="shared" si="3"/>
        <v>0</v>
      </c>
      <c r="X9" s="936"/>
      <c r="Y9" s="398" t="s">
        <v>2523</v>
      </c>
      <c r="Z9" s="398" t="s">
        <v>2915</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2" t="s">
        <v>3113</v>
      </c>
      <c r="D10" s="993"/>
      <c r="E10" s="993"/>
      <c r="F10" s="1033"/>
      <c r="G10" s="993"/>
      <c r="H10" s="994"/>
      <c r="I10" s="993"/>
      <c r="J10" s="993"/>
      <c r="K10" s="993"/>
      <c r="L10" s="994">
        <f>SUMIFS(BV_Data_An_Cour!$AX:$AX,BV_Data_An_Cour!$AO:$AO,$Y10)</f>
        <v>297</v>
      </c>
      <c r="M10" s="659">
        <f>-SUMIFS(BV_Data_An_Cour!$AN:$AN,BV_Data_An_Cour!$AO:$AO,$Y10)</f>
        <v>139535.45000000001</v>
      </c>
      <c r="N10" s="1036">
        <f t="shared" si="4"/>
        <v>0.31293366667753614</v>
      </c>
      <c r="O10" s="995">
        <f>-SUMIFS(BV_Data_An_Cour!$AN:$AN,BV_Data_An_Cour!$AO:$AO,$Y10)-SUMIFS(BV_Data_An_Cour!$AN:$AN,BV_Data_An_Cour!$AO:$AO,$Z10)</f>
        <v>43665.340000000011</v>
      </c>
      <c r="P10" s="1037">
        <f t="shared" si="0"/>
        <v>0</v>
      </c>
      <c r="Q10" s="995">
        <f t="shared" si="1"/>
        <v>43665.340000000011</v>
      </c>
      <c r="R10" s="994">
        <f>SUMIFS(BV_Data_An_Prec!$AX:$AX,BV_Data_An_Prec!$AO:$AO,$Y10)</f>
        <v>213</v>
      </c>
      <c r="S10" s="659">
        <f>-SUMIFS(BV_Data_An_Prec!$AN:$AN,BV_Data_An_Prec!$AO:$AO,$Y10)</f>
        <v>101196.01</v>
      </c>
      <c r="T10" s="1036">
        <f t="shared" si="5"/>
        <v>0.66999192952370357</v>
      </c>
      <c r="U10" s="995">
        <f>-SUMIFS(BV_Data_An_Prec!$AN:$AN,BV_Data_An_Prec!$AO:$AO,$Y10)-SUMIFS(BV_Data_An_Prec!$AN:$AN,BV_Data_An_Prec!$AO:$AO,$Z10)</f>
        <v>67800.509999999995</v>
      </c>
      <c r="V10" s="1037">
        <f t="shared" si="2"/>
        <v>1.3943661971830985</v>
      </c>
      <c r="W10" s="995">
        <f t="shared" si="3"/>
        <v>-24135.169999999984</v>
      </c>
      <c r="X10" s="936"/>
      <c r="Y10" s="398" t="s">
        <v>2541</v>
      </c>
      <c r="Z10" s="398" t="s">
        <v>2933</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2" t="s">
        <v>3114</v>
      </c>
      <c r="D11" s="993"/>
      <c r="E11" s="993"/>
      <c r="F11" s="1033"/>
      <c r="G11" s="993"/>
      <c r="H11" s="994"/>
      <c r="I11" s="993"/>
      <c r="J11" s="993"/>
      <c r="K11" s="993"/>
      <c r="L11" s="994">
        <f>SUMIFS(BV_Data_An_Cour!$AX:$AX,BV_Data_An_Cour!$AO:$AO,$Y11)</f>
        <v>42</v>
      </c>
      <c r="M11" s="659">
        <f>-SUMIFS(BV_Data_An_Cour!$AN:$AN,BV_Data_An_Cour!$AO:$AO,$Y11)</f>
        <v>9429.58</v>
      </c>
      <c r="N11" s="1036">
        <f t="shared" si="4"/>
        <v>0.20609401479175107</v>
      </c>
      <c r="O11" s="995">
        <f>-SUMIFS(BV_Data_An_Cour!$AN:$AN,BV_Data_An_Cour!$AO:$AO,$Y11)-SUMIFS(BV_Data_An_Cour!$AN:$AN,BV_Data_An_Cour!$AO:$AO,$Z11)</f>
        <v>1943.38</v>
      </c>
      <c r="P11" s="1037">
        <f t="shared" si="0"/>
        <v>0</v>
      </c>
      <c r="Q11" s="995">
        <f t="shared" si="1"/>
        <v>1943.38</v>
      </c>
      <c r="R11" s="994">
        <f>SUMIFS(BV_Data_An_Prec!$AX:$AX,BV_Data_An_Prec!$AO:$AO,$Y11)</f>
        <v>0</v>
      </c>
      <c r="S11" s="659">
        <f>-SUMIFS(BV_Data_An_Prec!$AN:$AN,BV_Data_An_Prec!$AO:$AO,$Y11)</f>
        <v>0</v>
      </c>
      <c r="T11" s="1036">
        <f t="shared" si="5"/>
        <v>0</v>
      </c>
      <c r="U11" s="995">
        <f>-SUMIFS(BV_Data_An_Prec!$AN:$AN,BV_Data_An_Prec!$AO:$AO,$Y11)-SUMIFS(BV_Data_An_Prec!$AN:$AN,BV_Data_An_Prec!$AO:$AO,$Z11)</f>
        <v>0</v>
      </c>
      <c r="V11" s="1037">
        <f t="shared" si="2"/>
        <v>0</v>
      </c>
      <c r="W11" s="995">
        <f t="shared" si="3"/>
        <v>1943.38</v>
      </c>
      <c r="X11" s="936"/>
      <c r="Y11" s="398" t="s">
        <v>2547</v>
      </c>
      <c r="Z11" s="398" t="s">
        <v>2939</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2" t="s">
        <v>3115</v>
      </c>
      <c r="D12" s="993"/>
      <c r="E12" s="993"/>
      <c r="F12" s="1033"/>
      <c r="G12" s="993"/>
      <c r="H12" s="994"/>
      <c r="I12" s="993"/>
      <c r="J12" s="993"/>
      <c r="K12" s="993"/>
      <c r="L12" s="994">
        <f>SUMIFS(BV_Data_An_Cour!$AX:$AX,BV_Data_An_Cour!$AO:$AO,$Y12)</f>
        <v>188</v>
      </c>
      <c r="M12" s="659">
        <f>-SUMIFS(BV_Data_An_Cour!$AN:$AN,BV_Data_An_Cour!$AO:$AO,$Y12)</f>
        <v>389901.01</v>
      </c>
      <c r="N12" s="1036">
        <f t="shared" si="4"/>
        <v>0.24663290818354119</v>
      </c>
      <c r="O12" s="995">
        <f>-SUMIFS(BV_Data_An_Cour!$AN:$AN,BV_Data_An_Cour!$AO:$AO,$Y12)-SUMIFS(BV_Data_An_Cour!$AN:$AN,BV_Data_An_Cour!$AO:$AO,$Z12)</f>
        <v>96162.419999999984</v>
      </c>
      <c r="P12" s="1037">
        <f t="shared" si="0"/>
        <v>0</v>
      </c>
      <c r="Q12" s="995">
        <f t="shared" si="1"/>
        <v>96162.419999999984</v>
      </c>
      <c r="R12" s="994">
        <f>SUMIFS(BV_Data_An_Prec!$AX:$AX,BV_Data_An_Prec!$AO:$AO,$Y12)</f>
        <v>219</v>
      </c>
      <c r="S12" s="659">
        <f>-SUMIFS(BV_Data_An_Prec!$AN:$AN,BV_Data_An_Prec!$AO:$AO,$Y12)</f>
        <v>463873.62</v>
      </c>
      <c r="T12" s="1036">
        <f t="shared" si="5"/>
        <v>0.22182850147848462</v>
      </c>
      <c r="U12" s="995">
        <f>-SUMIFS(BV_Data_An_Prec!$AN:$AN,BV_Data_An_Prec!$AO:$AO,$Y12)-SUMIFS(BV_Data_An_Prec!$AN:$AN,BV_Data_An_Prec!$AO:$AO,$Z12)</f>
        <v>102900.39000000001</v>
      </c>
      <c r="V12" s="1037">
        <f t="shared" si="2"/>
        <v>0.85844748858447484</v>
      </c>
      <c r="W12" s="995">
        <f t="shared" si="3"/>
        <v>-6737.9700000000303</v>
      </c>
      <c r="X12" s="936"/>
      <c r="Y12" s="398" t="s">
        <v>2517</v>
      </c>
      <c r="Z12" s="398" t="s">
        <v>2909</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3130</v>
      </c>
      <c r="D13" s="998"/>
      <c r="E13" s="998"/>
      <c r="F13" s="999"/>
      <c r="G13" s="998"/>
      <c r="H13" s="1000"/>
      <c r="I13" s="998"/>
      <c r="J13" s="998"/>
      <c r="K13" s="998"/>
      <c r="L13" s="1000">
        <f>SUMIFS(BV_Data_An_Cour!$AX:$AX,BV_Data_An_Cour!$AO:$AO,$Y13)</f>
        <v>18</v>
      </c>
      <c r="M13" s="659">
        <f>-SUMIFS(BV_Data_An_Cour!$AN:$AN,BV_Data_An_Cour!$AO:$AO,$Y13)</f>
        <v>1486.33</v>
      </c>
      <c r="N13" s="1036">
        <f t="shared" ref="N13" si="6">IFERROR(O13/M13,0)</f>
        <v>0</v>
      </c>
      <c r="O13" s="995">
        <f>-SUMIFS(BV_Data_An_Cour!$AN:$AN,BV_Data_An_Cour!$AO:$AO,$Y13)-SUMIFS(BV_Data_An_Cour!$AN:$AN,BV_Data_An_Cour!$AO:$AO,$Z13)</f>
        <v>0</v>
      </c>
      <c r="P13" s="1001">
        <f t="shared" ref="P13" si="7">IFERROR((M13-E13)/E13,0)</f>
        <v>0</v>
      </c>
      <c r="Q13" s="1002">
        <f t="shared" ref="Q13" si="8">O13-G13</f>
        <v>0</v>
      </c>
      <c r="R13" s="994">
        <f>SUMIFS(BV_Data_An_Prec!$AX:$AX,BV_Data_An_Prec!$AO:$AO,$Y13)</f>
        <v>0</v>
      </c>
      <c r="S13" s="659">
        <f>-SUMIFS(BV_Data_An_Prec!$AN:$AN,BV_Data_An_Prec!$AO:$AO,$Y13)</f>
        <v>0</v>
      </c>
      <c r="T13" s="1036">
        <f t="shared" ref="T13" si="9">IFERROR(U13/S13,0)</f>
        <v>0</v>
      </c>
      <c r="U13" s="995">
        <f>-SUMIFS(BV_Data_An_Prec!$AN:$AN,BV_Data_An_Prec!$AO:$AO,$Y13)-SUMIFS(BV_Data_An_Prec!$AN:$AN,BV_Data_An_Prec!$AO:$AO,$Z13)</f>
        <v>0</v>
      </c>
      <c r="V13" s="1001">
        <f t="shared" ref="V13" si="10">IF(R13=0,0,L13/R13)</f>
        <v>0</v>
      </c>
      <c r="W13" s="1002">
        <f t="shared" ref="W13" si="11">O13-U13</f>
        <v>0</v>
      </c>
      <c r="X13" s="936"/>
      <c r="Y13" s="398" t="s">
        <v>2529</v>
      </c>
      <c r="Z13" s="398" t="s">
        <v>2921</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882162.07</v>
      </c>
      <c r="N14" s="1007">
        <f t="shared" si="4"/>
        <v>0.41262742117216622</v>
      </c>
      <c r="O14" s="1006">
        <f>SUM(O6:O13)</f>
        <v>364004.25999999995</v>
      </c>
      <c r="P14" s="1010">
        <f>IFERROR((M14-E14)/E14,0)</f>
        <v>0</v>
      </c>
      <c r="Q14" s="1011">
        <f>O14-G14</f>
        <v>364004.25999999995</v>
      </c>
      <c r="R14" s="1009"/>
      <c r="S14" s="1006">
        <f>SUM(S6:S13)</f>
        <v>838691.2</v>
      </c>
      <c r="T14" s="1007">
        <f t="shared" si="5"/>
        <v>0.4017201682812459</v>
      </c>
      <c r="U14" s="1006">
        <f>SUM(U6:U13)</f>
        <v>336919.17000000004</v>
      </c>
      <c r="V14" s="1010">
        <f>IF(R14=0,0,L14/R14)</f>
        <v>0</v>
      </c>
      <c r="W14" s="1011">
        <f>SUM(W6:W13)</f>
        <v>27085.089999999938</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2" t="s">
        <v>3116</v>
      </c>
      <c r="D16" s="993"/>
      <c r="E16" s="993"/>
      <c r="F16" s="1033"/>
      <c r="G16" s="993"/>
      <c r="H16" s="994"/>
      <c r="I16" s="993"/>
      <c r="J16" s="993"/>
      <c r="K16" s="993"/>
      <c r="L16" s="994">
        <f>SUMIFS(BV_Data_An_Cour!$AX:$AX,BV_Data_An_Cour!$AO:$AO,$Y16)</f>
        <v>48</v>
      </c>
      <c r="M16" s="659">
        <f>-SUMIFS(BV_Data_An_Cour!$AN:$AN,BV_Data_An_Cour!$AO:$AO,$Y16)</f>
        <v>27952.25</v>
      </c>
      <c r="N16" s="1036">
        <f>IFERROR(O16/M16,0)</f>
        <v>0.35039397544025969</v>
      </c>
      <c r="O16" s="995">
        <f>-SUMIFS(BV_Data_An_Cour!$AN:$AN,BV_Data_An_Cour!$AO:$AO,$Y16)-SUMIFS(BV_Data_An_Cour!$AN:$AN,BV_Data_An_Cour!$AO:$AO,$Z16)</f>
        <v>9794.2999999999993</v>
      </c>
      <c r="P16" s="1037">
        <f t="shared" ref="P16:P23" si="12">IFERROR((M16-E16)/E16,0)</f>
        <v>0</v>
      </c>
      <c r="Q16" s="995">
        <f t="shared" ref="Q16:Q23" si="13">O16-G16</f>
        <v>9794.2999999999993</v>
      </c>
      <c r="R16" s="994">
        <f>SUMIFS(BV_Data_An_Prec!$AX:$AX,BV_Data_An_Prec!$AO:$AO,$Y16)</f>
        <v>29</v>
      </c>
      <c r="S16" s="659">
        <f>-SUMIFS(BV_Data_An_Prec!$AN:$AN,BV_Data_An_Prec!$AO:$AO,$Y16)</f>
        <v>19405.900000000001</v>
      </c>
      <c r="T16" s="1036">
        <f>IFERROR(U16/S16,0)</f>
        <v>0.49566832767354263</v>
      </c>
      <c r="U16" s="995">
        <f>-SUMIFS(BV_Data_An_Prec!$AN:$AN,BV_Data_An_Prec!$AO:$AO,$Y16)-SUMIFS(BV_Data_An_Prec!$AN:$AN,BV_Data_An_Prec!$AO:$AO,$Z16)</f>
        <v>9618.8900000000012</v>
      </c>
      <c r="V16" s="1037">
        <f t="shared" ref="V16:V23" si="14">IF(R16=0,0,L16/R16)</f>
        <v>1.6551724137931034</v>
      </c>
      <c r="W16" s="995">
        <f t="shared" ref="W16:W23" si="15">O16-U16</f>
        <v>175.40999999999804</v>
      </c>
      <c r="X16" s="936"/>
      <c r="Y16" s="398" t="s">
        <v>2509</v>
      </c>
      <c r="Z16" s="398" t="s">
        <v>2901</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2" t="s">
        <v>3117</v>
      </c>
      <c r="D17" s="993"/>
      <c r="E17" s="993"/>
      <c r="F17" s="1033"/>
      <c r="G17" s="993"/>
      <c r="H17" s="994"/>
      <c r="I17" s="993"/>
      <c r="J17" s="993"/>
      <c r="K17" s="993"/>
      <c r="L17" s="994">
        <f>SUMIFS(BV_Data_An_Cour!$AX:$AX,BV_Data_An_Cour!$AO:$AO,$Y17)</f>
        <v>10</v>
      </c>
      <c r="M17" s="659">
        <f>-SUMIFS(BV_Data_An_Cour!$AN:$AN,BV_Data_An_Cour!$AO:$AO,$Y17)</f>
        <v>1843.5</v>
      </c>
      <c r="N17" s="1036">
        <f t="shared" ref="N17:N25" si="16">IFERROR(O17/M17,0)</f>
        <v>0.63998915107133181</v>
      </c>
      <c r="O17" s="995">
        <f>-SUMIFS(BV_Data_An_Cour!$AN:$AN,BV_Data_An_Cour!$AO:$AO,$Y17)-SUMIFS(BV_Data_An_Cour!$AN:$AN,BV_Data_An_Cour!$AO:$AO,$Z17)</f>
        <v>1179.8200000000002</v>
      </c>
      <c r="P17" s="1037">
        <f t="shared" si="12"/>
        <v>0</v>
      </c>
      <c r="Q17" s="995">
        <f t="shared" si="13"/>
        <v>1179.8200000000002</v>
      </c>
      <c r="R17" s="994">
        <f>SUMIFS(BV_Data_An_Prec!$AX:$AX,BV_Data_An_Prec!$AO:$AO,$Y17)</f>
        <v>0</v>
      </c>
      <c r="S17" s="659">
        <f>-SUMIFS(BV_Data_An_Prec!$AN:$AN,BV_Data_An_Prec!$AO:$AO,$Y17)</f>
        <v>0</v>
      </c>
      <c r="T17" s="1036">
        <f t="shared" ref="T17:T25" si="17">IFERROR(U17/S17,0)</f>
        <v>0</v>
      </c>
      <c r="U17" s="995">
        <f>-SUMIFS(BV_Data_An_Prec!$AN:$AN,BV_Data_An_Prec!$AO:$AO,$Y17)-SUMIFS(BV_Data_An_Prec!$AN:$AN,BV_Data_An_Prec!$AO:$AO,$Z17)</f>
        <v>0</v>
      </c>
      <c r="V17" s="1037">
        <f t="shared" si="14"/>
        <v>0</v>
      </c>
      <c r="W17" s="995">
        <f t="shared" si="15"/>
        <v>1179.8200000000002</v>
      </c>
      <c r="X17" s="936"/>
      <c r="Y17" s="398" t="s">
        <v>2511</v>
      </c>
      <c r="Z17" s="398" t="s">
        <v>2903</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2" t="s">
        <v>3118</v>
      </c>
      <c r="D18" s="993"/>
      <c r="E18" s="993"/>
      <c r="F18" s="1033"/>
      <c r="G18" s="993"/>
      <c r="H18" s="994"/>
      <c r="I18" s="993"/>
      <c r="J18" s="993"/>
      <c r="K18" s="993"/>
      <c r="L18" s="994">
        <f>SUMIFS(BV_Data_An_Cour!$AX:$AX,BV_Data_An_Cour!$AO:$AO,$Y18)</f>
        <v>0</v>
      </c>
      <c r="M18" s="659">
        <f>-SUMIFS(BV_Data_An_Cour!$AN:$AN,BV_Data_An_Cour!$AO:$AO,$Y18)</f>
        <v>0</v>
      </c>
      <c r="N18" s="1036">
        <f t="shared" si="16"/>
        <v>0</v>
      </c>
      <c r="O18" s="995">
        <f>-SUMIFS(BV_Data_An_Cour!$AN:$AN,BV_Data_An_Cour!$AO:$AO,$Y18)-SUMIFS(BV_Data_An_Cour!$AN:$AN,BV_Data_An_Cour!$AO:$AO,$Z18)</f>
        <v>0</v>
      </c>
      <c r="P18" s="1037">
        <f t="shared" si="12"/>
        <v>0</v>
      </c>
      <c r="Q18" s="995">
        <f t="shared" si="13"/>
        <v>0</v>
      </c>
      <c r="R18" s="994">
        <f>SUMIFS(BV_Data_An_Prec!$AX:$AX,BV_Data_An_Prec!$AO:$AO,$Y18)</f>
        <v>0</v>
      </c>
      <c r="S18" s="659">
        <f>-SUMIFS(BV_Data_An_Prec!$AN:$AN,BV_Data_An_Prec!$AO:$AO,$Y18)</f>
        <v>0</v>
      </c>
      <c r="T18" s="1036">
        <f t="shared" si="17"/>
        <v>0</v>
      </c>
      <c r="U18" s="995">
        <f>-SUMIFS(BV_Data_An_Prec!$AN:$AN,BV_Data_An_Prec!$AO:$AO,$Y18)-SUMIFS(BV_Data_An_Prec!$AN:$AN,BV_Data_An_Prec!$AO:$AO,$Z18)</f>
        <v>0</v>
      </c>
      <c r="V18" s="1037">
        <f t="shared" si="14"/>
        <v>0</v>
      </c>
      <c r="W18" s="995">
        <f t="shared" si="15"/>
        <v>0</v>
      </c>
      <c r="X18" s="936"/>
      <c r="Y18" s="398" t="s">
        <v>2513</v>
      </c>
      <c r="Z18" s="398" t="s">
        <v>2905</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2" t="s">
        <v>3119</v>
      </c>
      <c r="D19" s="993"/>
      <c r="E19" s="993"/>
      <c r="F19" s="1033"/>
      <c r="G19" s="993"/>
      <c r="H19" s="994"/>
      <c r="I19" s="993"/>
      <c r="J19" s="993"/>
      <c r="K19" s="993"/>
      <c r="L19" s="994">
        <f>SUMIFS(BV_Data_An_Cour!$AX:$AX,BV_Data_An_Cour!$AO:$AO,$Y19)</f>
        <v>0</v>
      </c>
      <c r="M19" s="659">
        <f>-SUMIFS(BV_Data_An_Cour!$AN:$AN,BV_Data_An_Cour!$AO:$AO,$Y19)</f>
        <v>0</v>
      </c>
      <c r="N19" s="1036">
        <f t="shared" si="16"/>
        <v>0</v>
      </c>
      <c r="O19" s="995">
        <f>-SUMIFS(BV_Data_An_Cour!$AN:$AN,BV_Data_An_Cour!$AO:$AO,$Y19)-SUMIFS(BV_Data_An_Cour!$AN:$AN,BV_Data_An_Cour!$AO:$AO,$Z19)</f>
        <v>0</v>
      </c>
      <c r="P19" s="1037">
        <f t="shared" si="12"/>
        <v>0</v>
      </c>
      <c r="Q19" s="995">
        <f t="shared" si="13"/>
        <v>0</v>
      </c>
      <c r="R19" s="994">
        <f>SUMIFS(BV_Data_An_Prec!$AX:$AX,BV_Data_An_Prec!$AO:$AO,$Y19)</f>
        <v>0</v>
      </c>
      <c r="S19" s="659">
        <f>-SUMIFS(BV_Data_An_Prec!$AN:$AN,BV_Data_An_Prec!$AO:$AO,$Y19)</f>
        <v>0</v>
      </c>
      <c r="T19" s="1036">
        <f t="shared" si="17"/>
        <v>0</v>
      </c>
      <c r="U19" s="995">
        <f>-SUMIFS(BV_Data_An_Prec!$AN:$AN,BV_Data_An_Prec!$AO:$AO,$Y19)-SUMIFS(BV_Data_An_Prec!$AN:$AN,BV_Data_An_Prec!$AO:$AO,$Z19)</f>
        <v>0</v>
      </c>
      <c r="V19" s="1037">
        <f t="shared" si="14"/>
        <v>0</v>
      </c>
      <c r="W19" s="995">
        <f t="shared" si="15"/>
        <v>0</v>
      </c>
      <c r="X19" s="936"/>
      <c r="Y19" s="398" t="s">
        <v>2525</v>
      </c>
      <c r="Z19" s="398" t="s">
        <v>2917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2" t="s">
        <v>3120</v>
      </c>
      <c r="D20" s="993"/>
      <c r="E20" s="993"/>
      <c r="F20" s="1033"/>
      <c r="G20" s="993"/>
      <c r="H20" s="994"/>
      <c r="I20" s="993"/>
      <c r="J20" s="993"/>
      <c r="K20" s="993"/>
      <c r="L20" s="994">
        <f>SUMIFS(BV_Data_An_Cour!$AX:$AX,BV_Data_An_Cour!$AO:$AO,$Y20)</f>
        <v>7</v>
      </c>
      <c r="M20" s="659">
        <f>-SUMIFS(BV_Data_An_Cour!$AN:$AN,BV_Data_An_Cour!$AO:$AO,$Y20)</f>
        <v>1138.58</v>
      </c>
      <c r="N20" s="1036">
        <f t="shared" si="16"/>
        <v>0.46871541744980588</v>
      </c>
      <c r="O20" s="995">
        <f>-SUMIFS(BV_Data_An_Cour!$AN:$AN,BV_Data_An_Cour!$AO:$AO,$Y20)-SUMIFS(BV_Data_An_Cour!$AN:$AN,BV_Data_An_Cour!$AO:$AO,$Z20)</f>
        <v>533.66999999999996</v>
      </c>
      <c r="P20" s="1037">
        <f t="shared" si="12"/>
        <v>0</v>
      </c>
      <c r="Q20" s="995">
        <f t="shared" si="13"/>
        <v>533.66999999999996</v>
      </c>
      <c r="R20" s="994">
        <f>SUMIFS(BV_Data_An_Prec!$AX:$AX,BV_Data_An_Prec!$AO:$AO,$Y20)</f>
        <v>0</v>
      </c>
      <c r="S20" s="659">
        <f>-SUMIFS(BV_Data_An_Prec!$AN:$AN,BV_Data_An_Prec!$AO:$AO,$Y20)</f>
        <v>0</v>
      </c>
      <c r="T20" s="1036">
        <f t="shared" si="17"/>
        <v>0</v>
      </c>
      <c r="U20" s="995">
        <f>-SUMIFS(BV_Data_An_Prec!$AN:$AN,BV_Data_An_Prec!$AO:$AO,$Y20)-SUMIFS(BV_Data_An_Prec!$AN:$AN,BV_Data_An_Prec!$AO:$AO,$Z20)</f>
        <v>0</v>
      </c>
      <c r="V20" s="1037">
        <f t="shared" si="14"/>
        <v>0</v>
      </c>
      <c r="W20" s="995">
        <f t="shared" si="15"/>
        <v>533.66999999999996</v>
      </c>
      <c r="X20" s="936"/>
      <c r="Y20" s="398" t="s">
        <v>2543</v>
      </c>
      <c r="Z20" s="398" t="s">
        <v>2935</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2" t="s">
        <v>3121</v>
      </c>
      <c r="D21" s="993"/>
      <c r="E21" s="993"/>
      <c r="F21" s="1033"/>
      <c r="G21" s="993"/>
      <c r="H21" s="994"/>
      <c r="I21" s="993"/>
      <c r="J21" s="993"/>
      <c r="K21" s="993"/>
      <c r="L21" s="994">
        <f>SUMIFS(BV_Data_An_Cour!$AX:$AX,BV_Data_An_Cour!$AO:$AO,$Y21)</f>
        <v>6</v>
      </c>
      <c r="M21" s="659">
        <f>-SUMIFS(BV_Data_An_Cour!$AN:$AN,BV_Data_An_Cour!$AO:$AO,$Y21)</f>
        <v>510.43</v>
      </c>
      <c r="N21" s="1036">
        <f t="shared" si="16"/>
        <v>0.15741629606410285</v>
      </c>
      <c r="O21" s="995">
        <f>-SUMIFS(BV_Data_An_Cour!$AN:$AN,BV_Data_An_Cour!$AO:$AO,$Y21)-SUMIFS(BV_Data_An_Cour!$AN:$AN,BV_Data_An_Cour!$AO:$AO,$Z21)</f>
        <v>80.350000000000023</v>
      </c>
      <c r="P21" s="1037">
        <f t="shared" si="12"/>
        <v>0</v>
      </c>
      <c r="Q21" s="995">
        <f t="shared" si="13"/>
        <v>80.350000000000023</v>
      </c>
      <c r="R21" s="994">
        <f>SUMIFS(BV_Data_An_Prec!$AX:$AX,BV_Data_An_Prec!$AO:$AO,$Y21)</f>
        <v>0</v>
      </c>
      <c r="S21" s="659">
        <f>-SUMIFS(BV_Data_An_Prec!$AN:$AN,BV_Data_An_Prec!$AO:$AO,$Y21)</f>
        <v>0</v>
      </c>
      <c r="T21" s="1036">
        <f t="shared" si="17"/>
        <v>0</v>
      </c>
      <c r="U21" s="995">
        <f>-SUMIFS(BV_Data_An_Prec!$AN:$AN,BV_Data_An_Prec!$AO:$AO,$Y21)-SUMIFS(BV_Data_An_Prec!$AN:$AN,BV_Data_An_Prec!$AO:$AO,$Z21)</f>
        <v>0</v>
      </c>
      <c r="V21" s="1037">
        <f t="shared" si="14"/>
        <v>0</v>
      </c>
      <c r="W21" s="995">
        <f t="shared" si="15"/>
        <v>80.350000000000023</v>
      </c>
      <c r="X21" s="936"/>
      <c r="Y21" s="398" t="s">
        <v>2549</v>
      </c>
      <c r="Z21" s="398" t="s">
        <v>2941</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t="s">
        <v>172</v>
      </c>
      <c r="C22" s="992" t="s">
        <v>3122</v>
      </c>
      <c r="D22" s="993"/>
      <c r="E22" s="993"/>
      <c r="F22" s="1033"/>
      <c r="G22" s="993"/>
      <c r="H22" s="994"/>
      <c r="I22" s="993"/>
      <c r="J22" s="993"/>
      <c r="K22" s="993"/>
      <c r="L22" s="994">
        <f>SUMIFS(BV_Data_An_Cour!$AX:$AX,BV_Data_An_Cour!$AO:$AO,$Y22)</f>
        <v>3</v>
      </c>
      <c r="M22" s="659">
        <f>-SUMIFS(BV_Data_An_Cour!$AN:$AN,BV_Data_An_Cour!$AO:$AO,$Y22)</f>
        <v>331.62</v>
      </c>
      <c r="N22" s="1036">
        <f t="shared" si="16"/>
        <v>1</v>
      </c>
      <c r="O22" s="995">
        <f>-SUMIFS(BV_Data_An_Cour!$AN:$AN,BV_Data_An_Cour!$AO:$AO,$Y22)-SUMIFS(BV_Data_An_Cour!$AN:$AN,BV_Data_An_Cour!$AO:$AO,$Z22)</f>
        <v>331.62</v>
      </c>
      <c r="P22" s="1037">
        <f t="shared" si="12"/>
        <v>0</v>
      </c>
      <c r="Q22" s="995">
        <f t="shared" si="13"/>
        <v>331.62</v>
      </c>
      <c r="R22" s="994">
        <f>SUMIFS(BV_Data_An_Prec!$AX:$AX,BV_Data_An_Prec!$AO:$AO,$Y22)</f>
        <v>0</v>
      </c>
      <c r="S22" s="659">
        <f>-SUMIFS(BV_Data_An_Prec!$AN:$AN,BV_Data_An_Prec!$AO:$AO,$Y22)</f>
        <v>0</v>
      </c>
      <c r="T22" s="1036">
        <f t="shared" si="17"/>
        <v>0</v>
      </c>
      <c r="U22" s="995">
        <f>-SUMIFS(BV_Data_An_Prec!$AN:$AN,BV_Data_An_Prec!$AO:$AO,$Y22)-SUMIFS(BV_Data_An_Prec!$AN:$AN,BV_Data_An_Prec!$AO:$AO,$Z22)</f>
        <v>0</v>
      </c>
      <c r="V22" s="1037">
        <f t="shared" si="14"/>
        <v>0</v>
      </c>
      <c r="W22" s="995">
        <f t="shared" si="15"/>
        <v>331.62</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3145</v>
      </c>
      <c r="D23" s="993"/>
      <c r="E23" s="993"/>
      <c r="F23" s="1033"/>
      <c r="G23" s="993"/>
      <c r="H23" s="994"/>
      <c r="I23" s="993"/>
      <c r="J23" s="993"/>
      <c r="K23" s="993"/>
      <c r="L23" s="994">
        <f>SUMIFS(BV_Data_An_Cour!$AX:$AX,BV_Data_An_Cour!$AO:$AO,$Y23)</f>
        <v>2</v>
      </c>
      <c r="M23" s="659">
        <f>-SUMIFS(BV_Data_An_Cour!$AN:$AN,BV_Data_An_Cour!$AO:$AO,$Y23)</f>
        <v>559.39</v>
      </c>
      <c r="N23" s="1036">
        <f t="shared" si="16"/>
        <v>0.50313734603764815</v>
      </c>
      <c r="O23" s="995">
        <f>-SUMIFS(BV_Data_An_Cour!$AN:$AN,BV_Data_An_Cour!$AO:$AO,$Y23)-SUMIFS(BV_Data_An_Cour!$AN:$AN,BV_Data_An_Cour!$AO:$AO,$Z23)</f>
        <v>281.45</v>
      </c>
      <c r="P23" s="1037">
        <f t="shared" si="12"/>
        <v>0</v>
      </c>
      <c r="Q23" s="995">
        <f t="shared" si="13"/>
        <v>281.45</v>
      </c>
      <c r="R23" s="994">
        <f>SUMIFS(BV_Data_An_Prec!$AX:$AX,BV_Data_An_Prec!$AO:$AO,$Y23)</f>
        <v>2</v>
      </c>
      <c r="S23" s="659">
        <f>-SUMIFS(BV_Data_An_Prec!$AN:$AN,BV_Data_An_Prec!$AO:$AO,$Y23)</f>
        <v>540.79999999999995</v>
      </c>
      <c r="T23" s="1036">
        <f t="shared" si="17"/>
        <v>0.52938239644970408</v>
      </c>
      <c r="U23" s="995">
        <f>-SUMIFS(BV_Data_An_Prec!$AN:$AN,BV_Data_An_Prec!$AO:$AO,$Y23)-SUMIFS(BV_Data_An_Prec!$AN:$AN,BV_Data_An_Prec!$AO:$AO,$Z23)</f>
        <v>286.28999999999996</v>
      </c>
      <c r="V23" s="1037">
        <f t="shared" si="14"/>
        <v>1</v>
      </c>
      <c r="W23" s="995">
        <f t="shared" si="15"/>
        <v>-4.839999999999975</v>
      </c>
      <c r="X23" s="936"/>
      <c r="Y23" s="398" t="s">
        <v>2507</v>
      </c>
      <c r="Z23" s="398" t="s">
        <v>2899</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3130</v>
      </c>
      <c r="D24" s="998"/>
      <c r="E24" s="998"/>
      <c r="F24" s="999"/>
      <c r="G24" s="998"/>
      <c r="H24" s="1000"/>
      <c r="I24" s="998"/>
      <c r="J24" s="998"/>
      <c r="K24" s="998"/>
      <c r="L24" s="1000">
        <f>SUMIFS(BV_Data_An_Cour!$AX:$AX,BV_Data_An_Cour!$AO:$AO,$Y24)</f>
        <v>0</v>
      </c>
      <c r="M24" s="659">
        <f>-SUMIFS(BV_Data_An_Cour!$AN:$AN,BV_Data_An_Cour!$AO:$AO,$Y24)</f>
        <v>0</v>
      </c>
      <c r="N24" s="1036">
        <f t="shared" ref="N24" si="18">IFERROR(O24/M24,0)</f>
        <v>0</v>
      </c>
      <c r="O24" s="995">
        <f>-SUMIFS(BV_Data_An_Cour!$AN:$AN,BV_Data_An_Cour!$AO:$AO,$Y24)-SUMIFS(BV_Data_An_Cour!$AN:$AN,BV_Data_An_Cour!$AO:$AO,$Z24)</f>
        <v>0</v>
      </c>
      <c r="P24" s="1001">
        <f t="shared" ref="P24" si="19">IFERROR((M24-E24)/E24,0)</f>
        <v>0</v>
      </c>
      <c r="Q24" s="1002">
        <f t="shared" ref="Q24" si="20">O24-G24</f>
        <v>0</v>
      </c>
      <c r="R24" s="994">
        <f>SUMIFS(BV_Data_An_Prec!$AX:$AX,BV_Data_An_Prec!$AO:$AO,$Y24)</f>
        <v>0</v>
      </c>
      <c r="S24" s="659">
        <f>-SUMIFS(BV_Data_An_Prec!$AN:$AN,BV_Data_An_Prec!$AO:$AO,$Y24)</f>
        <v>0</v>
      </c>
      <c r="T24" s="1036">
        <f t="shared" ref="T24" si="21">IFERROR(U24/S24,0)</f>
        <v>0</v>
      </c>
      <c r="U24" s="995">
        <f>-SUMIFS(BV_Data_An_Prec!$AN:$AN,BV_Data_An_Prec!$AO:$AO,$Y24)-SUMIFS(BV_Data_An_Prec!$AN:$AN,BV_Data_An_Prec!$AO:$AO,$Z24)</f>
        <v>0</v>
      </c>
      <c r="V24" s="1001">
        <f t="shared" ref="V24" si="22">IF(R24=0,0,L24/R24)</f>
        <v>0</v>
      </c>
      <c r="W24" s="1002">
        <f t="shared" ref="W24" si="23">O24-U24</f>
        <v>0</v>
      </c>
      <c r="X24" s="936"/>
      <c r="Y24" s="398" t="s">
        <v>2531</v>
      </c>
      <c r="Z24" s="398" t="s">
        <v>2923</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32335.77</v>
      </c>
      <c r="N25" s="1007">
        <f t="shared" si="16"/>
        <v>0.37732857451670399</v>
      </c>
      <c r="O25" s="1006">
        <f>SUM(O16:O24)</f>
        <v>12201.210000000001</v>
      </c>
      <c r="P25" s="1010">
        <f>IFERROR((M25-E25)/E25,0)</f>
        <v>0</v>
      </c>
      <c r="Q25" s="1011">
        <f>O25-G25</f>
        <v>12201.210000000001</v>
      </c>
      <c r="R25" s="1009"/>
      <c r="S25" s="1006">
        <f>SUM(S16:S24)</f>
        <v>19946.7</v>
      </c>
      <c r="T25" s="1007">
        <f t="shared" si="17"/>
        <v>0.49658239207487953</v>
      </c>
      <c r="U25" s="1006">
        <f>SUM(U16:U24)</f>
        <v>9905.18</v>
      </c>
      <c r="V25" s="1010">
        <f>IF(R25=0,0,L25/R25)</f>
        <v>0</v>
      </c>
      <c r="W25" s="1011">
        <f>SUM(W16:W24)</f>
        <v>2296.0299999999979</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2" t="s">
        <v>3123</v>
      </c>
      <c r="D27" s="993"/>
      <c r="E27" s="993"/>
      <c r="F27" s="1033"/>
      <c r="G27" s="993"/>
      <c r="H27" s="994"/>
      <c r="I27" s="993"/>
      <c r="J27" s="993"/>
      <c r="K27" s="993"/>
      <c r="L27" s="994">
        <f>SUMIFS(BV_Data_An_Cour!$AX:$AX,BV_Data_An_Cour!$AO:$AO,$Y27)</f>
        <v>43</v>
      </c>
      <c r="M27" s="659">
        <f>-SUMIFS(BV_Data_An_Cour!$AN:$AN,BV_Data_An_Cour!$AO:$AO,$Y27)</f>
        <v>50705.96</v>
      </c>
      <c r="N27" s="1036">
        <f>IFERROR(O27/M27,0)</f>
        <v>0.78306120227286879</v>
      </c>
      <c r="O27" s="995">
        <f>-SUMIFS(BV_Data_An_Cour!$AN:$AN,BV_Data_An_Cour!$AO:$AO,$Y27)-SUMIFS(BV_Data_An_Cour!$AN:$AN,BV_Data_An_Cour!$AO:$AO,$Z27)</f>
        <v>39705.869999999995</v>
      </c>
      <c r="P27" s="1037">
        <f t="shared" ref="P27:P35" si="24">IFERROR((M27-E27)/E27,0)</f>
        <v>0</v>
      </c>
      <c r="Q27" s="995">
        <f t="shared" ref="Q27:Q35" si="25">O27-G27</f>
        <v>39705.869999999995</v>
      </c>
      <c r="R27" s="994">
        <f>SUMIFS(BV_Data_An_Prec!$AX:$AX,BV_Data_An_Prec!$AO:$AO,$Y27)</f>
        <v>0</v>
      </c>
      <c r="S27" s="659">
        <f>-SUMIFS(BV_Data_An_Prec!$AN:$AN,BV_Data_An_Prec!$AO:$AO,$Y27)</f>
        <v>0</v>
      </c>
      <c r="T27" s="1036">
        <f>IFERROR(U27/S27,0)</f>
        <v>0</v>
      </c>
      <c r="U27" s="995">
        <f>-SUMIFS(BV_Data_An_Prec!$AN:$AN,BV_Data_An_Prec!$AO:$AO,$Y27)-SUMIFS(BV_Data_An_Prec!$AN:$AN,BV_Data_An_Prec!$AO:$AO,$Z27)</f>
        <v>0</v>
      </c>
      <c r="V27" s="1037">
        <f t="shared" ref="V27:V35" si="26">IF(R27=0,0,L27/R27)</f>
        <v>0</v>
      </c>
      <c r="W27" s="995">
        <f t="shared" ref="W27:W35" si="27">O27-U27</f>
        <v>39705.869999999995</v>
      </c>
      <c r="X27" s="936"/>
      <c r="Y27" s="398" t="s">
        <v>2499</v>
      </c>
      <c r="Z27" s="398" t="s">
        <v>2891</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2" t="s">
        <v>3124</v>
      </c>
      <c r="D28" s="993"/>
      <c r="E28" s="993"/>
      <c r="F28" s="1033"/>
      <c r="G28" s="993"/>
      <c r="H28" s="994"/>
      <c r="I28" s="993"/>
      <c r="J28" s="993"/>
      <c r="K28" s="993"/>
      <c r="L28" s="994">
        <f>SUMIFS(BV_Data_An_Cour!$AX:$AX,BV_Data_An_Cour!$AO:$AO,$Y28)</f>
        <v>36</v>
      </c>
      <c r="M28" s="659">
        <f>-SUMIFS(BV_Data_An_Cour!$AN:$AN,BV_Data_An_Cour!$AO:$AO,$Y28)</f>
        <v>23929.94</v>
      </c>
      <c r="N28" s="1036">
        <f t="shared" ref="N28:N35" si="28">IFERROR(O28/M28,0)</f>
        <v>0.83249101334980369</v>
      </c>
      <c r="O28" s="995">
        <f>-SUMIFS(BV_Data_An_Cour!$AN:$AN,BV_Data_An_Cour!$AO:$AO,$Y28)-SUMIFS(BV_Data_An_Cour!$AN:$AN,BV_Data_An_Cour!$AO:$AO,$Z28)</f>
        <v>19921.46</v>
      </c>
      <c r="P28" s="1037">
        <f t="shared" si="24"/>
        <v>0</v>
      </c>
      <c r="Q28" s="995">
        <f t="shared" si="25"/>
        <v>19921.46</v>
      </c>
      <c r="R28" s="994">
        <f>SUMIFS(BV_Data_An_Prec!$AX:$AX,BV_Data_An_Prec!$AO:$AO,$Y28)</f>
        <v>0</v>
      </c>
      <c r="S28" s="659">
        <f>-SUMIFS(BV_Data_An_Prec!$AN:$AN,BV_Data_An_Prec!$AO:$AO,$Y28)</f>
        <v>0</v>
      </c>
      <c r="T28" s="1036">
        <f t="shared" ref="T28:T35" si="29">IFERROR(U28/S28,0)</f>
        <v>0</v>
      </c>
      <c r="U28" s="995">
        <f>-SUMIFS(BV_Data_An_Prec!$AN:$AN,BV_Data_An_Prec!$AO:$AO,$Y28)-SUMIFS(BV_Data_An_Prec!$AN:$AN,BV_Data_An_Prec!$AO:$AO,$Z28)</f>
        <v>0</v>
      </c>
      <c r="V28" s="1037">
        <f t="shared" si="26"/>
        <v>0</v>
      </c>
      <c r="W28" s="995">
        <f t="shared" si="27"/>
        <v>19921.46</v>
      </c>
      <c r="X28" s="936"/>
      <c r="Y28" s="398" t="s">
        <v>2495</v>
      </c>
      <c r="Z28" s="398" t="s">
        <v>2887</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2" t="s">
        <v>3125</v>
      </c>
      <c r="D29" s="993"/>
      <c r="E29" s="993"/>
      <c r="F29" s="1033"/>
      <c r="G29" s="993"/>
      <c r="H29" s="994"/>
      <c r="I29" s="993"/>
      <c r="J29" s="993"/>
      <c r="K29" s="993"/>
      <c r="L29" s="994">
        <f>SUMIFS(BV_Data_An_Cour!$AX:$AX,BV_Data_An_Cour!$AO:$AO,$Y29)</f>
        <v>1</v>
      </c>
      <c r="M29" s="659">
        <f>-SUMIFS(BV_Data_An_Cour!$AN:$AN,BV_Data_An_Cour!$AO:$AO,$Y29)</f>
        <v>386</v>
      </c>
      <c r="N29" s="1036">
        <f t="shared" si="28"/>
        <v>0.97484455958549232</v>
      </c>
      <c r="O29" s="995">
        <f>-SUMIFS(BV_Data_An_Cour!$AN:$AN,BV_Data_An_Cour!$AO:$AO,$Y29)-SUMIFS(BV_Data_An_Cour!$AN:$AN,BV_Data_An_Cour!$AO:$AO,$Z29)</f>
        <v>376.29</v>
      </c>
      <c r="P29" s="1037">
        <f t="shared" si="24"/>
        <v>0</v>
      </c>
      <c r="Q29" s="995">
        <f t="shared" si="25"/>
        <v>376.29</v>
      </c>
      <c r="R29" s="994">
        <f>SUMIFS(BV_Data_An_Prec!$AX:$AX,BV_Data_An_Prec!$AO:$AO,$Y29)</f>
        <v>0</v>
      </c>
      <c r="S29" s="659">
        <f>-SUMIFS(BV_Data_An_Prec!$AN:$AN,BV_Data_An_Prec!$AO:$AO,$Y29)</f>
        <v>0</v>
      </c>
      <c r="T29" s="1036">
        <f t="shared" si="29"/>
        <v>0</v>
      </c>
      <c r="U29" s="995">
        <f>-SUMIFS(BV_Data_An_Prec!$AN:$AN,BV_Data_An_Prec!$AO:$AO,$Y29)-SUMIFS(BV_Data_An_Prec!$AN:$AN,BV_Data_An_Prec!$AO:$AO,$Z29)</f>
        <v>0</v>
      </c>
      <c r="V29" s="1037">
        <f t="shared" si="26"/>
        <v>0</v>
      </c>
      <c r="W29" s="995">
        <f t="shared" si="27"/>
        <v>376.29</v>
      </c>
      <c r="X29" s="936"/>
      <c r="Y29" s="398" t="s">
        <v>2503</v>
      </c>
      <c r="Z29" s="398" t="s">
        <v>2895</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2" t="s">
        <v>3126</v>
      </c>
      <c r="D30" s="993"/>
      <c r="E30" s="993"/>
      <c r="F30" s="1033"/>
      <c r="G30" s="993"/>
      <c r="H30" s="994"/>
      <c r="I30" s="993"/>
      <c r="J30" s="993"/>
      <c r="K30" s="993"/>
      <c r="L30" s="994">
        <f>SUMIFS(BV_Data_An_Cour!$AX:$AX,BV_Data_An_Cour!$AO:$AO,$Y30)</f>
        <v>0</v>
      </c>
      <c r="M30" s="659">
        <f>-SUMIFS(BV_Data_An_Cour!$AN:$AN,BV_Data_An_Cour!$AO:$AO,$Y30)</f>
        <v>0</v>
      </c>
      <c r="N30" s="1036">
        <f t="shared" si="28"/>
        <v>0</v>
      </c>
      <c r="O30" s="995">
        <f>-SUMIFS(BV_Data_An_Cour!$AN:$AN,BV_Data_An_Cour!$AO:$AO,$Y30)-SUMIFS(BV_Data_An_Cour!$AN:$AN,BV_Data_An_Cour!$AO:$AO,$Z30)</f>
        <v>0</v>
      </c>
      <c r="P30" s="1037">
        <f t="shared" si="24"/>
        <v>0</v>
      </c>
      <c r="Q30" s="995">
        <f t="shared" si="25"/>
        <v>0</v>
      </c>
      <c r="R30" s="994">
        <f>SUMIFS(BV_Data_An_Prec!$AX:$AX,BV_Data_An_Prec!$AO:$AO,$Y30)</f>
        <v>0</v>
      </c>
      <c r="S30" s="659">
        <f>-SUMIFS(BV_Data_An_Prec!$AN:$AN,BV_Data_An_Prec!$AO:$AO,$Y30)</f>
        <v>0</v>
      </c>
      <c r="T30" s="1036">
        <f t="shared" si="29"/>
        <v>0</v>
      </c>
      <c r="U30" s="995">
        <f>-SUMIFS(BV_Data_An_Prec!$AN:$AN,BV_Data_An_Prec!$AO:$AO,$Y30)-SUMIFS(BV_Data_An_Prec!$AN:$AN,BV_Data_An_Prec!$AO:$AO,$Z30)</f>
        <v>0</v>
      </c>
      <c r="V30" s="1037">
        <f t="shared" si="26"/>
        <v>0</v>
      </c>
      <c r="W30" s="995">
        <f t="shared" si="27"/>
        <v>0</v>
      </c>
      <c r="X30" s="936"/>
      <c r="Y30" s="398" t="s">
        <v>2527</v>
      </c>
      <c r="Z30" s="398" t="s">
        <v>2919</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2" t="s">
        <v>3127</v>
      </c>
      <c r="D31" s="993"/>
      <c r="E31" s="993"/>
      <c r="F31" s="1033"/>
      <c r="G31" s="993"/>
      <c r="H31" s="994"/>
      <c r="I31" s="993"/>
      <c r="J31" s="993"/>
      <c r="K31" s="993"/>
      <c r="L31" s="994">
        <f>SUMIFS(BV_Data_An_Cour!$AX:$AX,BV_Data_An_Cour!$AO:$AO,$Y31)</f>
        <v>40</v>
      </c>
      <c r="M31" s="659">
        <f>-SUMIFS(BV_Data_An_Cour!$AN:$AN,BV_Data_An_Cour!$AO:$AO,$Y31)</f>
        <v>18909.43</v>
      </c>
      <c r="N31" s="1036">
        <f t="shared" si="28"/>
        <v>0.3301760021322695</v>
      </c>
      <c r="O31" s="995">
        <f>-SUMIFS(BV_Data_An_Cour!$AN:$AN,BV_Data_An_Cour!$AO:$AO,$Y31)-SUMIFS(BV_Data_An_Cour!$AN:$AN,BV_Data_An_Cour!$AO:$AO,$Z31)</f>
        <v>6243.4400000000005</v>
      </c>
      <c r="P31" s="1037">
        <f t="shared" si="24"/>
        <v>0</v>
      </c>
      <c r="Q31" s="995">
        <f t="shared" si="25"/>
        <v>6243.4400000000005</v>
      </c>
      <c r="R31" s="994">
        <f>SUMIFS(BV_Data_An_Prec!$AX:$AX,BV_Data_An_Prec!$AO:$AO,$Y31)</f>
        <v>0</v>
      </c>
      <c r="S31" s="659">
        <f>-SUMIFS(BV_Data_An_Prec!$AN:$AN,BV_Data_An_Prec!$AO:$AO,$Y31)</f>
        <v>0</v>
      </c>
      <c r="T31" s="1036">
        <f t="shared" si="29"/>
        <v>0</v>
      </c>
      <c r="U31" s="995">
        <f>-SUMIFS(BV_Data_An_Prec!$AN:$AN,BV_Data_An_Prec!$AO:$AO,$Y31)-SUMIFS(BV_Data_An_Prec!$AN:$AN,BV_Data_An_Prec!$AO:$AO,$Z31)</f>
        <v>0</v>
      </c>
      <c r="V31" s="1037">
        <f t="shared" si="26"/>
        <v>0</v>
      </c>
      <c r="W31" s="995">
        <f t="shared" si="27"/>
        <v>6243.4400000000005</v>
      </c>
      <c r="X31" s="936"/>
      <c r="Y31" s="398" t="s">
        <v>2545</v>
      </c>
      <c r="Z31" s="398" t="s">
        <v>2937</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2" t="s">
        <v>3128</v>
      </c>
      <c r="D32" s="993"/>
      <c r="E32" s="993"/>
      <c r="F32" s="1033"/>
      <c r="G32" s="993"/>
      <c r="H32" s="994"/>
      <c r="I32" s="993"/>
      <c r="J32" s="993"/>
      <c r="K32" s="993"/>
      <c r="L32" s="994">
        <f>SUMIFS(BV_Data_An_Cour!$AX:$AX,BV_Data_An_Cour!$AO:$AO,$Y32)</f>
        <v>32</v>
      </c>
      <c r="M32" s="659">
        <f>-SUMIFS(BV_Data_An_Cour!$AN:$AN,BV_Data_An_Cour!$AO:$AO,$Y32)</f>
        <v>5151.83</v>
      </c>
      <c r="N32" s="1036">
        <f t="shared" si="28"/>
        <v>0.18497116558582088</v>
      </c>
      <c r="O32" s="995">
        <f>-SUMIFS(BV_Data_An_Cour!$AN:$AN,BV_Data_An_Cour!$AO:$AO,$Y32)-SUMIFS(BV_Data_An_Cour!$AN:$AN,BV_Data_An_Cour!$AO:$AO,$Z32)</f>
        <v>952.9399999999996</v>
      </c>
      <c r="P32" s="1037">
        <f t="shared" si="24"/>
        <v>0</v>
      </c>
      <c r="Q32" s="995">
        <f t="shared" si="25"/>
        <v>952.9399999999996</v>
      </c>
      <c r="R32" s="994">
        <f>SUMIFS(BV_Data_An_Prec!$AX:$AX,BV_Data_An_Prec!$AO:$AO,$Y32)</f>
        <v>0</v>
      </c>
      <c r="S32" s="659">
        <f>-SUMIFS(BV_Data_An_Prec!$AN:$AN,BV_Data_An_Prec!$AO:$AO,$Y32)</f>
        <v>0</v>
      </c>
      <c r="T32" s="1036">
        <f t="shared" si="29"/>
        <v>0</v>
      </c>
      <c r="U32" s="995">
        <f>-SUMIFS(BV_Data_An_Prec!$AN:$AN,BV_Data_An_Prec!$AO:$AO,$Y32)-SUMIFS(BV_Data_An_Prec!$AN:$AN,BV_Data_An_Prec!$AO:$AO,$Z32)</f>
        <v>0</v>
      </c>
      <c r="V32" s="1037">
        <f t="shared" si="26"/>
        <v>0</v>
      </c>
      <c r="W32" s="995">
        <f t="shared" si="27"/>
        <v>952.9399999999996</v>
      </c>
      <c r="X32" s="936"/>
      <c r="Y32" s="398" t="s">
        <v>2551</v>
      </c>
      <c r="Z32" s="398" t="s">
        <v>2943</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t="s">
        <v>172</v>
      </c>
      <c r="C33" s="992" t="s">
        <v>3129</v>
      </c>
      <c r="D33" s="993"/>
      <c r="E33" s="993"/>
      <c r="F33" s="1033"/>
      <c r="G33" s="993"/>
      <c r="H33" s="994"/>
      <c r="I33" s="993"/>
      <c r="J33" s="993"/>
      <c r="K33" s="993"/>
      <c r="L33" s="994">
        <f>SUMIFS(BV_Data_An_Cour!$AX:$AX,BV_Data_An_Cour!$AO:$AO,$Y33)</f>
        <v>4</v>
      </c>
      <c r="M33" s="659">
        <f>-SUMIFS(BV_Data_An_Cour!$AN:$AN,BV_Data_An_Cour!$AO:$AO,$Y33)</f>
        <v>7357.7</v>
      </c>
      <c r="N33" s="1036">
        <f t="shared" si="28"/>
        <v>0.27190698180137812</v>
      </c>
      <c r="O33" s="995">
        <f>-SUMIFS(BV_Data_An_Cour!$AN:$AN,BV_Data_An_Cour!$AO:$AO,$Y33)-SUMIFS(BV_Data_An_Cour!$AN:$AN,BV_Data_An_Cour!$AO:$AO,$Z33)</f>
        <v>2000.6099999999997</v>
      </c>
      <c r="P33" s="1037">
        <f t="shared" si="24"/>
        <v>0</v>
      </c>
      <c r="Q33" s="995">
        <f t="shared" si="25"/>
        <v>2000.6099999999997</v>
      </c>
      <c r="R33" s="994">
        <f>SUMIFS(BV_Data_An_Prec!$AX:$AX,BV_Data_An_Prec!$AO:$AO,$Y33)</f>
        <v>0</v>
      </c>
      <c r="S33" s="659">
        <f>-SUMIFS(BV_Data_An_Prec!$AN:$AN,BV_Data_An_Prec!$AO:$AO,$Y33)</f>
        <v>0</v>
      </c>
      <c r="T33" s="1036">
        <f t="shared" si="29"/>
        <v>0</v>
      </c>
      <c r="U33" s="995">
        <f>-SUMIFS(BV_Data_An_Prec!$AN:$AN,BV_Data_An_Prec!$AO:$AO,$Y33)-SUMIFS(BV_Data_An_Prec!$AN:$AN,BV_Data_An_Prec!$AO:$AO,$Z33)</f>
        <v>0</v>
      </c>
      <c r="V33" s="1037">
        <f t="shared" si="26"/>
        <v>0</v>
      </c>
      <c r="W33" s="995">
        <f t="shared" si="27"/>
        <v>2000.6099999999997</v>
      </c>
      <c r="X33" s="936"/>
      <c r="Y33" s="398" t="s">
        <v>2521</v>
      </c>
      <c r="Z33" s="398" t="s">
        <v>2913</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2" t="s">
        <v>3130</v>
      </c>
      <c r="D34" s="993"/>
      <c r="E34" s="993"/>
      <c r="F34" s="1033"/>
      <c r="G34" s="993"/>
      <c r="H34" s="994"/>
      <c r="I34" s="993"/>
      <c r="J34" s="993"/>
      <c r="K34" s="993"/>
      <c r="L34" s="994">
        <f>SUMIFS(BV_Data_An_Cour!$AX:$AX,BV_Data_An_Cour!$AO:$AO,$Y34)</f>
        <v>0</v>
      </c>
      <c r="M34" s="659">
        <f>-SUMIFS(BV_Data_An_Cour!$AN:$AN,BV_Data_An_Cour!$AO:$AO,$Y34)</f>
        <v>0</v>
      </c>
      <c r="N34" s="1036">
        <f t="shared" ref="N34" si="30">IFERROR(O34/M34,0)</f>
        <v>0</v>
      </c>
      <c r="O34" s="995">
        <f>-SUMIFS(BV_Data_An_Cour!$AN:$AN,BV_Data_An_Cour!$AO:$AO,$Y34)-SUMIFS(BV_Data_An_Cour!$AN:$AN,BV_Data_An_Cour!$AO:$AO,$Z34)</f>
        <v>0</v>
      </c>
      <c r="P34" s="1037">
        <f t="shared" ref="P34" si="31">IFERROR((M34-E34)/E34,0)</f>
        <v>0</v>
      </c>
      <c r="Q34" s="995">
        <f t="shared" ref="Q34" si="32">O34-G34</f>
        <v>0</v>
      </c>
      <c r="R34" s="994">
        <f>SUMIFS(BV_Data_An_Prec!$AX:$AX,BV_Data_An_Prec!$AO:$AO,$Y34)</f>
        <v>0</v>
      </c>
      <c r="S34" s="659">
        <f>-SUMIFS(BV_Data_An_Prec!$AN:$AN,BV_Data_An_Prec!$AO:$AO,$Y34)</f>
        <v>0</v>
      </c>
      <c r="T34" s="1036">
        <f t="shared" ref="T34" si="33">IFERROR(U34/S34,0)</f>
        <v>0</v>
      </c>
      <c r="U34" s="995">
        <f>-SUMIFS(BV_Data_An_Prec!$AN:$AN,BV_Data_An_Prec!$AO:$AO,$Y34)-SUMIFS(BV_Data_An_Prec!$AN:$AN,BV_Data_An_Prec!$AO:$AO,$Z34)</f>
        <v>0</v>
      </c>
      <c r="V34" s="1037">
        <f t="shared" ref="V34" si="34">IF(R34=0,0,L34/R34)</f>
        <v>0</v>
      </c>
      <c r="W34" s="995">
        <f t="shared" ref="W34" si="35">O34-U34</f>
        <v>0</v>
      </c>
      <c r="X34" s="936"/>
      <c r="Y34" s="398" t="s">
        <v>2533</v>
      </c>
      <c r="Z34" s="398" t="s">
        <v>2925</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t="s">
        <v>172</v>
      </c>
      <c r="C35" s="997" t="s">
        <v>3365</v>
      </c>
      <c r="D35" s="998"/>
      <c r="E35" s="998"/>
      <c r="F35" s="999"/>
      <c r="G35" s="998"/>
      <c r="H35" s="1000"/>
      <c r="I35" s="998"/>
      <c r="J35" s="998"/>
      <c r="K35" s="998"/>
      <c r="L35" s="1000">
        <f>SUMIFS(BV_Data_An_Cour!$AX:$AX,BV_Data_An_Cour!$AO:$AO,$Y35)</f>
        <v>-1</v>
      </c>
      <c r="M35" s="659">
        <f>-SUMIFS(BV_Data_An_Cour!$AN:$AN,BV_Data_An_Cour!$AO:$AO,$Y35)</f>
        <v>-4238.93</v>
      </c>
      <c r="N35" s="1036">
        <f t="shared" si="28"/>
        <v>1</v>
      </c>
      <c r="O35" s="995">
        <f>-SUMIFS(BV_Data_An_Cour!$AN:$AN,BV_Data_An_Cour!$AO:$AO,$Y35)-SUMIFS(BV_Data_An_Cour!$AN:$AN,BV_Data_An_Cour!$AO:$AO,$Z35)</f>
        <v>-4238.93</v>
      </c>
      <c r="P35" s="1001">
        <f t="shared" si="24"/>
        <v>0</v>
      </c>
      <c r="Q35" s="1002">
        <f t="shared" si="25"/>
        <v>-4238.93</v>
      </c>
      <c r="R35" s="994">
        <f>SUMIFS(BV_Data_An_Prec!$AX:$AX,BV_Data_An_Prec!$AO:$AO,$Y35)</f>
        <v>0</v>
      </c>
      <c r="S35" s="659">
        <f>-SUMIFS(BV_Data_An_Prec!$AN:$AN,BV_Data_An_Prec!$AO:$AO,$Y35)</f>
        <v>0</v>
      </c>
      <c r="T35" s="1036">
        <f t="shared" si="29"/>
        <v>0</v>
      </c>
      <c r="U35" s="995">
        <f>-SUMIFS(BV_Data_An_Prec!$AN:$AN,BV_Data_An_Prec!$AO:$AO,$Y35)-SUMIFS(BV_Data_An_Prec!$AN:$AN,BV_Data_An_Prec!$AO:$AO,$Z35)</f>
        <v>0</v>
      </c>
      <c r="V35" s="1001">
        <f t="shared" si="26"/>
        <v>0</v>
      </c>
      <c r="W35" s="1002">
        <f t="shared" si="27"/>
        <v>-4238.93</v>
      </c>
      <c r="X35" s="936"/>
      <c r="Y35" s="398" t="s">
        <v>2505</v>
      </c>
      <c r="Z35" s="398" t="s">
        <v>2897</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t="s">
        <v>172</v>
      </c>
      <c r="C36" s="1038" t="s">
        <v>1173</v>
      </c>
      <c r="D36" s="1005"/>
      <c r="E36" s="1006">
        <f>SUM(E27:E35)</f>
        <v>0</v>
      </c>
      <c r="F36" s="1007" t="e">
        <f>G36/E36</f>
        <v>#DIV/0!</v>
      </c>
      <c r="G36" s="1006">
        <f>SUM(G27:G35)</f>
        <v>0</v>
      </c>
      <c r="H36" s="1008"/>
      <c r="I36" s="1006"/>
      <c r="J36" s="1006"/>
      <c r="K36" s="1006"/>
      <c r="L36" s="1009"/>
      <c r="M36" s="1006">
        <f>SUM(M27:M35)</f>
        <v>102201.93</v>
      </c>
      <c r="N36" s="1007">
        <f>O36/M36</f>
        <v>0.63562087330444739</v>
      </c>
      <c r="O36" s="1006">
        <f>SUM(O27:O35)</f>
        <v>64961.68</v>
      </c>
      <c r="P36" s="1010">
        <f>IFERROR((M36-E36)/E36,0)</f>
        <v>0</v>
      </c>
      <c r="Q36" s="1011">
        <f>O36-G36</f>
        <v>64961.68</v>
      </c>
      <c r="R36" s="1009"/>
      <c r="S36" s="1006">
        <f>SUM(S27:S35)</f>
        <v>0</v>
      </c>
      <c r="T36" s="1007" t="e">
        <f>U36/S36</f>
        <v>#DIV/0!</v>
      </c>
      <c r="U36" s="1006">
        <f>SUM(U27:U35)</f>
        <v>0</v>
      </c>
      <c r="V36" s="1010">
        <f>IF(R36=0,0,L36/R36)</f>
        <v>0</v>
      </c>
      <c r="W36" s="1011">
        <f>O36-U36</f>
        <v>64961.68</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t="s">
        <v>172</v>
      </c>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t="s">
        <v>172</v>
      </c>
      <c r="C38" s="992" t="s">
        <v>1175</v>
      </c>
      <c r="D38" s="1042"/>
      <c r="E38" s="1042"/>
      <c r="F38" s="1040"/>
      <c r="G38" s="1012"/>
      <c r="H38" s="992"/>
      <c r="I38" s="1042"/>
      <c r="J38" s="1042"/>
      <c r="K38" s="1012"/>
      <c r="L38" s="992"/>
      <c r="M38" s="659"/>
      <c r="N38" s="1042"/>
      <c r="O38" s="995">
        <f>-SUMIFS(BV_Data_An_Cour!$AN:$AN,BV_Data_An_Cour!$AO:$AO,$Y38)-SUMIFS(BV_Data_An_Cour!$AN:$AN,BV_Data_An_Cour!$AO:$AO,$Z38)</f>
        <v>-14653.47</v>
      </c>
      <c r="P38" s="1013"/>
      <c r="Q38" s="1014"/>
      <c r="R38" s="992"/>
      <c r="S38" s="659"/>
      <c r="T38" s="1042"/>
      <c r="U38" s="995">
        <f>-SUMIFS(BV_Data_An_Prec!$AN:$AN,BV_Data_An_Prec!$AO:$AO,$Y38)-SUMIFS(BV_Data_An_Prec!$AN:$AN,BV_Data_An_Prec!$AO:$AO,$Z38)</f>
        <v>-2831.34</v>
      </c>
      <c r="V38" s="1013"/>
      <c r="W38" s="1015">
        <f t="shared" ref="W38" si="36">O38-U38</f>
        <v>-11822.13</v>
      </c>
      <c r="X38" s="402"/>
      <c r="Y38" s="398"/>
      <c r="Z38" s="398" t="s">
        <v>2907</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t="s">
        <v>172</v>
      </c>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t="s">
        <v>172</v>
      </c>
      <c r="C40" s="1016" t="s">
        <v>3108</v>
      </c>
      <c r="D40" s="1017"/>
      <c r="E40" s="1017">
        <f>E25+E36+E14</f>
        <v>0</v>
      </c>
      <c r="F40" s="1018" t="e">
        <f>G40/E40</f>
        <v>#DIV/0!</v>
      </c>
      <c r="G40" s="1043">
        <f>G25+G36+G14</f>
        <v>0</v>
      </c>
      <c r="H40" s="1019"/>
      <c r="I40" s="1017"/>
      <c r="J40" s="1017"/>
      <c r="K40" s="1043"/>
      <c r="L40" s="1019"/>
      <c r="M40" s="1017">
        <f>M25+M36+M14</f>
        <v>1016699.7699999999</v>
      </c>
      <c r="N40" s="1018">
        <f>O40/M40</f>
        <v>0.41950799300367703</v>
      </c>
      <c r="O40" s="1043">
        <f>O25+O36+O14+O38</f>
        <v>426513.68</v>
      </c>
      <c r="P40" s="1020">
        <f>O41-G41</f>
        <v>0.41950799300367703</v>
      </c>
      <c r="Q40" s="1043">
        <f>O40-G40</f>
        <v>426513.68</v>
      </c>
      <c r="R40" s="1019"/>
      <c r="S40" s="1017">
        <f>S25+S36+S14</f>
        <v>858637.89999999991</v>
      </c>
      <c r="T40" s="1018">
        <f>U40/S40</f>
        <v>0.40062639909093234</v>
      </c>
      <c r="U40" s="1043">
        <f>U25+U36+U14+U38</f>
        <v>343993.01</v>
      </c>
      <c r="V40" s="1021">
        <f>O41-U41</f>
        <v>1.8881593912744687E-2</v>
      </c>
      <c r="W40" s="1043">
        <f>O40-U40</f>
        <v>82520.669999999984</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0.41950799300367703</v>
      </c>
      <c r="P41" s="1026"/>
      <c r="Q41" s="473" t="e">
        <f>Q40/G40</f>
        <v>#DIV/0!</v>
      </c>
      <c r="R41" s="1022"/>
      <c r="S41" s="1025"/>
      <c r="T41" s="1023"/>
      <c r="U41" s="473">
        <f>IF(S40=0,0,U40/S40)</f>
        <v>0.40062639909093234</v>
      </c>
      <c r="V41" s="1026"/>
      <c r="W41" s="473">
        <f>W40/U40</f>
        <v>0.2398905431246989</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8" thickTop="1"/>
    <row r="43" spans="2:44" s="935" customFormat="1">
      <c r="M43" s="1027">
        <f>M40-Print_AAD!K326</f>
        <v>0</v>
      </c>
      <c r="O43" s="1028">
        <f>O40-Print_AAD!L326</f>
        <v>0</v>
      </c>
      <c r="S43" s="1027">
        <f>S40-Print_AAD!P326</f>
        <v>0</v>
      </c>
      <c r="U43" s="1027">
        <f>U40-Print_AAD!Q326</f>
        <v>0</v>
      </c>
    </row>
  </sheetData>
  <mergeCells count="6">
    <mergeCell ref="V3:W3"/>
    <mergeCell ref="D3:G3"/>
    <mergeCell ref="H3:K3"/>
    <mergeCell ref="L3:O3"/>
    <mergeCell ref="P3:Q3"/>
    <mergeCell ref="R3:U3"/>
  </mergeCells>
  <conditionalFormatting sqref="I2:K2 I4:K11 M4:O11">
    <cfRule type="expression" dxfId="9" priority="36" stopIfTrue="1">
      <formula>"esterreur(reference)"</formula>
    </cfRule>
  </conditionalFormatting>
  <conditionalFormatting sqref="I12:O13">
    <cfRule type="expression" dxfId="8" priority="4" stopIfTrue="1">
      <formula>"esterreur(reference)"</formula>
    </cfRule>
  </conditionalFormatting>
  <conditionalFormatting sqref="I16:O24">
    <cfRule type="expression" dxfId="7" priority="2" stopIfTrue="1">
      <formula>"esterreur(reference)"</formula>
    </cfRule>
  </conditionalFormatting>
  <conditionalFormatting sqref="I27:O35">
    <cfRule type="expression" dxfId="6" priority="28" stopIfTrue="1">
      <formula>"esterreur(reference)"</formula>
    </cfRule>
  </conditionalFormatting>
  <conditionalFormatting sqref="M2:O2 L2:L11">
    <cfRule type="expression" dxfId="5" priority="37" stopIfTrue="1">
      <formula>"esterreur(reference)"</formula>
    </cfRule>
  </conditionalFormatting>
  <conditionalFormatting sqref="O38">
    <cfRule type="expression" dxfId="4" priority="27" stopIfTrue="1">
      <formula>"esterreur(reference)"</formula>
    </cfRule>
  </conditionalFormatting>
  <conditionalFormatting sqref="R6:U13">
    <cfRule type="expression" dxfId="3" priority="3" stopIfTrue="1">
      <formula>"esterreur(reference)"</formula>
    </cfRule>
  </conditionalFormatting>
  <conditionalFormatting sqref="R16:U24">
    <cfRule type="expression" dxfId="2" priority="1" stopIfTrue="1">
      <formula>"esterreur(reference)"</formula>
    </cfRule>
  </conditionalFormatting>
  <conditionalFormatting sqref="R27:U35">
    <cfRule type="expression" dxfId="1" priority="12" stopIfTrue="1">
      <formula>"esterreur(reference)"</formula>
    </cfRule>
  </conditionalFormatting>
  <conditionalFormatting sqref="U38">
    <cfRule type="expression" dxfId="0" priority="11" stopIfTrue="1">
      <formula>"esterreur(reference)"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AZ1089"/>
  <sheetViews>
    <sheetView topLeftCell="A1045" zoomScale="80" zoomScaleNormal="80" workbookViewId="0">
      <selection activeCell="A2" sqref="A2:AI1049"/>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3196</v>
      </c>
      <c r="D3" s="706" t="s">
        <v>3197</v>
      </c>
      <c r="E3" s="706" t="s">
        <v>333</v>
      </c>
      <c r="F3" s="706" t="s">
        <v>1104</v>
      </c>
      <c r="G3" s="706">
        <v>0</v>
      </c>
      <c r="H3" s="706">
        <v>0</v>
      </c>
      <c r="I3" s="706">
        <v>0</v>
      </c>
      <c r="J3" s="706">
        <v>0</v>
      </c>
      <c r="K3" s="706">
        <v>0</v>
      </c>
      <c r="L3" s="706">
        <v>0</v>
      </c>
      <c r="M3" s="706">
        <v>0</v>
      </c>
      <c r="N3" s="706">
        <v>0</v>
      </c>
      <c r="O3" s="706">
        <v>0</v>
      </c>
      <c r="P3" s="706">
        <v>0</v>
      </c>
      <c r="Q3" s="706">
        <v>0</v>
      </c>
      <c r="R3" s="706">
        <v>0</v>
      </c>
      <c r="S3" s="706">
        <v>0</v>
      </c>
      <c r="T3" s="706">
        <v>0</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G0110</v>
      </c>
      <c r="AK3" s="905" t="str">
        <f>D3</f>
        <v>COMMISSIONS       60% 40%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t="str">
        <f>C3</f>
        <v>G0110</v>
      </c>
      <c r="AU3" s="488" t="str">
        <f>D3</f>
        <v>COMMISSIONS       60% 40%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4" s="706" t="s">
        <v>1148</v>
      </c>
      <c r="B4" s="706">
        <v>2026</v>
      </c>
      <c r="C4" s="706" t="s">
        <v>3239</v>
      </c>
      <c r="D4" s="706" t="s">
        <v>3240</v>
      </c>
      <c r="E4" s="706" t="s">
        <v>333</v>
      </c>
      <c r="F4" s="706" t="s">
        <v>1104</v>
      </c>
      <c r="G4" s="706">
        <v>0</v>
      </c>
      <c r="H4" s="706">
        <v>0</v>
      </c>
      <c r="I4" s="706">
        <v>0</v>
      </c>
      <c r="J4" s="706">
        <v>0</v>
      </c>
      <c r="K4" s="706">
        <v>0</v>
      </c>
      <c r="L4" s="706">
        <v>0</v>
      </c>
      <c r="M4" s="706">
        <v>0</v>
      </c>
      <c r="N4" s="706">
        <v>0</v>
      </c>
      <c r="O4" s="706">
        <v>0</v>
      </c>
      <c r="P4" s="706">
        <v>0</v>
      </c>
      <c r="Q4" s="706">
        <v>0</v>
      </c>
      <c r="R4" s="706">
        <v>0</v>
      </c>
      <c r="S4" s="706">
        <v>0</v>
      </c>
      <c r="T4" s="706">
        <v>0</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G01101</v>
      </c>
      <c r="AK4" s="905" t="str">
        <f t="shared" ref="AK4:AK67" si="1">D4</f>
        <v>COMMISSIONS VEH. NEUF/USA</v>
      </c>
      <c r="AL4" s="905">
        <f>IFERROR(INDEX(G4:R4,1,MATCH(Parametres!$B$3,G$1:R$1,0)-1)*IF(OR(F4="L",F4="S",F4="I"),-1,1),"")</f>
        <v>0</v>
      </c>
      <c r="AM4" s="905">
        <f t="shared" ref="AM4:AM67" si="2">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t="str">
        <f t="shared" ref="AT4:AT67" si="3">C4</f>
        <v>G01101</v>
      </c>
      <c r="AU4" s="488" t="str">
        <f t="shared" ref="AU4:AU67" si="4">D4</f>
        <v>COMMISSIONS VEH. NEUF/USA</v>
      </c>
      <c r="AV4" s="899">
        <f>IFERROR(INDEX(V4:AG4,1,MATCH(Parametres!$B$3,V$1:AG$1,0)-1)*IF(OR(C4="L",C4="S",C4="I"),-1,1),"")</f>
        <v>0</v>
      </c>
      <c r="AW4" s="899">
        <f t="shared" ref="AW4:AW67" si="5">AX4-AV4</f>
        <v>0</v>
      </c>
      <c r="AX4" s="899">
        <f>INDEX(V4:AG4,1,MATCH(Parametres!$B$3,V$1:AG$1,0))*IF(OR(C4="L",C4="S",C4="I"),-1,1)</f>
        <v>0</v>
      </c>
      <c r="AY4" s="487" t="s">
        <v>337</v>
      </c>
      <c r="AZ4" s="487" t="e">
        <f>+VLOOKUP($AJ4,Data_Validation!$A:$E,5,0)</f>
        <v>#N/A</v>
      </c>
    </row>
    <row r="5" spans="1:52" ht="15.75" customHeight="1">
      <c r="A5" s="706" t="s">
        <v>1148</v>
      </c>
      <c r="B5" s="706">
        <v>2026</v>
      </c>
      <c r="C5" s="706" t="s">
        <v>1177</v>
      </c>
      <c r="D5" s="706" t="s">
        <v>1178</v>
      </c>
      <c r="E5" s="706" t="s">
        <v>333</v>
      </c>
      <c r="F5" s="706" t="s">
        <v>1104</v>
      </c>
      <c r="G5" s="706">
        <v>36405.26</v>
      </c>
      <c r="H5" s="706">
        <v>71802.16</v>
      </c>
      <c r="I5" s="706">
        <v>109271.07</v>
      </c>
      <c r="J5" s="706">
        <v>158641.79</v>
      </c>
      <c r="K5" s="706">
        <v>192201.62</v>
      </c>
      <c r="L5" s="706">
        <v>230119.3</v>
      </c>
      <c r="M5" s="706">
        <v>236930.74</v>
      </c>
      <c r="N5" s="706">
        <v>0</v>
      </c>
      <c r="O5" s="706">
        <v>0</v>
      </c>
      <c r="P5" s="706">
        <v>0</v>
      </c>
      <c r="Q5" s="706">
        <v>0</v>
      </c>
      <c r="R5" s="706">
        <v>0</v>
      </c>
      <c r="S5" s="706">
        <v>38353.22</v>
      </c>
      <c r="T5" s="706">
        <v>38353.22</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G0111</v>
      </c>
      <c r="AK5" s="905" t="str">
        <f t="shared" si="1"/>
        <v>COMMISSIONS VEH. NEUFS</v>
      </c>
      <c r="AL5" s="905">
        <f>IFERROR(INDEX(G5:R5,1,MATCH(Parametres!$B$3,G$1:R$1,0)-1)*IF(OR(F5="L",F5="S",F5="I"),-1,1),"")</f>
        <v>192201.62</v>
      </c>
      <c r="AM5" s="905">
        <f t="shared" si="2"/>
        <v>37917.679999999993</v>
      </c>
      <c r="AN5" s="905">
        <f>INDEX(G5:R5,1,MATCH(Parametres!$B$3,G$1:R$1,0))*IF(OR(F5="L",F5="S",F5="I"),-1,1)</f>
        <v>230119.3</v>
      </c>
      <c r="AO5" s="487" t="str">
        <f>+VLOOKUP($AJ5,Data_Validation!$A:$D,1,0)</f>
        <v>G0111</v>
      </c>
      <c r="AP5" s="487" t="str">
        <f>+VLOOKUP($AJ5,Data_Validation!$A:$D,3,0)</f>
        <v>Véhicules neufs</v>
      </c>
      <c r="AQ5" s="487" t="str">
        <f>+VLOOKUP($AJ5,Data_Validation!$A:$D,4,0)</f>
        <v>Comm. vendeurs</v>
      </c>
      <c r="AR5" s="487" t="s">
        <v>299</v>
      </c>
      <c r="AS5" s="487">
        <f>+VLOOKUP($AJ5,Data_Validation!$A:$E,5,0)</f>
        <v>0</v>
      </c>
      <c r="AT5" s="904" t="str">
        <f t="shared" si="3"/>
        <v>G0111</v>
      </c>
      <c r="AU5" s="488" t="str">
        <f t="shared" si="4"/>
        <v>COMMISSIONS VEH. NEUFS</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1179</v>
      </c>
      <c r="D6" s="706" t="s">
        <v>1180</v>
      </c>
      <c r="E6" s="706" t="s">
        <v>333</v>
      </c>
      <c r="F6" s="706" t="s">
        <v>1104</v>
      </c>
      <c r="G6" s="706">
        <v>11690.66</v>
      </c>
      <c r="H6" s="706">
        <v>18779.46</v>
      </c>
      <c r="I6" s="706">
        <v>31938.84</v>
      </c>
      <c r="J6" s="706">
        <v>48798.62</v>
      </c>
      <c r="K6" s="706">
        <v>63558.080000000002</v>
      </c>
      <c r="L6" s="706">
        <v>74740.160000000003</v>
      </c>
      <c r="M6" s="706">
        <v>76980.649999999994</v>
      </c>
      <c r="N6" s="706">
        <v>0</v>
      </c>
      <c r="O6" s="706">
        <v>0</v>
      </c>
      <c r="P6" s="706">
        <v>0</v>
      </c>
      <c r="Q6" s="706">
        <v>0</v>
      </c>
      <c r="R6" s="706">
        <v>0</v>
      </c>
      <c r="S6" s="706">
        <v>12456.69</v>
      </c>
      <c r="T6" s="706">
        <v>12456.69</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G0112</v>
      </c>
      <c r="AK6" s="905" t="str">
        <f t="shared" si="1"/>
        <v>COMMISSIONS VEH. USAGES</v>
      </c>
      <c r="AL6" s="905">
        <f>IFERROR(INDEX(G6:R6,1,MATCH(Parametres!$B$3,G$1:R$1,0)-1)*IF(OR(F6="L",F6="S",F6="I"),-1,1),"")</f>
        <v>63558.080000000002</v>
      </c>
      <c r="AM6" s="905">
        <f t="shared" si="2"/>
        <v>11182.080000000002</v>
      </c>
      <c r="AN6" s="905">
        <f>INDEX(G6:R6,1,MATCH(Parametres!$B$3,G$1:R$1,0))*IF(OR(F6="L",F6="S",F6="I"),-1,1)</f>
        <v>74740.160000000003</v>
      </c>
      <c r="AO6" s="487" t="str">
        <f>+VLOOKUP($AJ6,Data_Validation!$A:$D,1,0)</f>
        <v>G0112</v>
      </c>
      <c r="AP6" s="487" t="str">
        <f>+VLOOKUP($AJ6,Data_Validation!$A:$D,3,0)</f>
        <v>Véhicules usagés</v>
      </c>
      <c r="AQ6" s="487" t="str">
        <f>+VLOOKUP($AJ6,Data_Validation!$A:$D,4,0)</f>
        <v>Comm. vendeurs</v>
      </c>
      <c r="AR6" s="487" t="s">
        <v>299</v>
      </c>
      <c r="AS6" s="487">
        <f>+VLOOKUP($AJ6,Data_Validation!$A:$E,5,0)</f>
        <v>0</v>
      </c>
      <c r="AT6" s="904" t="str">
        <f t="shared" si="3"/>
        <v>G0112</v>
      </c>
      <c r="AU6" s="488" t="str">
        <f t="shared" si="4"/>
        <v>COMMISSIONS VEH. USAGES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1181</v>
      </c>
      <c r="D7" s="706" t="s">
        <v>1182</v>
      </c>
      <c r="E7" s="706" t="s">
        <v>333</v>
      </c>
      <c r="F7" s="706" t="s">
        <v>1104</v>
      </c>
      <c r="G7" s="706">
        <v>0</v>
      </c>
      <c r="H7" s="706">
        <v>0</v>
      </c>
      <c r="I7" s="706">
        <v>0</v>
      </c>
      <c r="J7" s="706">
        <v>0</v>
      </c>
      <c r="K7" s="706">
        <v>190789.44</v>
      </c>
      <c r="L7" s="706">
        <v>205420.19</v>
      </c>
      <c r="M7" s="706">
        <v>215611.09</v>
      </c>
      <c r="N7" s="706">
        <v>0</v>
      </c>
      <c r="O7" s="706">
        <v>0</v>
      </c>
      <c r="P7" s="706">
        <v>0</v>
      </c>
      <c r="Q7" s="706">
        <v>0</v>
      </c>
      <c r="R7" s="706">
        <v>0</v>
      </c>
      <c r="S7" s="706">
        <v>34236.699999999997</v>
      </c>
      <c r="T7" s="706">
        <v>34236.699999999997</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G0113</v>
      </c>
      <c r="AK7" s="905" t="str">
        <f t="shared" si="1"/>
        <v>FRAIS LIVRAISON U.S.A</v>
      </c>
      <c r="AL7" s="905">
        <f>IFERROR(INDEX(G7:R7,1,MATCH(Parametres!$B$3,G$1:R$1,0)-1)*IF(OR(F7="L",F7="S",F7="I"),-1,1),"")</f>
        <v>190789.44</v>
      </c>
      <c r="AM7" s="905">
        <f t="shared" si="2"/>
        <v>14630.75</v>
      </c>
      <c r="AN7" s="905">
        <f>INDEX(G7:R7,1,MATCH(Parametres!$B$3,G$1:R$1,0))*IF(OR(F7="L",F7="S",F7="I"),-1,1)</f>
        <v>205420.19</v>
      </c>
      <c r="AO7" s="487" t="str">
        <f>+VLOOKUP($AJ7,Data_Validation!$A:$D,1,0)</f>
        <v>G0113</v>
      </c>
      <c r="AP7" s="487" t="str">
        <f>+VLOOKUP($AJ7,Data_Validation!$A:$D,3,0)</f>
        <v>Wholesale autres</v>
      </c>
      <c r="AQ7" s="487" t="str">
        <f>+VLOOKUP($AJ7,Data_Validation!$A:$D,4,0)</f>
        <v>Comm. vendeurs</v>
      </c>
      <c r="AR7" s="487" t="s">
        <v>299</v>
      </c>
      <c r="AS7" s="487">
        <f>+VLOOKUP($AJ7,Data_Validation!$A:$E,5,0)</f>
        <v>0</v>
      </c>
      <c r="AT7" s="904" t="str">
        <f t="shared" si="3"/>
        <v>G0113</v>
      </c>
      <c r="AU7" s="488" t="str">
        <f t="shared" si="4"/>
        <v>FRAIS LIVRAISON U.S.A</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1183</v>
      </c>
      <c r="D8" s="706" t="s">
        <v>1184</v>
      </c>
      <c r="E8" s="706" t="s">
        <v>333</v>
      </c>
      <c r="F8" s="706" t="s">
        <v>1104</v>
      </c>
      <c r="G8" s="706">
        <v>281.52</v>
      </c>
      <c r="H8" s="706">
        <v>6055.17</v>
      </c>
      <c r="I8" s="706">
        <v>14984.42</v>
      </c>
      <c r="J8" s="706">
        <v>7548.54</v>
      </c>
      <c r="K8" s="706">
        <v>155262.65</v>
      </c>
      <c r="L8" s="706">
        <v>189060.68</v>
      </c>
      <c r="M8" s="706">
        <v>194250.82</v>
      </c>
      <c r="N8" s="706">
        <v>0</v>
      </c>
      <c r="O8" s="706">
        <v>0</v>
      </c>
      <c r="P8" s="706">
        <v>0</v>
      </c>
      <c r="Q8" s="706">
        <v>0</v>
      </c>
      <c r="R8" s="706">
        <v>0</v>
      </c>
      <c r="S8" s="706">
        <v>31510.11</v>
      </c>
      <c r="T8" s="706">
        <v>31510.11</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G0131</v>
      </c>
      <c r="AK8" s="905" t="str">
        <f t="shared" si="1"/>
        <v>FRAIS LIVRAISON-NEUFS</v>
      </c>
      <c r="AL8" s="905">
        <f>IFERROR(INDEX(G8:R8,1,MATCH(Parametres!$B$3,G$1:R$1,0)-1)*IF(OR(F8="L",F8="S",F8="I"),-1,1),"")</f>
        <v>155262.65</v>
      </c>
      <c r="AM8" s="905">
        <f t="shared" si="2"/>
        <v>33798.03</v>
      </c>
      <c r="AN8" s="905">
        <f>INDEX(G8:R8,1,MATCH(Parametres!$B$3,G$1:R$1,0))*IF(OR(F8="L",F8="S",F8="I"),-1,1)</f>
        <v>189060.68</v>
      </c>
      <c r="AO8" s="487" t="str">
        <f>+VLOOKUP($AJ8,Data_Validation!$A:$D,1,0)</f>
        <v>G0131</v>
      </c>
      <c r="AP8" s="487" t="str">
        <f>+VLOOKUP($AJ8,Data_Validation!$A:$D,3,0)</f>
        <v>Véhicules neufs</v>
      </c>
      <c r="AQ8" s="487" t="str">
        <f>+VLOOKUP($AJ8,Data_Validation!$A:$D,4,0)</f>
        <v>Frais de livraison</v>
      </c>
      <c r="AR8" s="487" t="s">
        <v>299</v>
      </c>
      <c r="AS8" s="487">
        <f>+VLOOKUP($AJ8,Data_Validation!$A:$E,5,0)</f>
        <v>0</v>
      </c>
      <c r="AT8" s="904" t="str">
        <f t="shared" si="3"/>
        <v>G0131</v>
      </c>
      <c r="AU8" s="488" t="str">
        <f t="shared" si="4"/>
        <v>FRAIS LIVRAISON-NEUFS</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1185</v>
      </c>
      <c r="D9" s="706" t="s">
        <v>1186</v>
      </c>
      <c r="E9" s="706" t="s">
        <v>333</v>
      </c>
      <c r="F9" s="706" t="s">
        <v>1104</v>
      </c>
      <c r="G9" s="706">
        <v>-10201.18</v>
      </c>
      <c r="H9" s="706">
        <v>-9595.09</v>
      </c>
      <c r="I9" s="706">
        <v>-11675.15</v>
      </c>
      <c r="J9" s="706">
        <v>-23865.08</v>
      </c>
      <c r="K9" s="706">
        <v>-9516.15</v>
      </c>
      <c r="L9" s="706">
        <v>-11327.46</v>
      </c>
      <c r="M9" s="706">
        <v>-17567.46</v>
      </c>
      <c r="N9" s="706">
        <v>0</v>
      </c>
      <c r="O9" s="706">
        <v>0</v>
      </c>
      <c r="P9" s="706">
        <v>0</v>
      </c>
      <c r="Q9" s="706">
        <v>0</v>
      </c>
      <c r="R9" s="706">
        <v>0</v>
      </c>
      <c r="S9" s="706">
        <v>-1887.91</v>
      </c>
      <c r="T9" s="706">
        <v>-1887.91</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G0132</v>
      </c>
      <c r="AK9" s="905" t="str">
        <f t="shared" si="1"/>
        <v>FRAIS LIVRAISON-USAGE</v>
      </c>
      <c r="AL9" s="905">
        <f>IFERROR(INDEX(G9:R9,1,MATCH(Parametres!$B$3,G$1:R$1,0)-1)*IF(OR(F9="L",F9="S",F9="I"),-1,1),"")</f>
        <v>-9516.15</v>
      </c>
      <c r="AM9" s="905">
        <f t="shared" si="2"/>
        <v>-1811.3099999999995</v>
      </c>
      <c r="AN9" s="905">
        <f>INDEX(G9:R9,1,MATCH(Parametres!$B$3,G$1:R$1,0))*IF(OR(F9="L",F9="S",F9="I"),-1,1)</f>
        <v>-11327.46</v>
      </c>
      <c r="AO9" s="487" t="str">
        <f>+VLOOKUP($AJ9,Data_Validation!$A:$D,1,0)</f>
        <v>G0132</v>
      </c>
      <c r="AP9" s="487" t="str">
        <f>+VLOOKUP($AJ9,Data_Validation!$A:$D,3,0)</f>
        <v>Véhicules usagés</v>
      </c>
      <c r="AQ9" s="487" t="str">
        <f>+VLOOKUP($AJ9,Data_Validation!$A:$D,4,0)</f>
        <v>Frais de livraison</v>
      </c>
      <c r="AR9" s="487" t="s">
        <v>299</v>
      </c>
      <c r="AS9" s="487">
        <f>+VLOOKUP($AJ9,Data_Validation!$A:$E,5,0)</f>
        <v>0</v>
      </c>
      <c r="AT9" s="904" t="str">
        <f t="shared" si="3"/>
        <v>G0132</v>
      </c>
      <c r="AU9" s="488" t="str">
        <f t="shared" si="4"/>
        <v>FRAIS LIVRAISON-USAGE</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1187</v>
      </c>
      <c r="D10" s="706" t="s">
        <v>1182</v>
      </c>
      <c r="E10" s="706" t="s">
        <v>333</v>
      </c>
      <c r="F10" s="706" t="s">
        <v>1104</v>
      </c>
      <c r="G10" s="706">
        <v>740.78</v>
      </c>
      <c r="H10" s="706">
        <v>2833.81</v>
      </c>
      <c r="I10" s="706">
        <v>4125.12</v>
      </c>
      <c r="J10" s="706">
        <v>8570.35</v>
      </c>
      <c r="K10" s="706">
        <v>10455.69</v>
      </c>
      <c r="L10" s="706">
        <v>9893.74</v>
      </c>
      <c r="M10" s="706">
        <v>10376.75</v>
      </c>
      <c r="N10" s="706">
        <v>0</v>
      </c>
      <c r="O10" s="706">
        <v>0</v>
      </c>
      <c r="P10" s="706">
        <v>0</v>
      </c>
      <c r="Q10" s="706">
        <v>0</v>
      </c>
      <c r="R10" s="706">
        <v>0</v>
      </c>
      <c r="S10" s="706">
        <v>1648.96</v>
      </c>
      <c r="T10" s="706">
        <v>1648.96</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G0133</v>
      </c>
      <c r="AK10" s="905" t="str">
        <f t="shared" si="1"/>
        <v>FRAIS LIVRAISON U.S.A</v>
      </c>
      <c r="AL10" s="905">
        <f>IFERROR(INDEX(G10:R10,1,MATCH(Parametres!$B$3,G$1:R$1,0)-1)*IF(OR(F10="L",F10="S",F10="I"),-1,1),"")</f>
        <v>10455.69</v>
      </c>
      <c r="AM10" s="905">
        <f t="shared" si="2"/>
        <v>-561.95000000000073</v>
      </c>
      <c r="AN10" s="905">
        <f>INDEX(G10:R10,1,MATCH(Parametres!$B$3,G$1:R$1,0))*IF(OR(F10="L",F10="S",F10="I"),-1,1)</f>
        <v>9893.74</v>
      </c>
      <c r="AO10" s="487" t="str">
        <f>+VLOOKUP($AJ10,Data_Validation!$A:$D,1,0)</f>
        <v>G0133</v>
      </c>
      <c r="AP10" s="487" t="str">
        <f>+VLOOKUP($AJ10,Data_Validation!$A:$D,3,0)</f>
        <v>Wholesale autres</v>
      </c>
      <c r="AQ10" s="487" t="str">
        <f>+VLOOKUP($AJ10,Data_Validation!$A:$D,4,0)</f>
        <v>Frais de livraison</v>
      </c>
      <c r="AR10" s="487" t="s">
        <v>299</v>
      </c>
      <c r="AS10" s="487">
        <f>+VLOOKUP($AJ10,Data_Validation!$A:$E,5,0)</f>
        <v>0</v>
      </c>
      <c r="AT10" s="904" t="str">
        <f t="shared" si="3"/>
        <v>G0133</v>
      </c>
      <c r="AU10" s="488" t="str">
        <f t="shared" si="4"/>
        <v>FRAIS LIVRAISON U.S.A</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customHeight="1">
      <c r="A11" s="706" t="s">
        <v>1148</v>
      </c>
      <c r="B11" s="706">
        <v>2026</v>
      </c>
      <c r="C11" s="706" t="s">
        <v>3241</v>
      </c>
      <c r="D11" s="706" t="s">
        <v>3242</v>
      </c>
      <c r="E11" s="706" t="s">
        <v>333</v>
      </c>
      <c r="F11" s="706" t="s">
        <v>1104</v>
      </c>
      <c r="G11" s="706">
        <v>0</v>
      </c>
      <c r="H11" s="706">
        <v>0</v>
      </c>
      <c r="I11" s="706">
        <v>0</v>
      </c>
      <c r="J11" s="706">
        <v>0</v>
      </c>
      <c r="K11" s="706">
        <v>0</v>
      </c>
      <c r="L11" s="706">
        <v>0</v>
      </c>
      <c r="M11" s="706">
        <v>15.17</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G0134</v>
      </c>
      <c r="AK11" s="905" t="str">
        <f t="shared" si="1"/>
        <v>FRAIS LIVRAISON SERVICE</v>
      </c>
      <c r="AL11" s="905">
        <f>IFERROR(INDEX(G11:R11,1,MATCH(Parametres!$B$3,G$1:R$1,0)-1)*IF(OR(F11="L",F11="S",F11="I"),-1,1),"")</f>
        <v>0</v>
      </c>
      <c r="AM11" s="905">
        <f t="shared" si="2"/>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t="str">
        <f t="shared" si="3"/>
        <v>G0134</v>
      </c>
      <c r="AU11" s="488" t="str">
        <f t="shared" si="4"/>
        <v>FRAIS LIVRAISON SERVICE</v>
      </c>
      <c r="AV11" s="899">
        <f>IFERROR(INDEX(V11:AG11,1,MATCH(Parametres!$B$3,V$1:AG$1,0)-1)*IF(OR(C11="L",C11="S",C11="I"),-1,1),"")</f>
        <v>0</v>
      </c>
      <c r="AW11" s="899">
        <f t="shared" si="5"/>
        <v>0</v>
      </c>
      <c r="AX11" s="899">
        <f>INDEX(V11:AG11,1,MATCH(Parametres!$B$3,V$1:AG$1,0))*IF(OR(C11="L",C11="S",C11="I"),-1,1)</f>
        <v>0</v>
      </c>
      <c r="AY11" s="487" t="s">
        <v>337</v>
      </c>
      <c r="AZ11" s="487" t="e">
        <f>+VLOOKUP($AJ11,Data_Validation!$A:$E,5,0)</f>
        <v>#N/A</v>
      </c>
    </row>
    <row r="12" spans="1:52" ht="15" customHeight="1">
      <c r="A12" s="706" t="s">
        <v>1148</v>
      </c>
      <c r="B12" s="706">
        <v>2026</v>
      </c>
      <c r="C12" s="706" t="s">
        <v>3198</v>
      </c>
      <c r="D12" s="706" t="s">
        <v>3199</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G0140</v>
      </c>
      <c r="AK12" s="905" t="str">
        <f t="shared" si="1"/>
        <v>ENTRETIEN DEMO</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G0140</v>
      </c>
      <c r="AU12" s="488" t="str">
        <f t="shared" si="4"/>
        <v>ENTRETIEN DEMO</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customHeight="1">
      <c r="A13" s="706" t="s">
        <v>1148</v>
      </c>
      <c r="B13" s="706">
        <v>2026</v>
      </c>
      <c r="C13" s="706" t="s">
        <v>3200</v>
      </c>
      <c r="D13" s="706" t="s">
        <v>3201</v>
      </c>
      <c r="E13" s="706" t="s">
        <v>333</v>
      </c>
      <c r="F13" s="706" t="s">
        <v>1104</v>
      </c>
      <c r="G13" s="706">
        <v>0</v>
      </c>
      <c r="H13" s="706">
        <v>0</v>
      </c>
      <c r="I13" s="706">
        <v>0</v>
      </c>
      <c r="J13" s="706">
        <v>0</v>
      </c>
      <c r="K13" s="706">
        <v>0</v>
      </c>
      <c r="L13" s="706">
        <v>2304.62</v>
      </c>
      <c r="M13" s="706">
        <v>6179.24</v>
      </c>
      <c r="N13" s="706">
        <v>0</v>
      </c>
      <c r="O13" s="706">
        <v>0</v>
      </c>
      <c r="P13" s="706">
        <v>0</v>
      </c>
      <c r="Q13" s="706">
        <v>0</v>
      </c>
      <c r="R13" s="706">
        <v>0</v>
      </c>
      <c r="S13" s="706">
        <v>384.1</v>
      </c>
      <c r="T13" s="706">
        <v>384.1</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G0141</v>
      </c>
      <c r="AK13" s="905" t="str">
        <f t="shared" si="1"/>
        <v>ENTRETIEN STOCK NEUF</v>
      </c>
      <c r="AL13" s="905">
        <f>IFERROR(INDEX(G13:R13,1,MATCH(Parametres!$B$3,G$1:R$1,0)-1)*IF(OR(F13="L",F13="S",F13="I"),-1,1),"")</f>
        <v>0</v>
      </c>
      <c r="AM13" s="905">
        <f t="shared" si="2"/>
        <v>2304.62</v>
      </c>
      <c r="AN13" s="905">
        <f>INDEX(G13:R13,1,MATCH(Parametres!$B$3,G$1:R$1,0))*IF(OR(F13="L",F13="S",F13="I"),-1,1)</f>
        <v>2304.62</v>
      </c>
      <c r="AO13" s="487" t="str">
        <f>+VLOOKUP($AJ13,Data_Validation!$A:$D,1,0)</f>
        <v>G0141</v>
      </c>
      <c r="AP13" s="487" t="str">
        <f>+VLOOKUP($AJ13,Data_Validation!$A:$D,3,0)</f>
        <v>Véhicules neufs</v>
      </c>
      <c r="AQ13" s="487" t="str">
        <f>+VLOOKUP($AJ13,Data_Validation!$A:$D,4,0)</f>
        <v>Entretien stock</v>
      </c>
      <c r="AR13" s="487" t="s">
        <v>299</v>
      </c>
      <c r="AS13" s="487">
        <f>+VLOOKUP($AJ13,Data_Validation!$A:$E,5,0)</f>
        <v>0</v>
      </c>
      <c r="AT13" s="904" t="str">
        <f t="shared" si="3"/>
        <v>G0141</v>
      </c>
      <c r="AU13" s="488" t="str">
        <f t="shared" si="4"/>
        <v>ENTRETIEN STOCK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customHeight="1">
      <c r="A14" s="706" t="s">
        <v>1148</v>
      </c>
      <c r="B14" s="706">
        <v>2026</v>
      </c>
      <c r="C14" s="706" t="s">
        <v>3202</v>
      </c>
      <c r="D14" s="706" t="s">
        <v>3203</v>
      </c>
      <c r="E14" s="706" t="s">
        <v>333</v>
      </c>
      <c r="F14" s="706" t="s">
        <v>1104</v>
      </c>
      <c r="G14" s="706">
        <v>0</v>
      </c>
      <c r="H14" s="706">
        <v>0</v>
      </c>
      <c r="I14" s="706">
        <v>0</v>
      </c>
      <c r="J14" s="706">
        <v>0</v>
      </c>
      <c r="K14" s="706">
        <v>0</v>
      </c>
      <c r="L14" s="706">
        <v>0</v>
      </c>
      <c r="M14" s="706">
        <v>0</v>
      </c>
      <c r="N14" s="706">
        <v>0</v>
      </c>
      <c r="O14" s="706">
        <v>0</v>
      </c>
      <c r="P14" s="706">
        <v>0</v>
      </c>
      <c r="Q14" s="706">
        <v>0</v>
      </c>
      <c r="R14" s="706">
        <v>0</v>
      </c>
      <c r="S14" s="706">
        <v>0</v>
      </c>
      <c r="T14" s="706">
        <v>0</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G0142</v>
      </c>
      <c r="AK14" s="905" t="str">
        <f t="shared" si="1"/>
        <v>ENTRETIEN STOCK USAGE</v>
      </c>
      <c r="AL14" s="905">
        <f>IFERROR(INDEX(G14:R14,1,MATCH(Parametres!$B$3,G$1:R$1,0)-1)*IF(OR(F14="L",F14="S",F14="I"),-1,1),"")</f>
        <v>0</v>
      </c>
      <c r="AM14" s="905">
        <f t="shared" si="2"/>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t="str">
        <f t="shared" si="3"/>
        <v>G0142</v>
      </c>
      <c r="AU14" s="488" t="str">
        <f t="shared" si="4"/>
        <v>ENTRETIEN STOCK USAGE</v>
      </c>
      <c r="AV14" s="899">
        <f>IFERROR(INDEX(V14:AG14,1,MATCH(Parametres!$B$3,V$1:AG$1,0)-1)*IF(OR(C14="L",C14="S",C14="I"),-1,1),"")</f>
        <v>0</v>
      </c>
      <c r="AW14" s="899">
        <f t="shared" si="5"/>
        <v>0</v>
      </c>
      <c r="AX14" s="899">
        <f>INDEX(V14:AG14,1,MATCH(Parametres!$B$3,V$1:AG$1,0))*IF(OR(C14="L",C14="S",C14="I"),-1,1)</f>
        <v>0</v>
      </c>
      <c r="AY14" s="487" t="s">
        <v>337</v>
      </c>
      <c r="AZ14" s="487" t="e">
        <f>+VLOOKUP($AJ14,Data_Validation!$A:$E,5,0)</f>
        <v>#N/A</v>
      </c>
    </row>
    <row r="15" spans="1:52" ht="15" customHeight="1">
      <c r="A15" s="706" t="s">
        <v>1148</v>
      </c>
      <c r="B15" s="706">
        <v>2026</v>
      </c>
      <c r="C15" s="706" t="s">
        <v>3204</v>
      </c>
      <c r="D15" s="706" t="s">
        <v>3205</v>
      </c>
      <c r="E15" s="706" t="s">
        <v>333</v>
      </c>
      <c r="F15" s="706" t="s">
        <v>1104</v>
      </c>
      <c r="G15" s="706">
        <v>0</v>
      </c>
      <c r="H15" s="706">
        <v>0</v>
      </c>
      <c r="I15" s="706">
        <v>0</v>
      </c>
      <c r="J15" s="706">
        <v>0</v>
      </c>
      <c r="K15" s="706">
        <v>0</v>
      </c>
      <c r="L15" s="706">
        <v>0</v>
      </c>
      <c r="M15" s="706">
        <v>0</v>
      </c>
      <c r="N15" s="706">
        <v>0</v>
      </c>
      <c r="O15" s="706">
        <v>0</v>
      </c>
      <c r="P15" s="706">
        <v>0</v>
      </c>
      <c r="Q15" s="706">
        <v>0</v>
      </c>
      <c r="R15" s="706">
        <v>0</v>
      </c>
      <c r="S15" s="706">
        <v>0</v>
      </c>
      <c r="T15" s="706">
        <v>0</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G0143</v>
      </c>
      <c r="AK15" s="905" t="str">
        <f t="shared" si="1"/>
        <v>ENTRETIEN STOCK USA</v>
      </c>
      <c r="AL15" s="905">
        <f>IFERROR(INDEX(G15:R15,1,MATCH(Parametres!$B$3,G$1:R$1,0)-1)*IF(OR(F15="L",F15="S",F15="I"),-1,1),"")</f>
        <v>0</v>
      </c>
      <c r="AM15" s="905">
        <f t="shared" si="2"/>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t="str">
        <f t="shared" si="3"/>
        <v>G0143</v>
      </c>
      <c r="AU15" s="488" t="str">
        <f t="shared" si="4"/>
        <v>ENTRETIEN STOCK USA</v>
      </c>
      <c r="AV15" s="899">
        <f>IFERROR(INDEX(V15:AG15,1,MATCH(Parametres!$B$3,V$1:AG$1,0)-1)*IF(OR(C15="L",C15="S",C15="I"),-1,1),"")</f>
        <v>0</v>
      </c>
      <c r="AW15" s="899">
        <f t="shared" si="5"/>
        <v>0</v>
      </c>
      <c r="AX15" s="899">
        <f>INDEX(V15:AG15,1,MATCH(Parametres!$B$3,V$1:AG$1,0))*IF(OR(C15="L",C15="S",C15="I"),-1,1)</f>
        <v>0</v>
      </c>
      <c r="AY15" s="487" t="s">
        <v>337</v>
      </c>
      <c r="AZ15" s="487" t="e">
        <f>+VLOOKUP($AJ15,Data_Validation!$A:$E,5,0)</f>
        <v>#N/A</v>
      </c>
    </row>
    <row r="16" spans="1:52" ht="15" customHeight="1">
      <c r="A16" s="706" t="s">
        <v>1148</v>
      </c>
      <c r="B16" s="706">
        <v>2026</v>
      </c>
      <c r="C16" s="706" t="s">
        <v>1188</v>
      </c>
      <c r="D16" s="706" t="s">
        <v>1189</v>
      </c>
      <c r="E16" s="706" t="s">
        <v>333</v>
      </c>
      <c r="F16" s="706" t="s">
        <v>1104</v>
      </c>
      <c r="G16" s="706">
        <v>729</v>
      </c>
      <c r="H16" s="706">
        <v>729</v>
      </c>
      <c r="I16" s="706">
        <v>729</v>
      </c>
      <c r="J16" s="706">
        <v>883.95</v>
      </c>
      <c r="K16" s="706">
        <v>1972.22</v>
      </c>
      <c r="L16" s="706">
        <v>7805.56</v>
      </c>
      <c r="M16" s="706">
        <v>7960.51</v>
      </c>
      <c r="N16" s="706">
        <v>0</v>
      </c>
      <c r="O16" s="706">
        <v>0</v>
      </c>
      <c r="P16" s="706">
        <v>0</v>
      </c>
      <c r="Q16" s="706">
        <v>0</v>
      </c>
      <c r="R16" s="706">
        <v>0</v>
      </c>
      <c r="S16" s="706">
        <v>1300.93</v>
      </c>
      <c r="T16" s="706">
        <v>1300.93</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G0151</v>
      </c>
      <c r="AK16" s="905" t="str">
        <f t="shared" si="1"/>
        <v>TRAV. TITRE GRATIEUX NEUF</v>
      </c>
      <c r="AL16" s="905">
        <f>IFERROR(INDEX(G16:R16,1,MATCH(Parametres!$B$3,G$1:R$1,0)-1)*IF(OR(F16="L",F16="S",F16="I"),-1,1),"")</f>
        <v>1972.22</v>
      </c>
      <c r="AM16" s="905">
        <f t="shared" si="2"/>
        <v>5833.34</v>
      </c>
      <c r="AN16" s="905">
        <f>INDEX(G16:R16,1,MATCH(Parametres!$B$3,G$1:R$1,0))*IF(OR(F16="L",F16="S",F16="I"),-1,1)</f>
        <v>7805.56</v>
      </c>
      <c r="AO16" s="487" t="str">
        <f>+VLOOKUP($AJ16,Data_Validation!$A:$D,1,0)</f>
        <v>G0151</v>
      </c>
      <c r="AP16" s="487" t="str">
        <f>+VLOOKUP($AJ16,Data_Validation!$A:$D,3,0)</f>
        <v>Véhicules neufs</v>
      </c>
      <c r="AQ16" s="487" t="str">
        <f>+VLOOKUP($AJ16,Data_Validation!$A:$D,4,0)</f>
        <v>Service gratuit 1</v>
      </c>
      <c r="AR16" s="487" t="s">
        <v>299</v>
      </c>
      <c r="AS16" s="487">
        <f>+VLOOKUP($AJ16,Data_Validation!$A:$E,5,0)</f>
        <v>0</v>
      </c>
      <c r="AT16" s="904" t="str">
        <f t="shared" si="3"/>
        <v>G0151</v>
      </c>
      <c r="AU16" s="488" t="str">
        <f t="shared" si="4"/>
        <v>TRAV. TITRE GRATIEUX NEUF</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customHeight="1">
      <c r="A17" s="706" t="s">
        <v>1148</v>
      </c>
      <c r="B17" s="706">
        <v>2026</v>
      </c>
      <c r="C17" s="706" t="s">
        <v>1190</v>
      </c>
      <c r="D17" s="706" t="s">
        <v>1191</v>
      </c>
      <c r="E17" s="706" t="s">
        <v>333</v>
      </c>
      <c r="F17" s="706" t="s">
        <v>1104</v>
      </c>
      <c r="G17" s="706">
        <v>2616.1799999999998</v>
      </c>
      <c r="H17" s="706">
        <v>2616.1799999999998</v>
      </c>
      <c r="I17" s="706">
        <v>2837.76</v>
      </c>
      <c r="J17" s="706">
        <v>3782.67</v>
      </c>
      <c r="K17" s="706">
        <v>5017.8999999999996</v>
      </c>
      <c r="L17" s="706">
        <v>10542.6</v>
      </c>
      <c r="M17" s="706">
        <v>11254</v>
      </c>
      <c r="N17" s="706">
        <v>0</v>
      </c>
      <c r="O17" s="706">
        <v>0</v>
      </c>
      <c r="P17" s="706">
        <v>0</v>
      </c>
      <c r="Q17" s="706">
        <v>0</v>
      </c>
      <c r="R17" s="706">
        <v>0</v>
      </c>
      <c r="S17" s="706">
        <v>1757.1</v>
      </c>
      <c r="T17" s="706">
        <v>1757.1</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G0152</v>
      </c>
      <c r="AK17" s="905" t="str">
        <f t="shared" si="1"/>
        <v>TRAVAIL GARANTI USAGÉS</v>
      </c>
      <c r="AL17" s="905">
        <f>IFERROR(INDEX(G17:R17,1,MATCH(Parametres!$B$3,G$1:R$1,0)-1)*IF(OR(F17="L",F17="S",F17="I"),-1,1),"")</f>
        <v>5017.8999999999996</v>
      </c>
      <c r="AM17" s="905">
        <f t="shared" si="2"/>
        <v>5524.7000000000007</v>
      </c>
      <c r="AN17" s="905">
        <f>INDEX(G17:R17,1,MATCH(Parametres!$B$3,G$1:R$1,0))*IF(OR(F17="L",F17="S",F17="I"),-1,1)</f>
        <v>10542.6</v>
      </c>
      <c r="AO17" s="487" t="str">
        <f>+VLOOKUP($AJ17,Data_Validation!$A:$D,1,0)</f>
        <v>G0152</v>
      </c>
      <c r="AP17" s="487" t="str">
        <f>+VLOOKUP($AJ17,Data_Validation!$A:$D,3,0)</f>
        <v>Véhicules usagés</v>
      </c>
      <c r="AQ17" s="487" t="str">
        <f>+VLOOKUP($AJ17,Data_Validation!$A:$D,4,0)</f>
        <v>Service gratuit 1</v>
      </c>
      <c r="AR17" s="487" t="s">
        <v>299</v>
      </c>
      <c r="AS17" s="487">
        <f>+VLOOKUP($AJ17,Data_Validation!$A:$E,5,0)</f>
        <v>0</v>
      </c>
      <c r="AT17" s="904" t="str">
        <f t="shared" si="3"/>
        <v>G0152</v>
      </c>
      <c r="AU17" s="488" t="str">
        <f t="shared" si="4"/>
        <v>TRAVAIL GARANTI USAGÉS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1192</v>
      </c>
      <c r="D18" s="706" t="s">
        <v>1193</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G0153</v>
      </c>
      <c r="AK18" s="905" t="str">
        <f t="shared" si="1"/>
        <v>TRAVAUX GRATUIT U.S.A</v>
      </c>
      <c r="AL18" s="905">
        <f>IFERROR(INDEX(G18:R18,1,MATCH(Parametres!$B$3,G$1:R$1,0)-1)*IF(OR(F18="L",F18="S",F18="I"),-1,1),"")</f>
        <v>0</v>
      </c>
      <c r="AM18" s="905">
        <f t="shared" si="2"/>
        <v>0</v>
      </c>
      <c r="AN18" s="905">
        <f>INDEX(G18:R18,1,MATCH(Parametres!$B$3,G$1:R$1,0))*IF(OR(F18="L",F18="S",F18="I"),-1,1)</f>
        <v>0</v>
      </c>
      <c r="AO18" s="487" t="str">
        <f>+VLOOKUP($AJ18,Data_Validation!$A:$D,1,0)</f>
        <v>G0153</v>
      </c>
      <c r="AP18" s="487" t="str">
        <f>+VLOOKUP($AJ18,Data_Validation!$A:$D,3,0)</f>
        <v>Wholesale autres</v>
      </c>
      <c r="AQ18" s="487" t="str">
        <f>+VLOOKUP($AJ18,Data_Validation!$A:$D,4,0)</f>
        <v>Service gratuit 1</v>
      </c>
      <c r="AR18" s="487" t="s">
        <v>299</v>
      </c>
      <c r="AS18" s="487">
        <f>+VLOOKUP($AJ18,Data_Validation!$A:$E,5,0)</f>
        <v>0</v>
      </c>
      <c r="AT18" s="904" t="str">
        <f t="shared" si="3"/>
        <v>G0153</v>
      </c>
      <c r="AU18" s="488" t="str">
        <f t="shared" si="4"/>
        <v>TRAVAUX GRATUIT U.S.A</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3146</v>
      </c>
      <c r="D19" s="706" t="s">
        <v>3191</v>
      </c>
      <c r="E19" s="706" t="s">
        <v>333</v>
      </c>
      <c r="F19" s="706" t="s">
        <v>1104</v>
      </c>
      <c r="G19" s="706">
        <v>0</v>
      </c>
      <c r="H19" s="706">
        <v>0</v>
      </c>
      <c r="I19" s="706">
        <v>0</v>
      </c>
      <c r="J19" s="706">
        <v>0</v>
      </c>
      <c r="K19" s="706">
        <v>-142596</v>
      </c>
      <c r="L19" s="706">
        <v>-167061</v>
      </c>
      <c r="M19" s="706">
        <v>-168459</v>
      </c>
      <c r="N19" s="706">
        <v>0</v>
      </c>
      <c r="O19" s="706">
        <v>0</v>
      </c>
      <c r="P19" s="706">
        <v>0</v>
      </c>
      <c r="Q19" s="706">
        <v>0</v>
      </c>
      <c r="R19" s="706">
        <v>0</v>
      </c>
      <c r="S19" s="706">
        <v>-27843.5</v>
      </c>
      <c r="T19" s="706">
        <v>-27843.5</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G0161</v>
      </c>
      <c r="AK19" s="905" t="str">
        <f t="shared" si="1"/>
        <v>FRAIS DE DOSSIER - NEUF</v>
      </c>
      <c r="AL19" s="905">
        <f>IFERROR(INDEX(G19:R19,1,MATCH(Parametres!$B$3,G$1:R$1,0)-1)*IF(OR(F19="L",F19="S",F19="I"),-1,1),"")</f>
        <v>-142596</v>
      </c>
      <c r="AM19" s="905">
        <f t="shared" si="2"/>
        <v>-24465</v>
      </c>
      <c r="AN19" s="905">
        <f>INDEX(G19:R19,1,MATCH(Parametres!$B$3,G$1:R$1,0))*IF(OR(F19="L",F19="S",F19="I"),-1,1)</f>
        <v>-167061</v>
      </c>
      <c r="AO19" s="487" t="str">
        <f>+VLOOKUP($AJ19,Data_Validation!$A:$D,1,0)</f>
        <v>G0161</v>
      </c>
      <c r="AP19" s="487" t="str">
        <f>+VLOOKUP($AJ19,Data_Validation!$A:$D,3,0)</f>
        <v>Véhicules neufs</v>
      </c>
      <c r="AQ19" s="487" t="str">
        <f>+VLOOKUP($AJ19,Data_Validation!$A:$D,4,0)</f>
        <v>Frais administration</v>
      </c>
      <c r="AR19" s="487" t="s">
        <v>299</v>
      </c>
      <c r="AS19" s="487">
        <f>+VLOOKUP($AJ19,Data_Validation!$A:$E,5,0)</f>
        <v>0</v>
      </c>
      <c r="AT19" s="904" t="str">
        <f t="shared" si="3"/>
        <v>G0161</v>
      </c>
      <c r="AU19" s="488" t="str">
        <f t="shared" si="4"/>
        <v>FRAIS DE DOSSIER - NEUF</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customHeight="1">
      <c r="A20" s="706" t="s">
        <v>1148</v>
      </c>
      <c r="B20" s="706">
        <v>2026</v>
      </c>
      <c r="C20" s="706" t="s">
        <v>3147</v>
      </c>
      <c r="D20" s="706" t="s">
        <v>3192</v>
      </c>
      <c r="E20" s="706" t="s">
        <v>333</v>
      </c>
      <c r="F20" s="706" t="s">
        <v>1104</v>
      </c>
      <c r="G20" s="706">
        <v>0</v>
      </c>
      <c r="H20" s="706">
        <v>0</v>
      </c>
      <c r="I20" s="706">
        <v>0</v>
      </c>
      <c r="J20" s="706">
        <v>0</v>
      </c>
      <c r="K20" s="706">
        <v>-38000</v>
      </c>
      <c r="L20" s="706">
        <v>-45000</v>
      </c>
      <c r="M20" s="706">
        <v>-45000</v>
      </c>
      <c r="N20" s="706">
        <v>0</v>
      </c>
      <c r="O20" s="706">
        <v>0</v>
      </c>
      <c r="P20" s="706">
        <v>0</v>
      </c>
      <c r="Q20" s="706">
        <v>0</v>
      </c>
      <c r="R20" s="706">
        <v>0</v>
      </c>
      <c r="S20" s="706">
        <v>-7500</v>
      </c>
      <c r="T20" s="706">
        <v>-7500</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G0162</v>
      </c>
      <c r="AK20" s="905" t="str">
        <f t="shared" si="1"/>
        <v>FRAIS DE DOSSIER USAGE</v>
      </c>
      <c r="AL20" s="905">
        <f>IFERROR(INDEX(G20:R20,1,MATCH(Parametres!$B$3,G$1:R$1,0)-1)*IF(OR(F20="L",F20="S",F20="I"),-1,1),"")</f>
        <v>-38000</v>
      </c>
      <c r="AM20" s="905">
        <f t="shared" si="2"/>
        <v>-7000</v>
      </c>
      <c r="AN20" s="905">
        <f>INDEX(G20:R20,1,MATCH(Parametres!$B$3,G$1:R$1,0))*IF(OR(F20="L",F20="S",F20="I"),-1,1)</f>
        <v>-45000</v>
      </c>
      <c r="AO20" s="487" t="str">
        <f>+VLOOKUP($AJ20,Data_Validation!$A:$D,1,0)</f>
        <v>G0162</v>
      </c>
      <c r="AP20" s="487" t="str">
        <f>+VLOOKUP($AJ20,Data_Validation!$A:$D,3,0)</f>
        <v>Véhicules usagés</v>
      </c>
      <c r="AQ20" s="487" t="str">
        <f>+VLOOKUP($AJ20,Data_Validation!$A:$D,4,0)</f>
        <v>Frais administration</v>
      </c>
      <c r="AR20" s="487" t="s">
        <v>299</v>
      </c>
      <c r="AS20" s="487">
        <f>+VLOOKUP($AJ20,Data_Validation!$A:$E,5,0)</f>
        <v>0</v>
      </c>
      <c r="AT20" s="904" t="str">
        <f t="shared" si="3"/>
        <v>G0162</v>
      </c>
      <c r="AU20" s="488" t="str">
        <f t="shared" si="4"/>
        <v>FRAIS DE DOSSIER USAGE</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1194</v>
      </c>
      <c r="D21" s="706" t="s">
        <v>1195</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G0200</v>
      </c>
      <c r="AK21" s="905" t="str">
        <f t="shared" si="1"/>
        <v>SALAIRE PROPRIETAIRE REP.</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G0200</v>
      </c>
      <c r="AU21" s="488" t="str">
        <f t="shared" si="4"/>
        <v>SALAIRE PROPRIETAIRE REP.</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3243</v>
      </c>
      <c r="D22" s="706" t="s">
        <v>1198</v>
      </c>
      <c r="E22" s="706" t="s">
        <v>333</v>
      </c>
      <c r="F22" s="706" t="s">
        <v>1104</v>
      </c>
      <c r="G22" s="706">
        <v>0</v>
      </c>
      <c r="H22" s="706">
        <v>0</v>
      </c>
      <c r="I22" s="706">
        <v>0</v>
      </c>
      <c r="J22" s="706">
        <v>0</v>
      </c>
      <c r="K22" s="706">
        <v>0</v>
      </c>
      <c r="L22" s="706">
        <v>0</v>
      </c>
      <c r="M22" s="706">
        <v>0</v>
      </c>
      <c r="N22" s="706">
        <v>0</v>
      </c>
      <c r="O22" s="706">
        <v>0</v>
      </c>
      <c r="P22" s="706">
        <v>0</v>
      </c>
      <c r="Q22" s="706">
        <v>0</v>
      </c>
      <c r="R22" s="706">
        <v>0</v>
      </c>
      <c r="S22" s="706">
        <v>0</v>
      </c>
      <c r="T22" s="706">
        <v>0</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G02001</v>
      </c>
      <c r="AK22" s="905" t="str">
        <f t="shared" si="1"/>
        <v>SALAIRE PROP. NEUF/USAGE</v>
      </c>
      <c r="AL22" s="905">
        <f>IFERROR(INDEX(G22:R22,1,MATCH(Parametres!$B$3,G$1:R$1,0)-1)*IF(OR(F22="L",F22="S",F22="I"),-1,1),"")</f>
        <v>0</v>
      </c>
      <c r="AM22" s="905">
        <f t="shared" si="2"/>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t="str">
        <f t="shared" si="3"/>
        <v>G02001</v>
      </c>
      <c r="AU22" s="488" t="str">
        <f t="shared" si="4"/>
        <v>SALAIRE PROP. NEUF/USAGE</v>
      </c>
      <c r="AV22" s="899">
        <f>IFERROR(INDEX(V22:AG22,1,MATCH(Parametres!$B$3,V$1:AG$1,0)-1)*IF(OR(C22="L",C22="S",C22="I"),-1,1),"")</f>
        <v>0</v>
      </c>
      <c r="AW22" s="899">
        <f t="shared" si="5"/>
        <v>0</v>
      </c>
      <c r="AX22" s="899">
        <f>INDEX(V22:AG22,1,MATCH(Parametres!$B$3,V$1:AG$1,0))*IF(OR(C22="L",C22="S",C22="I"),-1,1)</f>
        <v>0</v>
      </c>
      <c r="AY22" s="487" t="s">
        <v>337</v>
      </c>
      <c r="AZ22" s="487" t="e">
        <f>+VLOOKUP($AJ22,Data_Validation!$A:$E,5,0)</f>
        <v>#N/A</v>
      </c>
    </row>
    <row r="23" spans="1:52" ht="15" customHeight="1">
      <c r="A23" s="706" t="s">
        <v>1148</v>
      </c>
      <c r="B23" s="706">
        <v>2026</v>
      </c>
      <c r="C23" s="706" t="s">
        <v>1196</v>
      </c>
      <c r="D23" s="706" t="s">
        <v>1197</v>
      </c>
      <c r="E23" s="706" t="s">
        <v>333</v>
      </c>
      <c r="F23" s="706" t="s">
        <v>1104</v>
      </c>
      <c r="G23" s="706">
        <v>0</v>
      </c>
      <c r="H23" s="706">
        <v>0</v>
      </c>
      <c r="I23" s="706">
        <v>10038.48</v>
      </c>
      <c r="J23" s="706">
        <v>14632.43</v>
      </c>
      <c r="K23" s="706">
        <v>21799.55</v>
      </c>
      <c r="L23" s="706">
        <v>25399.55</v>
      </c>
      <c r="M23" s="706">
        <v>26091.86</v>
      </c>
      <c r="N23" s="706">
        <v>0</v>
      </c>
      <c r="O23" s="706">
        <v>0</v>
      </c>
      <c r="P23" s="706">
        <v>0</v>
      </c>
      <c r="Q23" s="706">
        <v>0</v>
      </c>
      <c r="R23" s="706">
        <v>0</v>
      </c>
      <c r="S23" s="706">
        <v>4233.26</v>
      </c>
      <c r="T23" s="706">
        <v>4233.26</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G0201</v>
      </c>
      <c r="AK23" s="905" t="str">
        <f t="shared" si="1"/>
        <v>SALAIRE PROP. NEUF</v>
      </c>
      <c r="AL23" s="905">
        <f>IFERROR(INDEX(G23:R23,1,MATCH(Parametres!$B$3,G$1:R$1,0)-1)*IF(OR(F23="L",F23="S",F23="I"),-1,1),"")</f>
        <v>21799.55</v>
      </c>
      <c r="AM23" s="905">
        <f t="shared" si="2"/>
        <v>3600</v>
      </c>
      <c r="AN23" s="905">
        <f>INDEX(G23:R23,1,MATCH(Parametres!$B$3,G$1:R$1,0))*IF(OR(F23="L",F23="S",F23="I"),-1,1)</f>
        <v>25399.55</v>
      </c>
      <c r="AO23" s="487" t="str">
        <f>+VLOOKUP($AJ23,Data_Validation!$A:$D,1,0)</f>
        <v>G0201</v>
      </c>
      <c r="AP23" s="487" t="str">
        <f>+VLOOKUP($AJ23,Data_Validation!$A:$D,3,0)</f>
        <v>Véhicules neufs</v>
      </c>
      <c r="AQ23" s="487" t="str">
        <f>+VLOOKUP($AJ23,Data_Validation!$A:$D,4,0)</f>
        <v>Salaires propriétaire</v>
      </c>
      <c r="AR23" s="487" t="s">
        <v>299</v>
      </c>
      <c r="AS23" s="487">
        <f>+VLOOKUP($AJ23,Data_Validation!$A:$E,5,0)</f>
        <v>0</v>
      </c>
      <c r="AT23" s="904" t="str">
        <f t="shared" si="3"/>
        <v>G0201</v>
      </c>
      <c r="AU23" s="488" t="str">
        <f t="shared" si="4"/>
        <v>SALAIRE PROP. NEUF</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customHeight="1">
      <c r="A24" s="706" t="s">
        <v>1148</v>
      </c>
      <c r="B24" s="706">
        <v>2026</v>
      </c>
      <c r="C24" s="706" t="s">
        <v>3259</v>
      </c>
      <c r="D24" s="706" t="s">
        <v>1198</v>
      </c>
      <c r="E24" s="706" t="s">
        <v>333</v>
      </c>
      <c r="F24" s="706" t="s">
        <v>1104</v>
      </c>
      <c r="G24" s="706">
        <v>0</v>
      </c>
      <c r="H24" s="706">
        <v>0</v>
      </c>
      <c r="I24" s="706">
        <v>0</v>
      </c>
      <c r="J24" s="706">
        <v>0</v>
      </c>
      <c r="K24" s="706">
        <v>0</v>
      </c>
      <c r="L24" s="706">
        <v>0</v>
      </c>
      <c r="M24" s="706">
        <v>0</v>
      </c>
      <c r="N24" s="706">
        <v>0</v>
      </c>
      <c r="O24" s="706">
        <v>0</v>
      </c>
      <c r="P24" s="706">
        <v>0</v>
      </c>
      <c r="Q24" s="706">
        <v>0</v>
      </c>
      <c r="R24" s="706">
        <v>0</v>
      </c>
      <c r="S24" s="706">
        <v>0</v>
      </c>
      <c r="T24" s="706">
        <v>0</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G020101</v>
      </c>
      <c r="AK24" s="905" t="str">
        <f t="shared" si="1"/>
        <v>SALAIRE PROP. NEUF/USAGE</v>
      </c>
      <c r="AL24" s="905">
        <f>IFERROR(INDEX(G24:R24,1,MATCH(Parametres!$B$3,G$1:R$1,0)-1)*IF(OR(F24="L",F24="S",F24="I"),-1,1),"")</f>
        <v>0</v>
      </c>
      <c r="AM24" s="905">
        <f t="shared" si="2"/>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t="str">
        <f t="shared" si="3"/>
        <v>G020101</v>
      </c>
      <c r="AU24" s="488" t="str">
        <f t="shared" si="4"/>
        <v>SALAIRE PROP. NEUF/USAGE</v>
      </c>
      <c r="AV24" s="899">
        <f>IFERROR(INDEX(V24:AG24,1,MATCH(Parametres!$B$3,V$1:AG$1,0)-1)*IF(OR(C24="L",C24="S",C24="I"),-1,1),"")</f>
        <v>0</v>
      </c>
      <c r="AW24" s="899">
        <f t="shared" si="5"/>
        <v>0</v>
      </c>
      <c r="AX24" s="899">
        <f>INDEX(V24:AG24,1,MATCH(Parametres!$B$3,V$1:AG$1,0))*IF(OR(C24="L",C24="S",C24="I"),-1,1)</f>
        <v>0</v>
      </c>
      <c r="AY24" s="487" t="s">
        <v>337</v>
      </c>
      <c r="AZ24" s="487" t="e">
        <f>+VLOOKUP($AJ24,Data_Validation!$A:$E,5,0)</f>
        <v>#N/A</v>
      </c>
    </row>
    <row r="25" spans="1:52" ht="15" customHeight="1">
      <c r="A25" s="706" t="s">
        <v>1148</v>
      </c>
      <c r="B25" s="706">
        <v>2026</v>
      </c>
      <c r="C25" s="706" t="s">
        <v>1199</v>
      </c>
      <c r="D25" s="706" t="s">
        <v>1200</v>
      </c>
      <c r="E25" s="706" t="s">
        <v>333</v>
      </c>
      <c r="F25" s="706" t="s">
        <v>1104</v>
      </c>
      <c r="G25" s="706">
        <v>0</v>
      </c>
      <c r="H25" s="706">
        <v>0</v>
      </c>
      <c r="I25" s="706">
        <v>6692.32</v>
      </c>
      <c r="J25" s="706">
        <v>9754.9500000000007</v>
      </c>
      <c r="K25" s="706">
        <v>14533.03</v>
      </c>
      <c r="L25" s="706">
        <v>16933.03</v>
      </c>
      <c r="M25" s="706">
        <v>17394.57</v>
      </c>
      <c r="N25" s="706">
        <v>0</v>
      </c>
      <c r="O25" s="706">
        <v>0</v>
      </c>
      <c r="P25" s="706">
        <v>0</v>
      </c>
      <c r="Q25" s="706">
        <v>0</v>
      </c>
      <c r="R25" s="706">
        <v>0</v>
      </c>
      <c r="S25" s="706">
        <v>2822.17</v>
      </c>
      <c r="T25" s="706">
        <v>2822.17</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G0202</v>
      </c>
      <c r="AK25" s="905" t="str">
        <f t="shared" si="1"/>
        <v>SALAIRE PROP USAGE</v>
      </c>
      <c r="AL25" s="905">
        <f>IFERROR(INDEX(G25:R25,1,MATCH(Parametres!$B$3,G$1:R$1,0)-1)*IF(OR(F25="L",F25="S",F25="I"),-1,1),"")</f>
        <v>14533.03</v>
      </c>
      <c r="AM25" s="905">
        <f t="shared" si="2"/>
        <v>2399.9999999999982</v>
      </c>
      <c r="AN25" s="905">
        <f>INDEX(G25:R25,1,MATCH(Parametres!$B$3,G$1:R$1,0))*IF(OR(F25="L",F25="S",F25="I"),-1,1)</f>
        <v>16933.03</v>
      </c>
      <c r="AO25" s="487" t="str">
        <f>+VLOOKUP($AJ25,Data_Validation!$A:$D,1,0)</f>
        <v>G0202</v>
      </c>
      <c r="AP25" s="487" t="str">
        <f>+VLOOKUP($AJ25,Data_Validation!$A:$D,3,0)</f>
        <v>Véhicules usagés</v>
      </c>
      <c r="AQ25" s="487" t="str">
        <f>+VLOOKUP($AJ25,Data_Validation!$A:$D,4,0)</f>
        <v>Salaires propriétaire</v>
      </c>
      <c r="AR25" s="487" t="s">
        <v>299</v>
      </c>
      <c r="AS25" s="487">
        <f>+VLOOKUP($AJ25,Data_Validation!$A:$E,5,0)</f>
        <v>0</v>
      </c>
      <c r="AT25" s="904" t="str">
        <f t="shared" si="3"/>
        <v>G0202</v>
      </c>
      <c r="AU25" s="488" t="str">
        <f t="shared" si="4"/>
        <v>SALAIRE PROP USAGE</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1201</v>
      </c>
      <c r="D26" s="706" t="s">
        <v>1202</v>
      </c>
      <c r="E26" s="706" t="s">
        <v>333</v>
      </c>
      <c r="F26" s="706" t="s">
        <v>1104</v>
      </c>
      <c r="G26" s="706">
        <v>0</v>
      </c>
      <c r="H26" s="706">
        <v>0</v>
      </c>
      <c r="I26" s="706">
        <v>10038.48</v>
      </c>
      <c r="J26" s="706">
        <v>14632.43</v>
      </c>
      <c r="K26" s="706">
        <v>21799.55</v>
      </c>
      <c r="L26" s="706">
        <v>25399.55</v>
      </c>
      <c r="M26" s="706">
        <v>26091.86</v>
      </c>
      <c r="N26" s="706">
        <v>0</v>
      </c>
      <c r="O26" s="706">
        <v>0</v>
      </c>
      <c r="P26" s="706">
        <v>0</v>
      </c>
      <c r="Q26" s="706">
        <v>0</v>
      </c>
      <c r="R26" s="706">
        <v>0</v>
      </c>
      <c r="S26" s="706">
        <v>4233.26</v>
      </c>
      <c r="T26" s="706">
        <v>4233.26</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G0204</v>
      </c>
      <c r="AK26" s="905" t="str">
        <f t="shared" si="1"/>
        <v>SALAIRE PROP SERVICE</v>
      </c>
      <c r="AL26" s="905">
        <f>IFERROR(INDEX(G26:R26,1,MATCH(Parametres!$B$3,G$1:R$1,0)-1)*IF(OR(F26="L",F26="S",F26="I"),-1,1),"")</f>
        <v>21799.55</v>
      </c>
      <c r="AM26" s="905">
        <f t="shared" si="2"/>
        <v>3600</v>
      </c>
      <c r="AN26" s="905">
        <f>INDEX(G26:R26,1,MATCH(Parametres!$B$3,G$1:R$1,0))*IF(OR(F26="L",F26="S",F26="I"),-1,1)</f>
        <v>25399.55</v>
      </c>
      <c r="AO26" s="487" t="str">
        <f>+VLOOKUP($AJ26,Data_Validation!$A:$D,1,0)</f>
        <v>G0204</v>
      </c>
      <c r="AP26" s="487" t="str">
        <f>+VLOOKUP($AJ26,Data_Validation!$A:$D,3,0)</f>
        <v>Service</v>
      </c>
      <c r="AQ26" s="487" t="str">
        <f>+VLOOKUP($AJ26,Data_Validation!$A:$D,4,0)</f>
        <v>Salaires propriétaire</v>
      </c>
      <c r="AR26" s="487" t="s">
        <v>299</v>
      </c>
      <c r="AS26" s="487">
        <f>+VLOOKUP($AJ26,Data_Validation!$A:$E,5,0)</f>
        <v>0</v>
      </c>
      <c r="AT26" s="904" t="str">
        <f t="shared" si="3"/>
        <v>G0204</v>
      </c>
      <c r="AU26" s="488" t="str">
        <f t="shared" si="4"/>
        <v>SALAIRE PROP SERVICE</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customHeight="1">
      <c r="A27" s="706" t="s">
        <v>1148</v>
      </c>
      <c r="B27" s="706">
        <v>2026</v>
      </c>
      <c r="C27" s="706" t="s">
        <v>1203</v>
      </c>
      <c r="D27" s="706" t="s">
        <v>1204</v>
      </c>
      <c r="E27" s="706" t="s">
        <v>333</v>
      </c>
      <c r="F27" s="706" t="s">
        <v>1104</v>
      </c>
      <c r="G27" s="706">
        <v>0</v>
      </c>
      <c r="H27" s="706">
        <v>0</v>
      </c>
      <c r="I27" s="706">
        <v>3346.16</v>
      </c>
      <c r="J27" s="706">
        <v>4877.4799999999996</v>
      </c>
      <c r="K27" s="706">
        <v>7266.52</v>
      </c>
      <c r="L27" s="706">
        <v>8466.52</v>
      </c>
      <c r="M27" s="706">
        <v>8697.2900000000009</v>
      </c>
      <c r="N27" s="706">
        <v>0</v>
      </c>
      <c r="O27" s="706">
        <v>0</v>
      </c>
      <c r="P27" s="706">
        <v>0</v>
      </c>
      <c r="Q27" s="706">
        <v>0</v>
      </c>
      <c r="R27" s="706">
        <v>0</v>
      </c>
      <c r="S27" s="706">
        <v>1411.09</v>
      </c>
      <c r="T27" s="706">
        <v>1411.09</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G0205</v>
      </c>
      <c r="AK27" s="905" t="str">
        <f t="shared" si="1"/>
        <v>SALAIRE PROP CARROSSERIE</v>
      </c>
      <c r="AL27" s="905">
        <f>IFERROR(INDEX(G27:R27,1,MATCH(Parametres!$B$3,G$1:R$1,0)-1)*IF(OR(F27="L",F27="S",F27="I"),-1,1),"")</f>
        <v>7266.52</v>
      </c>
      <c r="AM27" s="905">
        <f t="shared" si="2"/>
        <v>1200</v>
      </c>
      <c r="AN27" s="905">
        <f>INDEX(G27:R27,1,MATCH(Parametres!$B$3,G$1:R$1,0))*IF(OR(F27="L",F27="S",F27="I"),-1,1)</f>
        <v>8466.52</v>
      </c>
      <c r="AO27" s="487" t="str">
        <f>+VLOOKUP($AJ27,Data_Validation!$A:$D,1,0)</f>
        <v>G0205</v>
      </c>
      <c r="AP27" s="487" t="str">
        <f>+VLOOKUP($AJ27,Data_Validation!$A:$D,3,0)</f>
        <v>Carrosserie</v>
      </c>
      <c r="AQ27" s="487" t="str">
        <f>+VLOOKUP($AJ27,Data_Validation!$A:$D,4,0)</f>
        <v>Salaires propriétaire</v>
      </c>
      <c r="AR27" s="487" t="s">
        <v>299</v>
      </c>
      <c r="AS27" s="487">
        <f>+VLOOKUP($AJ27,Data_Validation!$A:$E,5,0)</f>
        <v>0</v>
      </c>
      <c r="AT27" s="904" t="str">
        <f t="shared" si="3"/>
        <v>G0205</v>
      </c>
      <c r="AU27" s="488" t="str">
        <f t="shared" si="4"/>
        <v>SALAIRE PROP 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1205</v>
      </c>
      <c r="D28" s="706" t="s">
        <v>1206</v>
      </c>
      <c r="E28" s="706" t="s">
        <v>333</v>
      </c>
      <c r="F28" s="706" t="s">
        <v>1104</v>
      </c>
      <c r="G28" s="706">
        <v>0</v>
      </c>
      <c r="H28" s="706">
        <v>0</v>
      </c>
      <c r="I28" s="706">
        <v>3346.15</v>
      </c>
      <c r="J28" s="706">
        <v>4877.45</v>
      </c>
      <c r="K28" s="706">
        <v>7266.48</v>
      </c>
      <c r="L28" s="706">
        <v>8466.49</v>
      </c>
      <c r="M28" s="706">
        <v>8697.26</v>
      </c>
      <c r="N28" s="706">
        <v>0</v>
      </c>
      <c r="O28" s="706">
        <v>0</v>
      </c>
      <c r="P28" s="706">
        <v>0</v>
      </c>
      <c r="Q28" s="706">
        <v>0</v>
      </c>
      <c r="R28" s="706">
        <v>0</v>
      </c>
      <c r="S28" s="706">
        <v>1411.08</v>
      </c>
      <c r="T28" s="706">
        <v>1411.08</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G0206</v>
      </c>
      <c r="AK28" s="905" t="str">
        <f t="shared" si="1"/>
        <v>SALAIRE PROP. PIECES</v>
      </c>
      <c r="AL28" s="905">
        <f>IFERROR(INDEX(G28:R28,1,MATCH(Parametres!$B$3,G$1:R$1,0)-1)*IF(OR(F28="L",F28="S",F28="I"),-1,1),"")</f>
        <v>7266.48</v>
      </c>
      <c r="AM28" s="905">
        <f t="shared" si="2"/>
        <v>1200.0100000000002</v>
      </c>
      <c r="AN28" s="905">
        <f>INDEX(G28:R28,1,MATCH(Parametres!$B$3,G$1:R$1,0))*IF(OR(F28="L",F28="S",F28="I"),-1,1)</f>
        <v>8466.49</v>
      </c>
      <c r="AO28" s="487" t="str">
        <f>+VLOOKUP($AJ28,Data_Validation!$A:$D,1,0)</f>
        <v>G0206</v>
      </c>
      <c r="AP28" s="487" t="str">
        <f>+VLOOKUP($AJ28,Data_Validation!$A:$D,3,0)</f>
        <v>Pièces</v>
      </c>
      <c r="AQ28" s="487" t="str">
        <f>+VLOOKUP($AJ28,Data_Validation!$A:$D,4,0)</f>
        <v>Salaires propriétaire</v>
      </c>
      <c r="AR28" s="487" t="s">
        <v>299</v>
      </c>
      <c r="AS28" s="487">
        <f>+VLOOKUP($AJ28,Data_Validation!$A:$E,5,0)</f>
        <v>0</v>
      </c>
      <c r="AT28" s="904" t="str">
        <f t="shared" si="3"/>
        <v>G0206</v>
      </c>
      <c r="AU28" s="488" t="str">
        <f t="shared" si="4"/>
        <v>SALAIRE PROP. PIECES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customHeight="1">
      <c r="A29" s="706" t="s">
        <v>1148</v>
      </c>
      <c r="B29" s="706">
        <v>2026</v>
      </c>
      <c r="C29" s="706" t="s">
        <v>1207</v>
      </c>
      <c r="D29" s="706" t="s">
        <v>1208</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G0210</v>
      </c>
      <c r="AK29" s="905" t="str">
        <f t="shared" si="1"/>
        <v>SALAIRE ADMIN. TOUS</v>
      </c>
      <c r="AL29" s="905">
        <f>IFERROR(INDEX(G29:R29,1,MATCH(Parametres!$B$3,G$1:R$1,0)-1)*IF(OR(F29="L",F29="S",F29="I"),-1,1),"")</f>
        <v>0</v>
      </c>
      <c r="AM29" s="905">
        <f t="shared" si="2"/>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t="str">
        <f t="shared" si="3"/>
        <v>G0210</v>
      </c>
      <c r="AU29" s="488" t="str">
        <f t="shared" si="4"/>
        <v>SALAIRE ADMIN. TOUS</v>
      </c>
      <c r="AV29" s="899">
        <f>IFERROR(INDEX(V29:AG29,1,MATCH(Parametres!$B$3,V$1:AG$1,0)-1)*IF(OR(C29="L",C29="S",C29="I"),-1,1),"")</f>
        <v>0</v>
      </c>
      <c r="AW29" s="899">
        <f t="shared" si="5"/>
        <v>0</v>
      </c>
      <c r="AX29" s="899">
        <f>INDEX(V29:AG29,1,MATCH(Parametres!$B$3,V$1:AG$1,0))*IF(OR(C29="L",C29="S",C29="I"),-1,1)</f>
        <v>0</v>
      </c>
      <c r="AY29" s="487" t="s">
        <v>337</v>
      </c>
      <c r="AZ29" s="487" t="e">
        <f>+VLOOKUP($AJ29,Data_Validation!$A:$E,5,0)</f>
        <v>#N/A</v>
      </c>
    </row>
    <row r="30" spans="1:52" ht="15" customHeight="1">
      <c r="A30" s="706" t="s">
        <v>1148</v>
      </c>
      <c r="B30" s="706">
        <v>2026</v>
      </c>
      <c r="C30" s="706" t="s">
        <v>3244</v>
      </c>
      <c r="D30" s="706" t="s">
        <v>3245</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G02101</v>
      </c>
      <c r="AK30" s="905" t="str">
        <f t="shared" si="1"/>
        <v>SALAIRES CADRES NEUF/USAG</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G02101</v>
      </c>
      <c r="AU30" s="488" t="str">
        <f t="shared" si="4"/>
        <v>SALAIRES CADRES NEUF/USAG</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customHeight="1">
      <c r="A31" s="706" t="s">
        <v>1148</v>
      </c>
      <c r="B31" s="706">
        <v>2026</v>
      </c>
      <c r="C31" s="706" t="s">
        <v>1209</v>
      </c>
      <c r="D31" s="706" t="s">
        <v>1210</v>
      </c>
      <c r="E31" s="706" t="s">
        <v>333</v>
      </c>
      <c r="F31" s="706" t="s">
        <v>1104</v>
      </c>
      <c r="G31" s="706">
        <v>9807.44</v>
      </c>
      <c r="H31" s="706">
        <v>7722.16</v>
      </c>
      <c r="I31" s="706">
        <v>26760.54</v>
      </c>
      <c r="J31" s="706">
        <v>42903.17</v>
      </c>
      <c r="K31" s="706">
        <v>49287.5</v>
      </c>
      <c r="L31" s="706">
        <v>59476.06</v>
      </c>
      <c r="M31" s="706">
        <v>61204.06</v>
      </c>
      <c r="N31" s="706">
        <v>0</v>
      </c>
      <c r="O31" s="706">
        <v>0</v>
      </c>
      <c r="P31" s="706">
        <v>0</v>
      </c>
      <c r="Q31" s="706">
        <v>0</v>
      </c>
      <c r="R31" s="706">
        <v>0</v>
      </c>
      <c r="S31" s="706">
        <v>9912.68</v>
      </c>
      <c r="T31" s="706">
        <v>9912.68</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G0211</v>
      </c>
      <c r="AK31" s="905" t="str">
        <f t="shared" si="1"/>
        <v>SALAIRES CADRES NEUFS</v>
      </c>
      <c r="AL31" s="905">
        <f>IFERROR(INDEX(G31:R31,1,MATCH(Parametres!$B$3,G$1:R$1,0)-1)*IF(OR(F31="L",F31="S",F31="I"),-1,1),"")</f>
        <v>49287.5</v>
      </c>
      <c r="AM31" s="905">
        <f t="shared" si="2"/>
        <v>10188.559999999998</v>
      </c>
      <c r="AN31" s="905">
        <f>INDEX(G31:R31,1,MATCH(Parametres!$B$3,G$1:R$1,0))*IF(OR(F31="L",F31="S",F31="I"),-1,1)</f>
        <v>59476.06</v>
      </c>
      <c r="AO31" s="487" t="str">
        <f>+VLOOKUP($AJ31,Data_Validation!$A:$D,1,0)</f>
        <v>G0211</v>
      </c>
      <c r="AP31" s="487" t="str">
        <f>+VLOOKUP($AJ31,Data_Validation!$A:$D,3,0)</f>
        <v>Véhicules neufs</v>
      </c>
      <c r="AQ31" s="487" t="str">
        <f>+VLOOKUP($AJ31,Data_Validation!$A:$D,4,0)</f>
        <v>Salaires cadres</v>
      </c>
      <c r="AR31" s="487" t="s">
        <v>299</v>
      </c>
      <c r="AS31" s="487">
        <f>+VLOOKUP($AJ31,Data_Validation!$A:$E,5,0)</f>
        <v>0</v>
      </c>
      <c r="AT31" s="904" t="str">
        <f t="shared" si="3"/>
        <v>G0211</v>
      </c>
      <c r="AU31" s="488" t="str">
        <f t="shared" si="4"/>
        <v>SALAIRES CADRES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3260</v>
      </c>
      <c r="D32" s="706" t="s">
        <v>3261</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G021101</v>
      </c>
      <c r="AK32" s="905" t="str">
        <f t="shared" si="1"/>
        <v>SALAIRES CADRES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G021101</v>
      </c>
      <c r="AU32" s="488" t="str">
        <f t="shared" si="4"/>
        <v>SALAIRES CADRES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customHeight="1">
      <c r="A33" s="706" t="s">
        <v>1148</v>
      </c>
      <c r="B33" s="706">
        <v>2026</v>
      </c>
      <c r="C33" s="706" t="s">
        <v>1211</v>
      </c>
      <c r="D33" s="706" t="s">
        <v>1212</v>
      </c>
      <c r="E33" s="706" t="s">
        <v>333</v>
      </c>
      <c r="F33" s="706" t="s">
        <v>1104</v>
      </c>
      <c r="G33" s="706">
        <v>9499.2800000000007</v>
      </c>
      <c r="H33" s="706">
        <v>44235.47</v>
      </c>
      <c r="I33" s="706">
        <v>25517.41</v>
      </c>
      <c r="J33" s="706">
        <v>37993.120000000003</v>
      </c>
      <c r="K33" s="706">
        <v>43889.35</v>
      </c>
      <c r="L33" s="706">
        <v>53269.34</v>
      </c>
      <c r="M33" s="706">
        <v>55346.25</v>
      </c>
      <c r="N33" s="706">
        <v>0</v>
      </c>
      <c r="O33" s="706">
        <v>0</v>
      </c>
      <c r="P33" s="706">
        <v>0</v>
      </c>
      <c r="Q33" s="706">
        <v>0</v>
      </c>
      <c r="R33" s="706">
        <v>0</v>
      </c>
      <c r="S33" s="706">
        <v>8878.2199999999993</v>
      </c>
      <c r="T33" s="706">
        <v>8878.2199999999993</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G0212</v>
      </c>
      <c r="AK33" s="905" t="str">
        <f t="shared" si="1"/>
        <v>RENUM. CADRES-USAGES</v>
      </c>
      <c r="AL33" s="905">
        <f>IFERROR(INDEX(G33:R33,1,MATCH(Parametres!$B$3,G$1:R$1,0)-1)*IF(OR(F33="L",F33="S",F33="I"),-1,1),"")</f>
        <v>43889.35</v>
      </c>
      <c r="AM33" s="905">
        <f t="shared" si="2"/>
        <v>9379.989999999998</v>
      </c>
      <c r="AN33" s="905">
        <f>INDEX(G33:R33,1,MATCH(Parametres!$B$3,G$1:R$1,0))*IF(OR(F33="L",F33="S",F33="I"),-1,1)</f>
        <v>53269.34</v>
      </c>
      <c r="AO33" s="487" t="str">
        <f>+VLOOKUP($AJ33,Data_Validation!$A:$D,1,0)</f>
        <v>G0212</v>
      </c>
      <c r="AP33" s="487" t="str">
        <f>+VLOOKUP($AJ33,Data_Validation!$A:$D,3,0)</f>
        <v>Véhicules usagés</v>
      </c>
      <c r="AQ33" s="487" t="str">
        <f>+VLOOKUP($AJ33,Data_Validation!$A:$D,4,0)</f>
        <v>Salaires cadres</v>
      </c>
      <c r="AR33" s="487" t="s">
        <v>299</v>
      </c>
      <c r="AS33" s="487">
        <f>+VLOOKUP($AJ33,Data_Validation!$A:$E,5,0)</f>
        <v>0</v>
      </c>
      <c r="AT33" s="904" t="str">
        <f t="shared" si="3"/>
        <v>G0212</v>
      </c>
      <c r="AU33" s="488" t="str">
        <f t="shared" si="4"/>
        <v>RENUM. CADRES-USAGES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1213</v>
      </c>
      <c r="D34" s="706" t="s">
        <v>1214</v>
      </c>
      <c r="E34" s="706" t="s">
        <v>333</v>
      </c>
      <c r="F34" s="706" t="s">
        <v>1104</v>
      </c>
      <c r="G34" s="706">
        <v>0</v>
      </c>
      <c r="H34" s="706">
        <v>3118.35</v>
      </c>
      <c r="I34" s="706">
        <v>-0.01</v>
      </c>
      <c r="J34" s="706">
        <v>-0.01</v>
      </c>
      <c r="K34" s="706">
        <v>69982.66</v>
      </c>
      <c r="L34" s="706">
        <v>78315.990000000005</v>
      </c>
      <c r="M34" s="706">
        <v>78315.990000000005</v>
      </c>
      <c r="N34" s="706">
        <v>0</v>
      </c>
      <c r="O34" s="706">
        <v>0</v>
      </c>
      <c r="P34" s="706">
        <v>0</v>
      </c>
      <c r="Q34" s="706">
        <v>0</v>
      </c>
      <c r="R34" s="706">
        <v>0</v>
      </c>
      <c r="S34" s="706">
        <v>13052.67</v>
      </c>
      <c r="T34" s="706">
        <v>13052.67</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G0213</v>
      </c>
      <c r="AK34" s="905" t="str">
        <f t="shared" si="1"/>
        <v>SALAIRE CADRE U.S.A</v>
      </c>
      <c r="AL34" s="905">
        <f>IFERROR(INDEX(G34:R34,1,MATCH(Parametres!$B$3,G$1:R$1,0)-1)*IF(OR(F34="L",F34="S",F34="I"),-1,1),"")</f>
        <v>69982.66</v>
      </c>
      <c r="AM34" s="905">
        <f t="shared" si="2"/>
        <v>8333.3300000000017</v>
      </c>
      <c r="AN34" s="905">
        <f>INDEX(G34:R34,1,MATCH(Parametres!$B$3,G$1:R$1,0))*IF(OR(F34="L",F34="S",F34="I"),-1,1)</f>
        <v>78315.990000000005</v>
      </c>
      <c r="AO34" s="487" t="str">
        <f>+VLOOKUP($AJ34,Data_Validation!$A:$D,1,0)</f>
        <v>G0213</v>
      </c>
      <c r="AP34" s="487" t="str">
        <f>+VLOOKUP($AJ34,Data_Validation!$A:$D,3,0)</f>
        <v>Wholesale autres</v>
      </c>
      <c r="AQ34" s="487" t="str">
        <f>+VLOOKUP($AJ34,Data_Validation!$A:$D,4,0)</f>
        <v>Salaires cadres</v>
      </c>
      <c r="AR34" s="487" t="s">
        <v>299</v>
      </c>
      <c r="AS34" s="487">
        <f>+VLOOKUP($AJ34,Data_Validation!$A:$E,5,0)</f>
        <v>0</v>
      </c>
      <c r="AT34" s="904" t="str">
        <f t="shared" si="3"/>
        <v>G0213</v>
      </c>
      <c r="AU34" s="488" t="str">
        <f t="shared" si="4"/>
        <v>SALAIRE CADRE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1215</v>
      </c>
      <c r="D35" s="706" t="s">
        <v>1216</v>
      </c>
      <c r="E35" s="706" t="s">
        <v>333</v>
      </c>
      <c r="F35" s="706" t="s">
        <v>1104</v>
      </c>
      <c r="G35" s="706">
        <v>15129.08</v>
      </c>
      <c r="H35" s="706">
        <v>33074.9</v>
      </c>
      <c r="I35" s="706">
        <v>32042.81</v>
      </c>
      <c r="J35" s="706">
        <v>45191.360000000001</v>
      </c>
      <c r="K35" s="706">
        <v>46750.720000000001</v>
      </c>
      <c r="L35" s="706">
        <v>59322.21</v>
      </c>
      <c r="M35" s="706">
        <v>64185.67</v>
      </c>
      <c r="N35" s="706">
        <v>0</v>
      </c>
      <c r="O35" s="706">
        <v>0</v>
      </c>
      <c r="P35" s="706">
        <v>0</v>
      </c>
      <c r="Q35" s="706">
        <v>0</v>
      </c>
      <c r="R35" s="706">
        <v>0</v>
      </c>
      <c r="S35" s="706">
        <v>9887.0400000000009</v>
      </c>
      <c r="T35" s="706">
        <v>9887.0400000000009</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G0214</v>
      </c>
      <c r="AK35" s="905" t="str">
        <f t="shared" si="1"/>
        <v>SALAIRES CADRES SERV.</v>
      </c>
      <c r="AL35" s="905">
        <f>IFERROR(INDEX(G35:R35,1,MATCH(Parametres!$B$3,G$1:R$1,0)-1)*IF(OR(F35="L",F35="S",F35="I"),-1,1),"")</f>
        <v>46750.720000000001</v>
      </c>
      <c r="AM35" s="905">
        <f t="shared" si="2"/>
        <v>12571.489999999998</v>
      </c>
      <c r="AN35" s="905">
        <f>INDEX(G35:R35,1,MATCH(Parametres!$B$3,G$1:R$1,0))*IF(OR(F35="L",F35="S",F35="I"),-1,1)</f>
        <v>59322.21</v>
      </c>
      <c r="AO35" s="487" t="str">
        <f>+VLOOKUP($AJ35,Data_Validation!$A:$D,1,0)</f>
        <v>G0214</v>
      </c>
      <c r="AP35" s="487" t="str">
        <f>+VLOOKUP($AJ35,Data_Validation!$A:$D,3,0)</f>
        <v>Service</v>
      </c>
      <c r="AQ35" s="487" t="str">
        <f>+VLOOKUP($AJ35,Data_Validation!$A:$D,4,0)</f>
        <v>Salaires cadres</v>
      </c>
      <c r="AR35" s="487" t="s">
        <v>299</v>
      </c>
      <c r="AS35" s="487">
        <f>+VLOOKUP($AJ35,Data_Validation!$A:$E,5,0)</f>
        <v>0</v>
      </c>
      <c r="AT35" s="904" t="str">
        <f t="shared" si="3"/>
        <v>G0214</v>
      </c>
      <c r="AU35" s="488" t="str">
        <f t="shared" si="4"/>
        <v>SALAIRES CADRES SERV.</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customHeight="1">
      <c r="A36" s="706" t="s">
        <v>1148</v>
      </c>
      <c r="B36" s="706">
        <v>2026</v>
      </c>
      <c r="C36" s="706" t="s">
        <v>1217</v>
      </c>
      <c r="D36" s="706" t="s">
        <v>1218</v>
      </c>
      <c r="E36" s="706" t="s">
        <v>333</v>
      </c>
      <c r="F36" s="706" t="s">
        <v>1104</v>
      </c>
      <c r="G36" s="706">
        <v>8922.17</v>
      </c>
      <c r="H36" s="706">
        <v>17465.38</v>
      </c>
      <c r="I36" s="706">
        <v>22001.43</v>
      </c>
      <c r="J36" s="706">
        <v>30199.13</v>
      </c>
      <c r="K36" s="706">
        <v>37948.720000000001</v>
      </c>
      <c r="L36" s="706">
        <v>50127.83</v>
      </c>
      <c r="M36" s="706">
        <v>54031.69</v>
      </c>
      <c r="N36" s="706">
        <v>0</v>
      </c>
      <c r="O36" s="706">
        <v>0</v>
      </c>
      <c r="P36" s="706">
        <v>0</v>
      </c>
      <c r="Q36" s="706">
        <v>0</v>
      </c>
      <c r="R36" s="706">
        <v>0</v>
      </c>
      <c r="S36" s="706">
        <v>8354.64</v>
      </c>
      <c r="T36" s="706">
        <v>8354.64</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G0215</v>
      </c>
      <c r="AK36" s="905" t="str">
        <f t="shared" si="1"/>
        <v>RENUM. CADRES-CARROSSERIE</v>
      </c>
      <c r="AL36" s="905">
        <f>IFERROR(INDEX(G36:R36,1,MATCH(Parametres!$B$3,G$1:R$1,0)-1)*IF(OR(F36="L",F36="S",F36="I"),-1,1),"")</f>
        <v>37948.720000000001</v>
      </c>
      <c r="AM36" s="905">
        <f t="shared" si="2"/>
        <v>12179.11</v>
      </c>
      <c r="AN36" s="905">
        <f>INDEX(G36:R36,1,MATCH(Parametres!$B$3,G$1:R$1,0))*IF(OR(F36="L",F36="S",F36="I"),-1,1)</f>
        <v>50127.83</v>
      </c>
      <c r="AO36" s="487" t="str">
        <f>+VLOOKUP($AJ36,Data_Validation!$A:$D,1,0)</f>
        <v>G0215</v>
      </c>
      <c r="AP36" s="487" t="str">
        <f>+VLOOKUP($AJ36,Data_Validation!$A:$D,3,0)</f>
        <v>Carrosserie</v>
      </c>
      <c r="AQ36" s="487" t="str">
        <f>+VLOOKUP($AJ36,Data_Validation!$A:$D,4,0)</f>
        <v>Salaires cadres</v>
      </c>
      <c r="AR36" s="487" t="s">
        <v>299</v>
      </c>
      <c r="AS36" s="487">
        <f>+VLOOKUP($AJ36,Data_Validation!$A:$E,5,0)</f>
        <v>0</v>
      </c>
      <c r="AT36" s="904" t="str">
        <f t="shared" si="3"/>
        <v>G0215</v>
      </c>
      <c r="AU36" s="488" t="str">
        <f t="shared" si="4"/>
        <v>RENUM. CADRES-CARROSSERIE</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1219</v>
      </c>
      <c r="D37" s="706" t="s">
        <v>1220</v>
      </c>
      <c r="E37" s="706" t="s">
        <v>333</v>
      </c>
      <c r="F37" s="706" t="s">
        <v>1104</v>
      </c>
      <c r="G37" s="706">
        <v>2416.39</v>
      </c>
      <c r="H37" s="706">
        <v>4421.17</v>
      </c>
      <c r="I37" s="706">
        <v>1764.91</v>
      </c>
      <c r="J37" s="706">
        <v>3097.24</v>
      </c>
      <c r="K37" s="706">
        <v>4308.37</v>
      </c>
      <c r="L37" s="706">
        <v>10128.52</v>
      </c>
      <c r="M37" s="706">
        <v>12719.4</v>
      </c>
      <c r="N37" s="706">
        <v>0</v>
      </c>
      <c r="O37" s="706">
        <v>0</v>
      </c>
      <c r="P37" s="706">
        <v>0</v>
      </c>
      <c r="Q37" s="706">
        <v>0</v>
      </c>
      <c r="R37" s="706">
        <v>0</v>
      </c>
      <c r="S37" s="706">
        <v>1688.09</v>
      </c>
      <c r="T37" s="706">
        <v>1688.09</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G0216</v>
      </c>
      <c r="AK37" s="905" t="str">
        <f t="shared" si="1"/>
        <v>SALAIRES CADRES-PCES</v>
      </c>
      <c r="AL37" s="905">
        <f>IFERROR(INDEX(G37:R37,1,MATCH(Parametres!$B$3,G$1:R$1,0)-1)*IF(OR(F37="L",F37="S",F37="I"),-1,1),"")</f>
        <v>4308.37</v>
      </c>
      <c r="AM37" s="905">
        <f t="shared" si="2"/>
        <v>5820.1500000000005</v>
      </c>
      <c r="AN37" s="905">
        <f>INDEX(G37:R37,1,MATCH(Parametres!$B$3,G$1:R$1,0))*IF(OR(F37="L",F37="S",F37="I"),-1,1)</f>
        <v>10128.52</v>
      </c>
      <c r="AO37" s="487" t="str">
        <f>+VLOOKUP($AJ37,Data_Validation!$A:$D,1,0)</f>
        <v>G0216</v>
      </c>
      <c r="AP37" s="487" t="str">
        <f>+VLOOKUP($AJ37,Data_Validation!$A:$D,3,0)</f>
        <v>Pièces</v>
      </c>
      <c r="AQ37" s="487" t="str">
        <f>+VLOOKUP($AJ37,Data_Validation!$A:$D,4,0)</f>
        <v>Salaires cadres</v>
      </c>
      <c r="AR37" s="487" t="s">
        <v>299</v>
      </c>
      <c r="AS37" s="487">
        <f>+VLOOKUP($AJ37,Data_Validation!$A:$E,5,0)</f>
        <v>0</v>
      </c>
      <c r="AT37" s="904" t="str">
        <f t="shared" si="3"/>
        <v>G0216</v>
      </c>
      <c r="AU37" s="488" t="str">
        <f t="shared" si="4"/>
        <v>SALAIRES CADRES-PCES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customHeight="1">
      <c r="A38" s="706" t="s">
        <v>1148</v>
      </c>
      <c r="B38" s="706">
        <v>2026</v>
      </c>
      <c r="C38" s="706" t="s">
        <v>1221</v>
      </c>
      <c r="D38" s="706" t="s">
        <v>1222</v>
      </c>
      <c r="E38" s="706" t="s">
        <v>333</v>
      </c>
      <c r="F38" s="706" t="s">
        <v>1104</v>
      </c>
      <c r="G38" s="706">
        <v>0</v>
      </c>
      <c r="H38" s="706">
        <v>0</v>
      </c>
      <c r="I38" s="706">
        <v>0</v>
      </c>
      <c r="J38" s="706">
        <v>0</v>
      </c>
      <c r="K38" s="706">
        <v>0</v>
      </c>
      <c r="L38" s="706">
        <v>1560</v>
      </c>
      <c r="M38" s="706">
        <v>2235</v>
      </c>
      <c r="N38" s="706">
        <v>0</v>
      </c>
      <c r="O38" s="706">
        <v>0</v>
      </c>
      <c r="P38" s="706">
        <v>0</v>
      </c>
      <c r="Q38" s="706">
        <v>0</v>
      </c>
      <c r="R38" s="706">
        <v>0</v>
      </c>
      <c r="S38" s="706">
        <v>260</v>
      </c>
      <c r="T38" s="706">
        <v>260</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G0217</v>
      </c>
      <c r="AK38" s="905" t="str">
        <f t="shared" si="1"/>
        <v>RENUM. CADRES- SAAQ</v>
      </c>
      <c r="AL38" s="905">
        <f>IFERROR(INDEX(G38:R38,1,MATCH(Parametres!$B$3,G$1:R$1,0)-1)*IF(OR(F38="L",F38="S",F38="I"),-1,1),"")</f>
        <v>0</v>
      </c>
      <c r="AM38" s="905">
        <f t="shared" si="2"/>
        <v>1560</v>
      </c>
      <c r="AN38" s="905">
        <f>INDEX(G38:R38,1,MATCH(Parametres!$B$3,G$1:R$1,0))*IF(OR(F38="L",F38="S",F38="I"),-1,1)</f>
        <v>1560</v>
      </c>
      <c r="AO38" s="487" t="str">
        <f>+VLOOKUP($AJ38,Data_Validation!$A:$D,1,0)</f>
        <v>G0217</v>
      </c>
      <c r="AP38" s="487" t="str">
        <f>+VLOOKUP($AJ38,Data_Validation!$A:$D,3,0)</f>
        <v>SAAQ</v>
      </c>
      <c r="AQ38" s="487" t="str">
        <f>+VLOOKUP($AJ38,Data_Validation!$A:$D,4,0)</f>
        <v>Salaires cadres</v>
      </c>
      <c r="AR38" s="487" t="s">
        <v>299</v>
      </c>
      <c r="AS38" s="487">
        <f>+VLOOKUP($AJ38,Data_Validation!$A:$E,5,0)</f>
        <v>0</v>
      </c>
      <c r="AT38" s="904" t="str">
        <f t="shared" si="3"/>
        <v>G0217</v>
      </c>
      <c r="AU38" s="488" t="str">
        <f t="shared" si="4"/>
        <v>RENUM. CADRES-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1223</v>
      </c>
      <c r="D39" s="706" t="s">
        <v>1224</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G0220</v>
      </c>
      <c r="AK39" s="905" t="str">
        <f t="shared" si="1"/>
        <v>SALAIRE BUREAU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G0220</v>
      </c>
      <c r="AU39" s="488" t="str">
        <f t="shared" si="4"/>
        <v>SALAIRE BUREAU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customHeight="1">
      <c r="A40" s="706" t="s">
        <v>1148</v>
      </c>
      <c r="B40" s="706">
        <v>2026</v>
      </c>
      <c r="C40" s="706" t="s">
        <v>3246</v>
      </c>
      <c r="D40" s="706" t="s">
        <v>3247</v>
      </c>
      <c r="E40" s="706" t="s">
        <v>333</v>
      </c>
      <c r="F40" s="706" t="s">
        <v>1104</v>
      </c>
      <c r="G40" s="706">
        <v>0</v>
      </c>
      <c r="H40" s="706">
        <v>0</v>
      </c>
      <c r="I40" s="706">
        <v>0</v>
      </c>
      <c r="J40" s="706">
        <v>0</v>
      </c>
      <c r="K40" s="706">
        <v>0</v>
      </c>
      <c r="L40" s="706">
        <v>0</v>
      </c>
      <c r="M40" s="706">
        <v>0</v>
      </c>
      <c r="N40" s="706">
        <v>0</v>
      </c>
      <c r="O40" s="706">
        <v>0</v>
      </c>
      <c r="P40" s="706">
        <v>0</v>
      </c>
      <c r="Q40" s="706">
        <v>0</v>
      </c>
      <c r="R40" s="706">
        <v>0</v>
      </c>
      <c r="S40" s="706">
        <v>0</v>
      </c>
      <c r="T40" s="706">
        <v>0</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G02201</v>
      </c>
      <c r="AK40" s="905" t="str">
        <f t="shared" si="1"/>
        <v>SALAIRES BUREAU NEUF/USAG</v>
      </c>
      <c r="AL40" s="905">
        <f>IFERROR(INDEX(G40:R40,1,MATCH(Parametres!$B$3,G$1:R$1,0)-1)*IF(OR(F40="L",F40="S",F40="I"),-1,1),"")</f>
        <v>0</v>
      </c>
      <c r="AM40" s="905">
        <f t="shared" si="2"/>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t="str">
        <f t="shared" si="3"/>
        <v>G02201</v>
      </c>
      <c r="AU40" s="488" t="str">
        <f t="shared" si="4"/>
        <v>SALAIRES BUREAU NEUF/USAG</v>
      </c>
      <c r="AV40" s="899">
        <f>IFERROR(INDEX(V40:AG40,1,MATCH(Parametres!$B$3,V$1:AG$1,0)-1)*IF(OR(C40="L",C40="S",C40="I"),-1,1),"")</f>
        <v>0</v>
      </c>
      <c r="AW40" s="899">
        <f t="shared" si="5"/>
        <v>0</v>
      </c>
      <c r="AX40" s="899">
        <f>INDEX(V40:AG40,1,MATCH(Parametres!$B$3,V$1:AG$1,0))*IF(OR(C40="L",C40="S",C40="I"),-1,1)</f>
        <v>0</v>
      </c>
      <c r="AY40" s="487" t="s">
        <v>337</v>
      </c>
      <c r="AZ40" s="487" t="e">
        <f>+VLOOKUP($AJ40,Data_Validation!$A:$E,5,0)</f>
        <v>#N/A</v>
      </c>
    </row>
    <row r="41" spans="1:52" ht="15" customHeight="1">
      <c r="A41" s="706" t="s">
        <v>1148</v>
      </c>
      <c r="B41" s="706">
        <v>2026</v>
      </c>
      <c r="C41" s="706" t="s">
        <v>1225</v>
      </c>
      <c r="D41" s="706" t="s">
        <v>1226</v>
      </c>
      <c r="E41" s="706" t="s">
        <v>333</v>
      </c>
      <c r="F41" s="706" t="s">
        <v>1104</v>
      </c>
      <c r="G41" s="706">
        <v>28874.27</v>
      </c>
      <c r="H41" s="706">
        <v>54711.7</v>
      </c>
      <c r="I41" s="706">
        <v>79252.89</v>
      </c>
      <c r="J41" s="706">
        <v>103857.23</v>
      </c>
      <c r="K41" s="706">
        <v>126875.56</v>
      </c>
      <c r="L41" s="706">
        <v>137663.75</v>
      </c>
      <c r="M41" s="706">
        <v>142423.21</v>
      </c>
      <c r="N41" s="706">
        <v>0</v>
      </c>
      <c r="O41" s="706">
        <v>0</v>
      </c>
      <c r="P41" s="706">
        <v>0</v>
      </c>
      <c r="Q41" s="706">
        <v>0</v>
      </c>
      <c r="R41" s="706">
        <v>0</v>
      </c>
      <c r="S41" s="706">
        <v>22943.96</v>
      </c>
      <c r="T41" s="706">
        <v>22943.96</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G0221</v>
      </c>
      <c r="AK41" s="905" t="str">
        <f t="shared" si="1"/>
        <v>SALAIRES BUREAU NEUFS</v>
      </c>
      <c r="AL41" s="905">
        <f>IFERROR(INDEX(G41:R41,1,MATCH(Parametres!$B$3,G$1:R$1,0)-1)*IF(OR(F41="L",F41="S",F41="I"),-1,1),"")</f>
        <v>126875.56</v>
      </c>
      <c r="AM41" s="905">
        <f t="shared" si="2"/>
        <v>10788.190000000002</v>
      </c>
      <c r="AN41" s="905">
        <f>INDEX(G41:R41,1,MATCH(Parametres!$B$3,G$1:R$1,0))*IF(OR(F41="L",F41="S",F41="I"),-1,1)</f>
        <v>137663.75</v>
      </c>
      <c r="AO41" s="487" t="str">
        <f>+VLOOKUP($AJ41,Data_Validation!$A:$D,1,0)</f>
        <v>G0221</v>
      </c>
      <c r="AP41" s="487" t="str">
        <f>+VLOOKUP($AJ41,Data_Validation!$A:$D,3,0)</f>
        <v>Véhicules neufs</v>
      </c>
      <c r="AQ41" s="487" t="str">
        <f>+VLOOKUP($AJ41,Data_Validation!$A:$D,4,0)</f>
        <v>Salaires commis</v>
      </c>
      <c r="AR41" s="487" t="s">
        <v>299</v>
      </c>
      <c r="AS41" s="487">
        <f>+VLOOKUP($AJ41,Data_Validation!$A:$E,5,0)</f>
        <v>0</v>
      </c>
      <c r="AT41" s="904" t="str">
        <f t="shared" si="3"/>
        <v>G0221</v>
      </c>
      <c r="AU41" s="488" t="str">
        <f t="shared" si="4"/>
        <v>SALAIRES BUREAU NEUFS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customHeight="1">
      <c r="A42" s="706" t="s">
        <v>1148</v>
      </c>
      <c r="B42" s="706">
        <v>2026</v>
      </c>
      <c r="C42" s="706" t="s">
        <v>3262</v>
      </c>
      <c r="D42" s="706" t="s">
        <v>3263</v>
      </c>
      <c r="E42" s="706" t="s">
        <v>333</v>
      </c>
      <c r="F42" s="706" t="s">
        <v>1104</v>
      </c>
      <c r="G42" s="706">
        <v>0</v>
      </c>
      <c r="H42" s="706">
        <v>0</v>
      </c>
      <c r="I42" s="706">
        <v>0</v>
      </c>
      <c r="J42" s="706">
        <v>0</v>
      </c>
      <c r="K42" s="706">
        <v>0</v>
      </c>
      <c r="L42" s="706">
        <v>0</v>
      </c>
      <c r="M42" s="706">
        <v>0</v>
      </c>
      <c r="N42" s="706">
        <v>0</v>
      </c>
      <c r="O42" s="706">
        <v>0</v>
      </c>
      <c r="P42" s="706">
        <v>0</v>
      </c>
      <c r="Q42" s="706">
        <v>0</v>
      </c>
      <c r="R42" s="706">
        <v>0</v>
      </c>
      <c r="S42" s="706">
        <v>0</v>
      </c>
      <c r="T42" s="706">
        <v>0</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G022101</v>
      </c>
      <c r="AK42" s="905" t="str">
        <f t="shared" si="1"/>
        <v>SALAIRES BUREAU NEUFS/USA</v>
      </c>
      <c r="AL42" s="905">
        <f>IFERROR(INDEX(G42:R42,1,MATCH(Parametres!$B$3,G$1:R$1,0)-1)*IF(OR(F42="L",F42="S",F42="I"),-1,1),"")</f>
        <v>0</v>
      </c>
      <c r="AM42" s="905">
        <f t="shared" si="2"/>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t="str">
        <f t="shared" si="3"/>
        <v>G022101</v>
      </c>
      <c r="AU42" s="488" t="str">
        <f t="shared" si="4"/>
        <v>SALAIRES BUREAU NEUFS/USA</v>
      </c>
      <c r="AV42" s="899">
        <f>IFERROR(INDEX(V42:AG42,1,MATCH(Parametres!$B$3,V$1:AG$1,0)-1)*IF(OR(C42="L",C42="S",C42="I"),-1,1),"")</f>
        <v>0</v>
      </c>
      <c r="AW42" s="899">
        <f t="shared" si="5"/>
        <v>0</v>
      </c>
      <c r="AX42" s="899">
        <f>INDEX(V42:AG42,1,MATCH(Parametres!$B$3,V$1:AG$1,0))*IF(OR(C42="L",C42="S",C42="I"),-1,1)</f>
        <v>0</v>
      </c>
      <c r="AY42" s="487" t="s">
        <v>337</v>
      </c>
      <c r="AZ42" s="487" t="e">
        <f>+VLOOKUP($AJ42,Data_Validation!$A:$E,5,0)</f>
        <v>#N/A</v>
      </c>
    </row>
    <row r="43" spans="1:52" ht="15" customHeight="1">
      <c r="A43" s="706" t="s">
        <v>1148</v>
      </c>
      <c r="B43" s="706">
        <v>2026</v>
      </c>
      <c r="C43" s="706" t="s">
        <v>1227</v>
      </c>
      <c r="D43" s="706" t="s">
        <v>1228</v>
      </c>
      <c r="E43" s="706" t="s">
        <v>333</v>
      </c>
      <c r="F43" s="706" t="s">
        <v>1104</v>
      </c>
      <c r="G43" s="706">
        <v>4829.41</v>
      </c>
      <c r="H43" s="706">
        <v>9668.2800000000007</v>
      </c>
      <c r="I43" s="706">
        <v>14717.1</v>
      </c>
      <c r="J43" s="706">
        <v>19587.07</v>
      </c>
      <c r="K43" s="706">
        <v>16967.21</v>
      </c>
      <c r="L43" s="706">
        <v>24159.34</v>
      </c>
      <c r="M43" s="706">
        <v>27332.31</v>
      </c>
      <c r="N43" s="706">
        <v>0</v>
      </c>
      <c r="O43" s="706">
        <v>0</v>
      </c>
      <c r="P43" s="706">
        <v>0</v>
      </c>
      <c r="Q43" s="706">
        <v>0</v>
      </c>
      <c r="R43" s="706">
        <v>0</v>
      </c>
      <c r="S43" s="706">
        <v>4026.56</v>
      </c>
      <c r="T43" s="706">
        <v>4026.56</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G0222</v>
      </c>
      <c r="AK43" s="905" t="str">
        <f t="shared" si="1"/>
        <v>SALAIRES BUREAU USAGES</v>
      </c>
      <c r="AL43" s="905">
        <f>IFERROR(INDEX(G43:R43,1,MATCH(Parametres!$B$3,G$1:R$1,0)-1)*IF(OR(F43="L",F43="S",F43="I"),-1,1),"")</f>
        <v>16967.21</v>
      </c>
      <c r="AM43" s="905">
        <f t="shared" si="2"/>
        <v>7192.130000000001</v>
      </c>
      <c r="AN43" s="905">
        <f>INDEX(G43:R43,1,MATCH(Parametres!$B$3,G$1:R$1,0))*IF(OR(F43="L",F43="S",F43="I"),-1,1)</f>
        <v>24159.34</v>
      </c>
      <c r="AO43" s="487" t="str">
        <f>+VLOOKUP($AJ43,Data_Validation!$A:$D,1,0)</f>
        <v>G0222</v>
      </c>
      <c r="AP43" s="487" t="str">
        <f>+VLOOKUP($AJ43,Data_Validation!$A:$D,3,0)</f>
        <v>Véhicules usagés</v>
      </c>
      <c r="AQ43" s="487" t="str">
        <f>+VLOOKUP($AJ43,Data_Validation!$A:$D,4,0)</f>
        <v>Salaires commis</v>
      </c>
      <c r="AR43" s="487" t="s">
        <v>299</v>
      </c>
      <c r="AS43" s="487">
        <f>+VLOOKUP($AJ43,Data_Validation!$A:$E,5,0)</f>
        <v>0</v>
      </c>
      <c r="AT43" s="904" t="str">
        <f t="shared" si="3"/>
        <v>G0222</v>
      </c>
      <c r="AU43" s="488" t="str">
        <f t="shared" si="4"/>
        <v>SALAIRES BUREAU USAGES</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1229</v>
      </c>
      <c r="D44" s="706" t="s">
        <v>1230</v>
      </c>
      <c r="E44" s="706" t="s">
        <v>333</v>
      </c>
      <c r="F44" s="706" t="s">
        <v>1104</v>
      </c>
      <c r="G44" s="706">
        <v>17730.63</v>
      </c>
      <c r="H44" s="706">
        <v>13249.11</v>
      </c>
      <c r="I44" s="706">
        <v>22464.82</v>
      </c>
      <c r="J44" s="706">
        <v>34584.22</v>
      </c>
      <c r="K44" s="706">
        <v>51811.01</v>
      </c>
      <c r="L44" s="706">
        <v>38756.81</v>
      </c>
      <c r="M44" s="706">
        <v>42072.81</v>
      </c>
      <c r="N44" s="706">
        <v>0</v>
      </c>
      <c r="O44" s="706">
        <v>0</v>
      </c>
      <c r="P44" s="706">
        <v>0</v>
      </c>
      <c r="Q44" s="706">
        <v>0</v>
      </c>
      <c r="R44" s="706">
        <v>0</v>
      </c>
      <c r="S44" s="706">
        <v>6459.47</v>
      </c>
      <c r="T44" s="706">
        <v>6459.47</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G0223</v>
      </c>
      <c r="AK44" s="905" t="str">
        <f t="shared" si="1"/>
        <v>SALAIRES BUREAU U.S.A</v>
      </c>
      <c r="AL44" s="905">
        <f>IFERROR(INDEX(G44:R44,1,MATCH(Parametres!$B$3,G$1:R$1,0)-1)*IF(OR(F44="L",F44="S",F44="I"),-1,1),"")</f>
        <v>51811.01</v>
      </c>
      <c r="AM44" s="905">
        <f t="shared" si="2"/>
        <v>-13054.200000000004</v>
      </c>
      <c r="AN44" s="905">
        <f>INDEX(G44:R44,1,MATCH(Parametres!$B$3,G$1:R$1,0))*IF(OR(F44="L",F44="S",F44="I"),-1,1)</f>
        <v>38756.81</v>
      </c>
      <c r="AO44" s="487" t="str">
        <f>+VLOOKUP($AJ44,Data_Validation!$A:$D,1,0)</f>
        <v>G0223</v>
      </c>
      <c r="AP44" s="487" t="str">
        <f>+VLOOKUP($AJ44,Data_Validation!$A:$D,3,0)</f>
        <v>Wholesale autres</v>
      </c>
      <c r="AQ44" s="487" t="str">
        <f>+VLOOKUP($AJ44,Data_Validation!$A:$D,4,0)</f>
        <v>Salaires commis</v>
      </c>
      <c r="AR44" s="487" t="s">
        <v>299</v>
      </c>
      <c r="AS44" s="487">
        <f>+VLOOKUP($AJ44,Data_Validation!$A:$E,5,0)</f>
        <v>0</v>
      </c>
      <c r="AT44" s="904" t="str">
        <f t="shared" si="3"/>
        <v>G0223</v>
      </c>
      <c r="AU44" s="488" t="str">
        <f t="shared" si="4"/>
        <v>SALAIRES BUREAU U.S.A</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customHeight="1">
      <c r="A45" s="706" t="s">
        <v>1148</v>
      </c>
      <c r="B45" s="706">
        <v>2026</v>
      </c>
      <c r="C45" s="706" t="s">
        <v>1231</v>
      </c>
      <c r="D45" s="706" t="s">
        <v>1232</v>
      </c>
      <c r="E45" s="706" t="s">
        <v>333</v>
      </c>
      <c r="F45" s="706" t="s">
        <v>1104</v>
      </c>
      <c r="G45" s="706">
        <v>30324.36</v>
      </c>
      <c r="H45" s="706">
        <v>59401.72</v>
      </c>
      <c r="I45" s="706">
        <v>97239.57</v>
      </c>
      <c r="J45" s="706">
        <v>127399.87</v>
      </c>
      <c r="K45" s="706">
        <v>151460.82</v>
      </c>
      <c r="L45" s="706">
        <v>160163</v>
      </c>
      <c r="M45" s="706">
        <v>163963.82</v>
      </c>
      <c r="N45" s="706">
        <v>0</v>
      </c>
      <c r="O45" s="706">
        <v>0</v>
      </c>
      <c r="P45" s="706">
        <v>0</v>
      </c>
      <c r="Q45" s="706">
        <v>0</v>
      </c>
      <c r="R45" s="706">
        <v>0</v>
      </c>
      <c r="S45" s="706">
        <v>26693.83</v>
      </c>
      <c r="T45" s="706">
        <v>26693.83</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G0224</v>
      </c>
      <c r="AK45" s="905" t="str">
        <f t="shared" si="1"/>
        <v>SALAIRES BUREAU SERVICE</v>
      </c>
      <c r="AL45" s="905">
        <f>IFERROR(INDEX(G45:R45,1,MATCH(Parametres!$B$3,G$1:R$1,0)-1)*IF(OR(F45="L",F45="S",F45="I"),-1,1),"")</f>
        <v>151460.82</v>
      </c>
      <c r="AM45" s="905">
        <f t="shared" si="2"/>
        <v>8702.179999999993</v>
      </c>
      <c r="AN45" s="905">
        <f>INDEX(G45:R45,1,MATCH(Parametres!$B$3,G$1:R$1,0))*IF(OR(F45="L",F45="S",F45="I"),-1,1)</f>
        <v>160163</v>
      </c>
      <c r="AO45" s="487" t="str">
        <f>+VLOOKUP($AJ45,Data_Validation!$A:$D,1,0)</f>
        <v>G0224</v>
      </c>
      <c r="AP45" s="487" t="str">
        <f>+VLOOKUP($AJ45,Data_Validation!$A:$D,3,0)</f>
        <v>Service</v>
      </c>
      <c r="AQ45" s="487" t="str">
        <f>+VLOOKUP($AJ45,Data_Validation!$A:$D,4,0)</f>
        <v>Salaires commis</v>
      </c>
      <c r="AR45" s="487" t="s">
        <v>299</v>
      </c>
      <c r="AS45" s="487">
        <f>+VLOOKUP($AJ45,Data_Validation!$A:$E,5,0)</f>
        <v>0</v>
      </c>
      <c r="AT45" s="904" t="str">
        <f t="shared" si="3"/>
        <v>G0224</v>
      </c>
      <c r="AU45" s="488" t="str">
        <f t="shared" si="4"/>
        <v>SALAIRES BUREAU SERVICE</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2026</v>
      </c>
      <c r="C46" s="706" t="s">
        <v>1233</v>
      </c>
      <c r="D46" s="706" t="s">
        <v>1234</v>
      </c>
      <c r="E46" s="706" t="s">
        <v>333</v>
      </c>
      <c r="F46" s="706" t="s">
        <v>1104</v>
      </c>
      <c r="G46" s="706">
        <v>6315.86</v>
      </c>
      <c r="H46" s="706">
        <v>13115.37</v>
      </c>
      <c r="I46" s="706">
        <v>19636.3</v>
      </c>
      <c r="J46" s="706">
        <v>26532.49</v>
      </c>
      <c r="K46" s="706">
        <v>33097.050000000003</v>
      </c>
      <c r="L46" s="706">
        <v>40223.82</v>
      </c>
      <c r="M46" s="706">
        <v>43089.760000000002</v>
      </c>
      <c r="N46" s="706">
        <v>0</v>
      </c>
      <c r="O46" s="706">
        <v>0</v>
      </c>
      <c r="P46" s="706">
        <v>0</v>
      </c>
      <c r="Q46" s="706">
        <v>0</v>
      </c>
      <c r="R46" s="706">
        <v>0</v>
      </c>
      <c r="S46" s="706">
        <v>6703.97</v>
      </c>
      <c r="T46" s="706">
        <v>6703.97</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G0225</v>
      </c>
      <c r="AK46" s="905" t="str">
        <f t="shared" si="1"/>
        <v>SALAIRES BUREAU CARROS.</v>
      </c>
      <c r="AL46" s="905">
        <f>IFERROR(INDEX(G46:R46,1,MATCH(Parametres!$B$3,G$1:R$1,0)-1)*IF(OR(F46="L",F46="S",F46="I"),-1,1),"")</f>
        <v>33097.050000000003</v>
      </c>
      <c r="AM46" s="905">
        <f t="shared" si="2"/>
        <v>7126.7699999999968</v>
      </c>
      <c r="AN46" s="905">
        <f>INDEX(G46:R46,1,MATCH(Parametres!$B$3,G$1:R$1,0))*IF(OR(F46="L",F46="S",F46="I"),-1,1)</f>
        <v>40223.82</v>
      </c>
      <c r="AO46" s="487" t="str">
        <f>+VLOOKUP($AJ46,Data_Validation!$A:$D,1,0)</f>
        <v>G0225</v>
      </c>
      <c r="AP46" s="487" t="str">
        <f>+VLOOKUP($AJ46,Data_Validation!$A:$D,3,0)</f>
        <v>Carrosserie</v>
      </c>
      <c r="AQ46" s="487" t="str">
        <f>+VLOOKUP($AJ46,Data_Validation!$A:$D,4,0)</f>
        <v>Salaires commis</v>
      </c>
      <c r="AR46" s="487" t="s">
        <v>299</v>
      </c>
      <c r="AS46" s="487">
        <f>+VLOOKUP($AJ46,Data_Validation!$A:$E,5,0)</f>
        <v>0</v>
      </c>
      <c r="AT46" s="904" t="str">
        <f t="shared" si="3"/>
        <v>G0225</v>
      </c>
      <c r="AU46" s="488" t="str">
        <f t="shared" si="4"/>
        <v>SALAIRES BUREAU CARROS.</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customHeight="1">
      <c r="A47" s="706" t="s">
        <v>1148</v>
      </c>
      <c r="B47" s="706">
        <v>2026</v>
      </c>
      <c r="C47" s="706" t="s">
        <v>1235</v>
      </c>
      <c r="D47" s="706" t="s">
        <v>1236</v>
      </c>
      <c r="E47" s="706" t="s">
        <v>333</v>
      </c>
      <c r="F47" s="706" t="s">
        <v>1104</v>
      </c>
      <c r="G47" s="706">
        <v>2671.35</v>
      </c>
      <c r="H47" s="706">
        <v>5403.95</v>
      </c>
      <c r="I47" s="706">
        <v>8272.8700000000008</v>
      </c>
      <c r="J47" s="706">
        <v>11051.85</v>
      </c>
      <c r="K47" s="706">
        <v>13899.88</v>
      </c>
      <c r="L47" s="706">
        <v>16800.599999999999</v>
      </c>
      <c r="M47" s="706">
        <v>18067.53</v>
      </c>
      <c r="N47" s="706">
        <v>0</v>
      </c>
      <c r="O47" s="706">
        <v>0</v>
      </c>
      <c r="P47" s="706">
        <v>0</v>
      </c>
      <c r="Q47" s="706">
        <v>0</v>
      </c>
      <c r="R47" s="706">
        <v>0</v>
      </c>
      <c r="S47" s="706">
        <v>2800.1</v>
      </c>
      <c r="T47" s="706">
        <v>2800.1</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G0226</v>
      </c>
      <c r="AK47" s="905" t="str">
        <f t="shared" si="1"/>
        <v>SALAIRES BUREAU PCES</v>
      </c>
      <c r="AL47" s="905">
        <f>IFERROR(INDEX(G47:R47,1,MATCH(Parametres!$B$3,G$1:R$1,0)-1)*IF(OR(F47="L",F47="S",F47="I"),-1,1),"")</f>
        <v>13899.88</v>
      </c>
      <c r="AM47" s="905">
        <f t="shared" si="2"/>
        <v>2900.7199999999993</v>
      </c>
      <c r="AN47" s="905">
        <f>INDEX(G47:R47,1,MATCH(Parametres!$B$3,G$1:R$1,0))*IF(OR(F47="L",F47="S",F47="I"),-1,1)</f>
        <v>16800.599999999999</v>
      </c>
      <c r="AO47" s="487" t="str">
        <f>+VLOOKUP($AJ47,Data_Validation!$A:$D,1,0)</f>
        <v>G0226</v>
      </c>
      <c r="AP47" s="487" t="str">
        <f>+VLOOKUP($AJ47,Data_Validation!$A:$D,3,0)</f>
        <v>Pièces</v>
      </c>
      <c r="AQ47" s="487" t="str">
        <f>+VLOOKUP($AJ47,Data_Validation!$A:$D,4,0)</f>
        <v>Salaires commis</v>
      </c>
      <c r="AR47" s="487" t="s">
        <v>299</v>
      </c>
      <c r="AS47" s="487">
        <f>+VLOOKUP($AJ47,Data_Validation!$A:$E,5,0)</f>
        <v>0</v>
      </c>
      <c r="AT47" s="904" t="str">
        <f t="shared" si="3"/>
        <v>G0226</v>
      </c>
      <c r="AU47" s="488" t="str">
        <f t="shared" si="4"/>
        <v>SALAIRES BUREAU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1237</v>
      </c>
      <c r="D48" s="706" t="s">
        <v>1238</v>
      </c>
      <c r="E48" s="706" t="s">
        <v>333</v>
      </c>
      <c r="F48" s="706" t="s">
        <v>1104</v>
      </c>
      <c r="G48" s="706">
        <v>0</v>
      </c>
      <c r="H48" s="706">
        <v>0</v>
      </c>
      <c r="I48" s="706">
        <v>0</v>
      </c>
      <c r="J48" s="706">
        <v>0</v>
      </c>
      <c r="K48" s="706">
        <v>8313.8799999999992</v>
      </c>
      <c r="L48" s="706">
        <v>15663.04</v>
      </c>
      <c r="M48" s="706">
        <v>19267.96</v>
      </c>
      <c r="N48" s="706">
        <v>0</v>
      </c>
      <c r="O48" s="706">
        <v>0</v>
      </c>
      <c r="P48" s="706">
        <v>0</v>
      </c>
      <c r="Q48" s="706">
        <v>0</v>
      </c>
      <c r="R48" s="706">
        <v>0</v>
      </c>
      <c r="S48" s="706">
        <v>2610.5100000000002</v>
      </c>
      <c r="T48" s="706">
        <v>2610.5100000000002</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G0227</v>
      </c>
      <c r="AK48" s="905" t="str">
        <f t="shared" si="1"/>
        <v>SALAIRES BUREAU SAAQ</v>
      </c>
      <c r="AL48" s="905">
        <f>IFERROR(INDEX(G48:R48,1,MATCH(Parametres!$B$3,G$1:R$1,0)-1)*IF(OR(F48="L",F48="S",F48="I"),-1,1),"")</f>
        <v>8313.8799999999992</v>
      </c>
      <c r="AM48" s="905">
        <f t="shared" si="2"/>
        <v>7349.1600000000017</v>
      </c>
      <c r="AN48" s="905">
        <f>INDEX(G48:R48,1,MATCH(Parametres!$B$3,G$1:R$1,0))*IF(OR(F48="L",F48="S",F48="I"),-1,1)</f>
        <v>15663.04</v>
      </c>
      <c r="AO48" s="487" t="str">
        <f>+VLOOKUP($AJ48,Data_Validation!$A:$D,1,0)</f>
        <v>G0227</v>
      </c>
      <c r="AP48" s="487" t="str">
        <f>+VLOOKUP($AJ48,Data_Validation!$A:$D,3,0)</f>
        <v>SAAQ</v>
      </c>
      <c r="AQ48" s="487" t="str">
        <f>+VLOOKUP($AJ48,Data_Validation!$A:$D,4,0)</f>
        <v>Salaires commis</v>
      </c>
      <c r="AR48" s="487" t="s">
        <v>299</v>
      </c>
      <c r="AS48" s="487">
        <f>+VLOOKUP($AJ48,Data_Validation!$A:$E,5,0)</f>
        <v>0</v>
      </c>
      <c r="AT48" s="904" t="str">
        <f t="shared" si="3"/>
        <v>G0227</v>
      </c>
      <c r="AU48" s="488" t="str">
        <f t="shared" si="4"/>
        <v>SALAIRES BUREAU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1239</v>
      </c>
      <c r="D49" s="706" t="s">
        <v>1240</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G0230</v>
      </c>
      <c r="AK49" s="905" t="str">
        <f t="shared" si="1"/>
        <v>SALAIRES AUTRES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G0230</v>
      </c>
      <c r="AU49" s="488" t="str">
        <f t="shared" si="4"/>
        <v>SALAIRES AUTRES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customHeight="1">
      <c r="A50" s="706" t="s">
        <v>1148</v>
      </c>
      <c r="B50" s="706">
        <v>2026</v>
      </c>
      <c r="C50" s="706" t="s">
        <v>3248</v>
      </c>
      <c r="D50" s="706" t="s">
        <v>3249</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G02301</v>
      </c>
      <c r="AK50" s="905" t="str">
        <f t="shared" si="1"/>
        <v>SALAIRES AUTRES NEUF/USAG</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G02301</v>
      </c>
      <c r="AU50" s="488" t="str">
        <f t="shared" si="4"/>
        <v>SALAIRES AUTRES NEUF/USAG</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1241</v>
      </c>
      <c r="D51" s="706" t="s">
        <v>1242</v>
      </c>
      <c r="E51" s="706" t="s">
        <v>333</v>
      </c>
      <c r="F51" s="706" t="s">
        <v>1104</v>
      </c>
      <c r="G51" s="706">
        <v>3167.98</v>
      </c>
      <c r="H51" s="706">
        <v>7221.74</v>
      </c>
      <c r="I51" s="706">
        <v>11384.98</v>
      </c>
      <c r="J51" s="706">
        <v>16989.490000000002</v>
      </c>
      <c r="K51" s="706">
        <v>24200.05</v>
      </c>
      <c r="L51" s="706">
        <v>28730.63</v>
      </c>
      <c r="M51" s="706">
        <v>29945.98</v>
      </c>
      <c r="N51" s="706">
        <v>0</v>
      </c>
      <c r="O51" s="706">
        <v>0</v>
      </c>
      <c r="P51" s="706">
        <v>0</v>
      </c>
      <c r="Q51" s="706">
        <v>0</v>
      </c>
      <c r="R51" s="706">
        <v>0</v>
      </c>
      <c r="S51" s="706">
        <v>4788.4399999999996</v>
      </c>
      <c r="T51" s="706">
        <v>4788.4399999999996</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G0231</v>
      </c>
      <c r="AK51" s="905" t="str">
        <f t="shared" si="1"/>
        <v>SALAIRES AUTRES NEUFS</v>
      </c>
      <c r="AL51" s="905">
        <f>IFERROR(INDEX(G51:R51,1,MATCH(Parametres!$B$3,G$1:R$1,0)-1)*IF(OR(F51="L",F51="S",F51="I"),-1,1),"")</f>
        <v>24200.05</v>
      </c>
      <c r="AM51" s="905">
        <f t="shared" si="2"/>
        <v>4530.5800000000017</v>
      </c>
      <c r="AN51" s="905">
        <f>INDEX(G51:R51,1,MATCH(Parametres!$B$3,G$1:R$1,0))*IF(OR(F51="L",F51="S",F51="I"),-1,1)</f>
        <v>28730.63</v>
      </c>
      <c r="AO51" s="487" t="str">
        <f>+VLOOKUP($AJ51,Data_Validation!$A:$D,1,0)</f>
        <v>G0231</v>
      </c>
      <c r="AP51" s="487" t="str">
        <f>+VLOOKUP($AJ51,Data_Validation!$A:$D,3,0)</f>
        <v>Véhicules neufs</v>
      </c>
      <c r="AQ51" s="487" t="str">
        <f>+VLOOKUP($AJ51,Data_Validation!$A:$D,4,0)</f>
        <v>Salaires autres</v>
      </c>
      <c r="AR51" s="487" t="s">
        <v>299</v>
      </c>
      <c r="AS51" s="487">
        <f>+VLOOKUP($AJ51,Data_Validation!$A:$E,5,0)</f>
        <v>0</v>
      </c>
      <c r="AT51" s="904" t="str">
        <f t="shared" si="3"/>
        <v>G0231</v>
      </c>
      <c r="AU51" s="488" t="str">
        <f t="shared" si="4"/>
        <v>SALAIRES AUTRES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3264</v>
      </c>
      <c r="D52" s="706" t="s">
        <v>3265</v>
      </c>
      <c r="E52" s="706" t="s">
        <v>333</v>
      </c>
      <c r="F52" s="706" t="s">
        <v>1104</v>
      </c>
      <c r="G52" s="706">
        <v>0</v>
      </c>
      <c r="H52" s="706">
        <v>0</v>
      </c>
      <c r="I52" s="706">
        <v>0</v>
      </c>
      <c r="J52" s="706">
        <v>0</v>
      </c>
      <c r="K52" s="706">
        <v>0</v>
      </c>
      <c r="L52" s="706">
        <v>0</v>
      </c>
      <c r="M52" s="706">
        <v>0</v>
      </c>
      <c r="N52" s="706">
        <v>0</v>
      </c>
      <c r="O52" s="706">
        <v>0</v>
      </c>
      <c r="P52" s="706">
        <v>0</v>
      </c>
      <c r="Q52" s="706">
        <v>0</v>
      </c>
      <c r="R52" s="706">
        <v>0</v>
      </c>
      <c r="S52" s="706">
        <v>0</v>
      </c>
      <c r="T52" s="706">
        <v>0</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G023101</v>
      </c>
      <c r="AK52" s="905" t="str">
        <f t="shared" si="1"/>
        <v>SALAIRES AUTRES NEUFS/USA</v>
      </c>
      <c r="AL52" s="905">
        <f>IFERROR(INDEX(G52:R52,1,MATCH(Parametres!$B$3,G$1:R$1,0)-1)*IF(OR(F52="L",F52="S",F52="I"),-1,1),"")</f>
        <v>0</v>
      </c>
      <c r="AM52" s="905">
        <f t="shared" si="2"/>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t="str">
        <f t="shared" si="3"/>
        <v>G023101</v>
      </c>
      <c r="AU52" s="488" t="str">
        <f t="shared" si="4"/>
        <v>SALAIRES AUTRES NEUFS/USA</v>
      </c>
      <c r="AV52" s="899">
        <f>IFERROR(INDEX(V52:AG52,1,MATCH(Parametres!$B$3,V$1:AG$1,0)-1)*IF(OR(C52="L",C52="S",C52="I"),-1,1),"")</f>
        <v>0</v>
      </c>
      <c r="AW52" s="899">
        <f t="shared" si="5"/>
        <v>0</v>
      </c>
      <c r="AX52" s="899">
        <f>INDEX(V52:AG52,1,MATCH(Parametres!$B$3,V$1:AG$1,0))*IF(OR(C52="L",C52="S",C52="I"),-1,1)</f>
        <v>0</v>
      </c>
      <c r="AY52" s="487" t="s">
        <v>337</v>
      </c>
      <c r="AZ52" s="487" t="e">
        <f>+VLOOKUP($AJ52,Data_Validation!$A:$E,5,0)</f>
        <v>#N/A</v>
      </c>
    </row>
    <row r="53" spans="1:52" ht="15" customHeight="1">
      <c r="A53" s="706" t="s">
        <v>1148</v>
      </c>
      <c r="B53" s="706">
        <v>2026</v>
      </c>
      <c r="C53" s="706" t="s">
        <v>1243</v>
      </c>
      <c r="D53" s="706" t="s">
        <v>1244</v>
      </c>
      <c r="E53" s="706" t="s">
        <v>333</v>
      </c>
      <c r="F53" s="706" t="s">
        <v>1104</v>
      </c>
      <c r="G53" s="706">
        <v>76973.2</v>
      </c>
      <c r="H53" s="706">
        <v>84726</v>
      </c>
      <c r="I53" s="706">
        <v>132897.99</v>
      </c>
      <c r="J53" s="706">
        <v>196295.59</v>
      </c>
      <c r="K53" s="706">
        <v>7317.6</v>
      </c>
      <c r="L53" s="706">
        <v>8954.85</v>
      </c>
      <c r="M53" s="706">
        <v>9765.08</v>
      </c>
      <c r="N53" s="706">
        <v>0</v>
      </c>
      <c r="O53" s="706">
        <v>0</v>
      </c>
      <c r="P53" s="706">
        <v>0</v>
      </c>
      <c r="Q53" s="706">
        <v>0</v>
      </c>
      <c r="R53" s="706">
        <v>0</v>
      </c>
      <c r="S53" s="706">
        <v>1492.48</v>
      </c>
      <c r="T53" s="706">
        <v>1492.48</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G0232</v>
      </c>
      <c r="AK53" s="905" t="str">
        <f t="shared" si="1"/>
        <v>SALAIRES AUTRES USAGES</v>
      </c>
      <c r="AL53" s="905">
        <f>IFERROR(INDEX(G53:R53,1,MATCH(Parametres!$B$3,G$1:R$1,0)-1)*IF(OR(F53="L",F53="S",F53="I"),-1,1),"")</f>
        <v>7317.6</v>
      </c>
      <c r="AM53" s="905">
        <f t="shared" si="2"/>
        <v>1637.25</v>
      </c>
      <c r="AN53" s="905">
        <f>INDEX(G53:R53,1,MATCH(Parametres!$B$3,G$1:R$1,0))*IF(OR(F53="L",F53="S",F53="I"),-1,1)</f>
        <v>8954.85</v>
      </c>
      <c r="AO53" s="487" t="str">
        <f>+VLOOKUP($AJ53,Data_Validation!$A:$D,1,0)</f>
        <v>G0232</v>
      </c>
      <c r="AP53" s="487" t="str">
        <f>+VLOOKUP($AJ53,Data_Validation!$A:$D,3,0)</f>
        <v>Véhicules usagés</v>
      </c>
      <c r="AQ53" s="487" t="str">
        <f>+VLOOKUP($AJ53,Data_Validation!$A:$D,4,0)</f>
        <v>Salaires autres</v>
      </c>
      <c r="AR53" s="487" t="s">
        <v>299</v>
      </c>
      <c r="AS53" s="487">
        <f>+VLOOKUP($AJ53,Data_Validation!$A:$E,5,0)</f>
        <v>0</v>
      </c>
      <c r="AT53" s="904" t="str">
        <f t="shared" si="3"/>
        <v>G0232</v>
      </c>
      <c r="AU53" s="488" t="str">
        <f t="shared" si="4"/>
        <v>SALAIRES AUTRES USAGES</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1245</v>
      </c>
      <c r="D54" s="706" t="s">
        <v>1246</v>
      </c>
      <c r="E54" s="706" t="s">
        <v>333</v>
      </c>
      <c r="F54" s="706" t="s">
        <v>1104</v>
      </c>
      <c r="G54" s="706">
        <v>8333.32</v>
      </c>
      <c r="H54" s="706">
        <v>8333.32</v>
      </c>
      <c r="I54" s="706">
        <v>26434.07</v>
      </c>
      <c r="J54" s="706">
        <v>38061.910000000003</v>
      </c>
      <c r="K54" s="706">
        <v>0</v>
      </c>
      <c r="L54" s="706">
        <v>0</v>
      </c>
      <c r="M54" s="706">
        <v>0</v>
      </c>
      <c r="N54" s="706">
        <v>0</v>
      </c>
      <c r="O54" s="706">
        <v>0</v>
      </c>
      <c r="P54" s="706">
        <v>0</v>
      </c>
      <c r="Q54" s="706">
        <v>0</v>
      </c>
      <c r="R54" s="706">
        <v>0</v>
      </c>
      <c r="S54" s="706">
        <v>0</v>
      </c>
      <c r="T54" s="706">
        <v>0</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G0233</v>
      </c>
      <c r="AK54" s="905" t="str">
        <f t="shared" si="1"/>
        <v>SALAIRES AUTRES U.S.A</v>
      </c>
      <c r="AL54" s="905">
        <f>IFERROR(INDEX(G54:R54,1,MATCH(Parametres!$B$3,G$1:R$1,0)-1)*IF(OR(F54="L",F54="S",F54="I"),-1,1),"")</f>
        <v>0</v>
      </c>
      <c r="AM54" s="905">
        <f t="shared" si="2"/>
        <v>0</v>
      </c>
      <c r="AN54" s="905">
        <f>INDEX(G54:R54,1,MATCH(Parametres!$B$3,G$1:R$1,0))*IF(OR(F54="L",F54="S",F54="I"),-1,1)</f>
        <v>0</v>
      </c>
      <c r="AO54" s="487" t="str">
        <f>+VLOOKUP($AJ54,Data_Validation!$A:$D,1,0)</f>
        <v>G0233</v>
      </c>
      <c r="AP54" s="487" t="str">
        <f>+VLOOKUP($AJ54,Data_Validation!$A:$D,3,0)</f>
        <v>Wholesale autres</v>
      </c>
      <c r="AQ54" s="487" t="str">
        <f>+VLOOKUP($AJ54,Data_Validation!$A:$D,4,0)</f>
        <v>Salaires autres</v>
      </c>
      <c r="AR54" s="487" t="s">
        <v>299</v>
      </c>
      <c r="AS54" s="487">
        <f>+VLOOKUP($AJ54,Data_Validation!$A:$E,5,0)</f>
        <v>0</v>
      </c>
      <c r="AT54" s="904" t="str">
        <f t="shared" si="3"/>
        <v>G0233</v>
      </c>
      <c r="AU54" s="488" t="str">
        <f t="shared" si="4"/>
        <v>SALAIRES AUTRES U.S.A</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customHeight="1">
      <c r="A55" s="706" t="s">
        <v>1148</v>
      </c>
      <c r="B55" s="706">
        <v>2026</v>
      </c>
      <c r="C55" s="706" t="s">
        <v>1247</v>
      </c>
      <c r="D55" s="706" t="s">
        <v>1248</v>
      </c>
      <c r="E55" s="706" t="s">
        <v>333</v>
      </c>
      <c r="F55" s="706" t="s">
        <v>1104</v>
      </c>
      <c r="G55" s="706">
        <v>10386.77</v>
      </c>
      <c r="H55" s="706">
        <v>18128.73</v>
      </c>
      <c r="I55" s="706">
        <v>31110.14</v>
      </c>
      <c r="J55" s="706">
        <v>45510.03</v>
      </c>
      <c r="K55" s="706">
        <v>59222.36</v>
      </c>
      <c r="L55" s="706">
        <v>68693.13</v>
      </c>
      <c r="M55" s="706">
        <v>71048.83</v>
      </c>
      <c r="N55" s="706">
        <v>0</v>
      </c>
      <c r="O55" s="706">
        <v>0</v>
      </c>
      <c r="P55" s="706">
        <v>0</v>
      </c>
      <c r="Q55" s="706">
        <v>0</v>
      </c>
      <c r="R55" s="706">
        <v>0</v>
      </c>
      <c r="S55" s="706">
        <v>11448.86</v>
      </c>
      <c r="T55" s="706">
        <v>11448.86</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G0234</v>
      </c>
      <c r="AK55" s="905" t="str">
        <f t="shared" si="1"/>
        <v>SALAIRES AUTRES SERV.</v>
      </c>
      <c r="AL55" s="905">
        <f>IFERROR(INDEX(G55:R55,1,MATCH(Parametres!$B$3,G$1:R$1,0)-1)*IF(OR(F55="L",F55="S",F55="I"),-1,1),"")</f>
        <v>59222.36</v>
      </c>
      <c r="AM55" s="905">
        <f t="shared" si="2"/>
        <v>9470.7700000000041</v>
      </c>
      <c r="AN55" s="905">
        <f>INDEX(G55:R55,1,MATCH(Parametres!$B$3,G$1:R$1,0))*IF(OR(F55="L",F55="S",F55="I"),-1,1)</f>
        <v>68693.13</v>
      </c>
      <c r="AO55" s="487" t="str">
        <f>+VLOOKUP($AJ55,Data_Validation!$A:$D,1,0)</f>
        <v>G0234</v>
      </c>
      <c r="AP55" s="487" t="str">
        <f>+VLOOKUP($AJ55,Data_Validation!$A:$D,3,0)</f>
        <v>Service</v>
      </c>
      <c r="AQ55" s="487" t="str">
        <f>+VLOOKUP($AJ55,Data_Validation!$A:$D,4,0)</f>
        <v>Salaires autres</v>
      </c>
      <c r="AR55" s="487" t="s">
        <v>299</v>
      </c>
      <c r="AS55" s="487">
        <f>+VLOOKUP($AJ55,Data_Validation!$A:$E,5,0)</f>
        <v>0</v>
      </c>
      <c r="AT55" s="904" t="str">
        <f t="shared" si="3"/>
        <v>G0234</v>
      </c>
      <c r="AU55" s="488" t="str">
        <f t="shared" si="4"/>
        <v>SALAIRES AUTRES SERV.</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customHeight="1">
      <c r="A56" s="706" t="s">
        <v>1148</v>
      </c>
      <c r="B56" s="706">
        <v>2026</v>
      </c>
      <c r="C56" s="706" t="s">
        <v>3148</v>
      </c>
      <c r="D56" s="706" t="s">
        <v>3149</v>
      </c>
      <c r="E56" s="706" t="s">
        <v>333</v>
      </c>
      <c r="F56" s="706" t="s">
        <v>1104</v>
      </c>
      <c r="G56" s="706">
        <v>0</v>
      </c>
      <c r="H56" s="706">
        <v>0</v>
      </c>
      <c r="I56" s="706">
        <v>0</v>
      </c>
      <c r="J56" s="706">
        <v>0</v>
      </c>
      <c r="K56" s="706">
        <v>0</v>
      </c>
      <c r="L56" s="706">
        <v>15838.4</v>
      </c>
      <c r="M56" s="706">
        <v>21375.4</v>
      </c>
      <c r="N56" s="706">
        <v>0</v>
      </c>
      <c r="O56" s="706">
        <v>0</v>
      </c>
      <c r="P56" s="706">
        <v>0</v>
      </c>
      <c r="Q56" s="706">
        <v>0</v>
      </c>
      <c r="R56" s="706">
        <v>0</v>
      </c>
      <c r="S56" s="706">
        <v>2639.73</v>
      </c>
      <c r="T56" s="706">
        <v>2639.73</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G02344</v>
      </c>
      <c r="AK56" s="905" t="str">
        <f t="shared" si="1"/>
        <v>SALAIRES CONSEILLERS TECH</v>
      </c>
      <c r="AL56" s="905">
        <f>IFERROR(INDEX(G56:R56,1,MATCH(Parametres!$B$3,G$1:R$1,0)-1)*IF(OR(F56="L",F56="S",F56="I"),-1,1),"")</f>
        <v>0</v>
      </c>
      <c r="AM56" s="905">
        <f t="shared" si="2"/>
        <v>15838.4</v>
      </c>
      <c r="AN56" s="905">
        <f>INDEX(G56:R56,1,MATCH(Parametres!$B$3,G$1:R$1,0))*IF(OR(F56="L",F56="S",F56="I"),-1,1)</f>
        <v>15838.4</v>
      </c>
      <c r="AO56" s="487" t="str">
        <f>+VLOOKUP($AJ56,Data_Validation!$A:$D,1,0)</f>
        <v>G02344</v>
      </c>
      <c r="AP56" s="487" t="str">
        <f>+VLOOKUP($AJ56,Data_Validation!$A:$D,3,0)</f>
        <v>Service</v>
      </c>
      <c r="AQ56" s="487" t="str">
        <f>+VLOOKUP($AJ56,Data_Validation!$A:$D,4,0)</f>
        <v>Salaires spécialistes</v>
      </c>
      <c r="AR56" s="487" t="s">
        <v>299</v>
      </c>
      <c r="AS56" s="487">
        <f>+VLOOKUP($AJ56,Data_Validation!$A:$E,5,0)</f>
        <v>0</v>
      </c>
      <c r="AT56" s="904" t="str">
        <f t="shared" si="3"/>
        <v>G02344</v>
      </c>
      <c r="AU56" s="488" t="str">
        <f t="shared" si="4"/>
        <v>SALAIRES CONSEILLERS TECH</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1249</v>
      </c>
      <c r="D57" s="706" t="s">
        <v>1250</v>
      </c>
      <c r="E57" s="706" t="s">
        <v>333</v>
      </c>
      <c r="F57" s="706" t="s">
        <v>1104</v>
      </c>
      <c r="G57" s="706">
        <v>48.3</v>
      </c>
      <c r="H57" s="706">
        <v>48.3</v>
      </c>
      <c r="I57" s="706">
        <v>1941.3</v>
      </c>
      <c r="J57" s="706">
        <v>2037.28</v>
      </c>
      <c r="K57" s="706">
        <v>1941.3</v>
      </c>
      <c r="L57" s="706">
        <v>2125.35</v>
      </c>
      <c r="M57" s="706">
        <v>2207.25</v>
      </c>
      <c r="N57" s="706">
        <v>0</v>
      </c>
      <c r="O57" s="706">
        <v>0</v>
      </c>
      <c r="P57" s="706">
        <v>0</v>
      </c>
      <c r="Q57" s="706">
        <v>0</v>
      </c>
      <c r="R57" s="706">
        <v>0</v>
      </c>
      <c r="S57" s="706">
        <v>354.23</v>
      </c>
      <c r="T57" s="706">
        <v>354.23</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G0235</v>
      </c>
      <c r="AK57" s="905" t="str">
        <f t="shared" si="1"/>
        <v>SALAIRES AUTRES CARR.</v>
      </c>
      <c r="AL57" s="905">
        <f>IFERROR(INDEX(G57:R57,1,MATCH(Parametres!$B$3,G$1:R$1,0)-1)*IF(OR(F57="L",F57="S",F57="I"),-1,1),"")</f>
        <v>1941.3</v>
      </c>
      <c r="AM57" s="905">
        <f t="shared" si="2"/>
        <v>184.04999999999995</v>
      </c>
      <c r="AN57" s="905">
        <f>INDEX(G57:R57,1,MATCH(Parametres!$B$3,G$1:R$1,0))*IF(OR(F57="L",F57="S",F57="I"),-1,1)</f>
        <v>2125.35</v>
      </c>
      <c r="AO57" s="487" t="str">
        <f>+VLOOKUP($AJ57,Data_Validation!$A:$D,1,0)</f>
        <v>G0235</v>
      </c>
      <c r="AP57" s="487" t="str">
        <f>+VLOOKUP($AJ57,Data_Validation!$A:$D,3,0)</f>
        <v>Carrosserie</v>
      </c>
      <c r="AQ57" s="487" t="str">
        <f>+VLOOKUP($AJ57,Data_Validation!$A:$D,4,0)</f>
        <v>Salaires autres</v>
      </c>
      <c r="AR57" s="487" t="s">
        <v>299</v>
      </c>
      <c r="AS57" s="487">
        <f>+VLOOKUP($AJ57,Data_Validation!$A:$E,5,0)</f>
        <v>0</v>
      </c>
      <c r="AT57" s="904" t="str">
        <f t="shared" si="3"/>
        <v>G0235</v>
      </c>
      <c r="AU57" s="488" t="str">
        <f t="shared" si="4"/>
        <v>SALAIRES AUTRES CARR.</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1251</v>
      </c>
      <c r="D58" s="706" t="s">
        <v>1252</v>
      </c>
      <c r="E58" s="706" t="s">
        <v>333</v>
      </c>
      <c r="F58" s="706" t="s">
        <v>1104</v>
      </c>
      <c r="G58" s="706">
        <v>17492.64</v>
      </c>
      <c r="H58" s="706">
        <v>35565.160000000003</v>
      </c>
      <c r="I58" s="706">
        <v>61199.23</v>
      </c>
      <c r="J58" s="706">
        <v>82819.16</v>
      </c>
      <c r="K58" s="706">
        <v>102007.8</v>
      </c>
      <c r="L58" s="706">
        <v>118770.67</v>
      </c>
      <c r="M58" s="706">
        <v>124761.83</v>
      </c>
      <c r="N58" s="706">
        <v>0</v>
      </c>
      <c r="O58" s="706">
        <v>0</v>
      </c>
      <c r="P58" s="706">
        <v>0</v>
      </c>
      <c r="Q58" s="706">
        <v>0</v>
      </c>
      <c r="R58" s="706">
        <v>0</v>
      </c>
      <c r="S58" s="706">
        <v>19795.11</v>
      </c>
      <c r="T58" s="706">
        <v>19795.11</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G0236</v>
      </c>
      <c r="AK58" s="905" t="str">
        <f t="shared" si="1"/>
        <v>SALAIRES AUTRES PCES</v>
      </c>
      <c r="AL58" s="905">
        <f>IFERROR(INDEX(G58:R58,1,MATCH(Parametres!$B$3,G$1:R$1,0)-1)*IF(OR(F58="L",F58="S",F58="I"),-1,1),"")</f>
        <v>102007.8</v>
      </c>
      <c r="AM58" s="905">
        <f t="shared" si="2"/>
        <v>16762.869999999995</v>
      </c>
      <c r="AN58" s="905">
        <f>INDEX(G58:R58,1,MATCH(Parametres!$B$3,G$1:R$1,0))*IF(OR(F58="L",F58="S",F58="I"),-1,1)</f>
        <v>118770.67</v>
      </c>
      <c r="AO58" s="487" t="str">
        <f>+VLOOKUP($AJ58,Data_Validation!$A:$D,1,0)</f>
        <v>G0236</v>
      </c>
      <c r="AP58" s="487" t="str">
        <f>+VLOOKUP($AJ58,Data_Validation!$A:$D,3,0)</f>
        <v>Pièces</v>
      </c>
      <c r="AQ58" s="487" t="str">
        <f>+VLOOKUP($AJ58,Data_Validation!$A:$D,4,0)</f>
        <v>Salaires autres</v>
      </c>
      <c r="AR58" s="487" t="s">
        <v>299</v>
      </c>
      <c r="AS58" s="487">
        <f>+VLOOKUP($AJ58,Data_Validation!$A:$E,5,0)</f>
        <v>0</v>
      </c>
      <c r="AT58" s="904" t="str">
        <f t="shared" si="3"/>
        <v>G0236</v>
      </c>
      <c r="AU58" s="488" t="str">
        <f t="shared" si="4"/>
        <v>SALAIRES AUTRES PCES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customHeight="1">
      <c r="A59" s="706" t="s">
        <v>1148</v>
      </c>
      <c r="B59" s="706">
        <v>2026</v>
      </c>
      <c r="C59" s="706" t="s">
        <v>1253</v>
      </c>
      <c r="D59" s="706" t="s">
        <v>1254</v>
      </c>
      <c r="E59" s="706" t="s">
        <v>333</v>
      </c>
      <c r="F59" s="706" t="s">
        <v>1104</v>
      </c>
      <c r="G59" s="706">
        <v>0</v>
      </c>
      <c r="H59" s="706">
        <v>0</v>
      </c>
      <c r="I59" s="706">
        <v>0</v>
      </c>
      <c r="J59" s="706">
        <v>0</v>
      </c>
      <c r="K59" s="706">
        <v>0</v>
      </c>
      <c r="L59" s="706">
        <v>0</v>
      </c>
      <c r="M59" s="706">
        <v>0</v>
      </c>
      <c r="N59" s="706">
        <v>0</v>
      </c>
      <c r="O59" s="706">
        <v>0</v>
      </c>
      <c r="P59" s="706">
        <v>0</v>
      </c>
      <c r="Q59" s="706">
        <v>0</v>
      </c>
      <c r="R59" s="706">
        <v>0</v>
      </c>
      <c r="S59" s="706">
        <v>0</v>
      </c>
      <c r="T59" s="706">
        <v>0</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G0237</v>
      </c>
      <c r="AK59" s="905" t="str">
        <f t="shared" si="1"/>
        <v>SALAIRES AUTRES SAAQ</v>
      </c>
      <c r="AL59" s="905">
        <f>IFERROR(INDEX(G59:R59,1,MATCH(Parametres!$B$3,G$1:R$1,0)-1)*IF(OR(F59="L",F59="S",F59="I"),-1,1),"")</f>
        <v>0</v>
      </c>
      <c r="AM59" s="905">
        <f t="shared" si="2"/>
        <v>0</v>
      </c>
      <c r="AN59" s="905">
        <f>INDEX(G59:R59,1,MATCH(Parametres!$B$3,G$1:R$1,0))*IF(OR(F59="L",F59="S",F59="I"),-1,1)</f>
        <v>0</v>
      </c>
      <c r="AO59" s="487" t="str">
        <f>+VLOOKUP($AJ59,Data_Validation!$A:$D,1,0)</f>
        <v>G0237</v>
      </c>
      <c r="AP59" s="487" t="str">
        <f>+VLOOKUP($AJ59,Data_Validation!$A:$D,3,0)</f>
        <v>SAAQ</v>
      </c>
      <c r="AQ59" s="487" t="str">
        <f>+VLOOKUP($AJ59,Data_Validation!$A:$D,4,0)</f>
        <v>Salaires autres</v>
      </c>
      <c r="AR59" s="487" t="s">
        <v>299</v>
      </c>
      <c r="AS59" s="487">
        <f>+VLOOKUP($AJ59,Data_Validation!$A:$E,5,0)</f>
        <v>0</v>
      </c>
      <c r="AT59" s="904" t="str">
        <f t="shared" si="3"/>
        <v>G0237</v>
      </c>
      <c r="AU59" s="488" t="str">
        <f t="shared" si="4"/>
        <v>SALAIRES AUTRES SAAQ</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1255</v>
      </c>
      <c r="D60" s="706" t="s">
        <v>1256</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G0240</v>
      </c>
      <c r="AK60" s="905" t="str">
        <f t="shared" si="1"/>
        <v>CONGES PAYÉS REP.</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G0240</v>
      </c>
      <c r="AU60" s="488" t="str">
        <f t="shared" si="4"/>
        <v>CONGES PAYÉS REP.</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2026</v>
      </c>
      <c r="C61" s="706" t="s">
        <v>1257</v>
      </c>
      <c r="D61" s="706" t="s">
        <v>1258</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G02401</v>
      </c>
      <c r="AK61" s="905" t="str">
        <f t="shared" si="1"/>
        <v>CONGES PAYES NEUFS/USAGE</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G02401</v>
      </c>
      <c r="AU61" s="488" t="str">
        <f t="shared" si="4"/>
        <v>CONGES PAYES NEUFS/USAGE</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customHeight="1">
      <c r="A62" s="706" t="s">
        <v>1148</v>
      </c>
      <c r="B62" s="706">
        <v>2026</v>
      </c>
      <c r="C62" s="706" t="s">
        <v>1259</v>
      </c>
      <c r="D62" s="706" t="s">
        <v>1260</v>
      </c>
      <c r="E62" s="706" t="s">
        <v>333</v>
      </c>
      <c r="F62" s="706" t="s">
        <v>1104</v>
      </c>
      <c r="G62" s="706">
        <v>9990.41</v>
      </c>
      <c r="H62" s="706">
        <v>15660.35</v>
      </c>
      <c r="I62" s="706">
        <v>22868.49</v>
      </c>
      <c r="J62" s="706">
        <v>33766.5</v>
      </c>
      <c r="K62" s="706">
        <v>39949.949999999997</v>
      </c>
      <c r="L62" s="706">
        <v>47903.29</v>
      </c>
      <c r="M62" s="706">
        <v>52163.41</v>
      </c>
      <c r="N62" s="706">
        <v>0</v>
      </c>
      <c r="O62" s="706">
        <v>0</v>
      </c>
      <c r="P62" s="706">
        <v>0</v>
      </c>
      <c r="Q62" s="706">
        <v>0</v>
      </c>
      <c r="R62" s="706">
        <v>0</v>
      </c>
      <c r="S62" s="706">
        <v>7983.88</v>
      </c>
      <c r="T62" s="706">
        <v>7983.88</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G0241</v>
      </c>
      <c r="AK62" s="905" t="str">
        <f t="shared" si="1"/>
        <v>CONGES PAYES NEUFS</v>
      </c>
      <c r="AL62" s="905">
        <f>IFERROR(INDEX(G62:R62,1,MATCH(Parametres!$B$3,G$1:R$1,0)-1)*IF(OR(F62="L",F62="S",F62="I"),-1,1),"")</f>
        <v>39949.949999999997</v>
      </c>
      <c r="AM62" s="905">
        <f t="shared" si="2"/>
        <v>7953.3400000000038</v>
      </c>
      <c r="AN62" s="905">
        <f>INDEX(G62:R62,1,MATCH(Parametres!$B$3,G$1:R$1,0))*IF(OR(F62="L",F62="S",F62="I"),-1,1)</f>
        <v>47903.29</v>
      </c>
      <c r="AO62" s="487" t="str">
        <f>+VLOOKUP($AJ62,Data_Validation!$A:$D,1,0)</f>
        <v>G0241</v>
      </c>
      <c r="AP62" s="487" t="str">
        <f>+VLOOKUP($AJ62,Data_Validation!$A:$D,3,0)</f>
        <v>Véhicules neufs</v>
      </c>
      <c r="AQ62" s="487" t="str">
        <f>+VLOOKUP($AJ62,Data_Validation!$A:$D,4,0)</f>
        <v>Salaires en absences</v>
      </c>
      <c r="AR62" s="487" t="s">
        <v>299</v>
      </c>
      <c r="AS62" s="487">
        <f>+VLOOKUP($AJ62,Data_Validation!$A:$E,5,0)</f>
        <v>0</v>
      </c>
      <c r="AT62" s="904" t="str">
        <f t="shared" si="3"/>
        <v>G0241</v>
      </c>
      <c r="AU62" s="488" t="str">
        <f t="shared" si="4"/>
        <v>CONGES PAYES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1261</v>
      </c>
      <c r="D63" s="706" t="s">
        <v>1262</v>
      </c>
      <c r="E63" s="706" t="s">
        <v>333</v>
      </c>
      <c r="F63" s="706" t="s">
        <v>1104</v>
      </c>
      <c r="G63" s="706">
        <v>1688.51</v>
      </c>
      <c r="H63" s="706">
        <v>2274.88</v>
      </c>
      <c r="I63" s="706">
        <v>2951.84</v>
      </c>
      <c r="J63" s="706">
        <v>9930.27</v>
      </c>
      <c r="K63" s="706">
        <v>13892.85</v>
      </c>
      <c r="L63" s="706">
        <v>17652.78</v>
      </c>
      <c r="M63" s="706">
        <v>20120.41</v>
      </c>
      <c r="N63" s="706">
        <v>0</v>
      </c>
      <c r="O63" s="706">
        <v>0</v>
      </c>
      <c r="P63" s="706">
        <v>0</v>
      </c>
      <c r="Q63" s="706">
        <v>0</v>
      </c>
      <c r="R63" s="706">
        <v>0</v>
      </c>
      <c r="S63" s="706">
        <v>2942.13</v>
      </c>
      <c r="T63" s="706">
        <v>2942.13</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G0242</v>
      </c>
      <c r="AK63" s="905" t="str">
        <f t="shared" si="1"/>
        <v>CONGES PAYES USAGES</v>
      </c>
      <c r="AL63" s="905">
        <f>IFERROR(INDEX(G63:R63,1,MATCH(Parametres!$B$3,G$1:R$1,0)-1)*IF(OR(F63="L",F63="S",F63="I"),-1,1),"")</f>
        <v>13892.85</v>
      </c>
      <c r="AM63" s="905">
        <f t="shared" si="2"/>
        <v>3759.9299999999985</v>
      </c>
      <c r="AN63" s="905">
        <f>INDEX(G63:R63,1,MATCH(Parametres!$B$3,G$1:R$1,0))*IF(OR(F63="L",F63="S",F63="I"),-1,1)</f>
        <v>17652.78</v>
      </c>
      <c r="AO63" s="487" t="str">
        <f>+VLOOKUP($AJ63,Data_Validation!$A:$D,1,0)</f>
        <v>G0242</v>
      </c>
      <c r="AP63" s="487" t="str">
        <f>+VLOOKUP($AJ63,Data_Validation!$A:$D,3,0)</f>
        <v>Véhicules usagés</v>
      </c>
      <c r="AQ63" s="487" t="str">
        <f>+VLOOKUP($AJ63,Data_Validation!$A:$D,4,0)</f>
        <v>Salaires en absences</v>
      </c>
      <c r="AR63" s="487" t="s">
        <v>299</v>
      </c>
      <c r="AS63" s="487">
        <f>+VLOOKUP($AJ63,Data_Validation!$A:$E,5,0)</f>
        <v>0</v>
      </c>
      <c r="AT63" s="904" t="str">
        <f t="shared" si="3"/>
        <v>G0242</v>
      </c>
      <c r="AU63" s="488" t="str">
        <f t="shared" si="4"/>
        <v>CONGES PAYES USAGES</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customHeight="1">
      <c r="A64" s="706" t="s">
        <v>1148</v>
      </c>
      <c r="B64" s="706">
        <v>2026</v>
      </c>
      <c r="C64" s="706" t="s">
        <v>1263</v>
      </c>
      <c r="D64" s="706" t="s">
        <v>1264</v>
      </c>
      <c r="E64" s="706" t="s">
        <v>333</v>
      </c>
      <c r="F64" s="706" t="s">
        <v>1104</v>
      </c>
      <c r="G64" s="706">
        <v>2387.2600000000002</v>
      </c>
      <c r="H64" s="706">
        <v>3421.96</v>
      </c>
      <c r="I64" s="706">
        <v>5055.32</v>
      </c>
      <c r="J64" s="706">
        <v>6784.19</v>
      </c>
      <c r="K64" s="706">
        <v>9557.33</v>
      </c>
      <c r="L64" s="706">
        <v>12093.79</v>
      </c>
      <c r="M64" s="706">
        <v>12976.99</v>
      </c>
      <c r="N64" s="706">
        <v>0</v>
      </c>
      <c r="O64" s="706">
        <v>0</v>
      </c>
      <c r="P64" s="706">
        <v>0</v>
      </c>
      <c r="Q64" s="706">
        <v>0</v>
      </c>
      <c r="R64" s="706">
        <v>0</v>
      </c>
      <c r="S64" s="706">
        <v>2015.63</v>
      </c>
      <c r="T64" s="706">
        <v>2015.63</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G0243</v>
      </c>
      <c r="AK64" s="905" t="str">
        <f t="shared" si="1"/>
        <v>CONGES PAYES U.S.A</v>
      </c>
      <c r="AL64" s="905">
        <f>IFERROR(INDEX(G64:R64,1,MATCH(Parametres!$B$3,G$1:R$1,0)-1)*IF(OR(F64="L",F64="S",F64="I"),-1,1),"")</f>
        <v>9557.33</v>
      </c>
      <c r="AM64" s="905">
        <f t="shared" si="2"/>
        <v>2536.4600000000009</v>
      </c>
      <c r="AN64" s="905">
        <f>INDEX(G64:R64,1,MATCH(Parametres!$B$3,G$1:R$1,0))*IF(OR(F64="L",F64="S",F64="I"),-1,1)</f>
        <v>12093.79</v>
      </c>
      <c r="AO64" s="487" t="str">
        <f>+VLOOKUP($AJ64,Data_Validation!$A:$D,1,0)</f>
        <v>G0243</v>
      </c>
      <c r="AP64" s="487" t="str">
        <f>+VLOOKUP($AJ64,Data_Validation!$A:$D,3,0)</f>
        <v>Wholesale autres</v>
      </c>
      <c r="AQ64" s="487" t="str">
        <f>+VLOOKUP($AJ64,Data_Validation!$A:$D,4,0)</f>
        <v>Salaires en absences</v>
      </c>
      <c r="AR64" s="487" t="s">
        <v>299</v>
      </c>
      <c r="AS64" s="487">
        <f>+VLOOKUP($AJ64,Data_Validation!$A:$E,5,0)</f>
        <v>0</v>
      </c>
      <c r="AT64" s="904" t="str">
        <f t="shared" si="3"/>
        <v>G0243</v>
      </c>
      <c r="AU64" s="488" t="str">
        <f t="shared" si="4"/>
        <v>CONGES PAYES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1265</v>
      </c>
      <c r="D65" s="706" t="s">
        <v>1266</v>
      </c>
      <c r="E65" s="706" t="s">
        <v>333</v>
      </c>
      <c r="F65" s="706" t="s">
        <v>1104</v>
      </c>
      <c r="G65" s="706">
        <v>24764.7</v>
      </c>
      <c r="H65" s="706">
        <v>32228.7</v>
      </c>
      <c r="I65" s="706">
        <v>41712.94</v>
      </c>
      <c r="J65" s="706">
        <v>57848.53</v>
      </c>
      <c r="K65" s="706">
        <v>69517.87</v>
      </c>
      <c r="L65" s="706">
        <v>82141.7</v>
      </c>
      <c r="M65" s="706">
        <v>90467.83</v>
      </c>
      <c r="N65" s="706">
        <v>0</v>
      </c>
      <c r="O65" s="706">
        <v>0</v>
      </c>
      <c r="P65" s="706">
        <v>0</v>
      </c>
      <c r="Q65" s="706">
        <v>0</v>
      </c>
      <c r="R65" s="706">
        <v>0</v>
      </c>
      <c r="S65" s="706">
        <v>13690.28</v>
      </c>
      <c r="T65" s="706">
        <v>13690.28</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G0244</v>
      </c>
      <c r="AK65" s="905" t="str">
        <f t="shared" si="1"/>
        <v>CONGES PAYES SERVICE</v>
      </c>
      <c r="AL65" s="905">
        <f>IFERROR(INDEX(G65:R65,1,MATCH(Parametres!$B$3,G$1:R$1,0)-1)*IF(OR(F65="L",F65="S",F65="I"),-1,1),"")</f>
        <v>69517.87</v>
      </c>
      <c r="AM65" s="905">
        <f t="shared" si="2"/>
        <v>12623.830000000002</v>
      </c>
      <c r="AN65" s="905">
        <f>INDEX(G65:R65,1,MATCH(Parametres!$B$3,G$1:R$1,0))*IF(OR(F65="L",F65="S",F65="I"),-1,1)</f>
        <v>82141.7</v>
      </c>
      <c r="AO65" s="487" t="str">
        <f>+VLOOKUP($AJ65,Data_Validation!$A:$D,1,0)</f>
        <v>G0244</v>
      </c>
      <c r="AP65" s="487" t="str">
        <f>+VLOOKUP($AJ65,Data_Validation!$A:$D,3,0)</f>
        <v>Service</v>
      </c>
      <c r="AQ65" s="487" t="str">
        <f>+VLOOKUP($AJ65,Data_Validation!$A:$D,4,0)</f>
        <v>Salaires en absences</v>
      </c>
      <c r="AR65" s="487" t="s">
        <v>299</v>
      </c>
      <c r="AS65" s="487">
        <f>+VLOOKUP($AJ65,Data_Validation!$A:$E,5,0)</f>
        <v>0</v>
      </c>
      <c r="AT65" s="904" t="str">
        <f t="shared" si="3"/>
        <v>G0244</v>
      </c>
      <c r="AU65" s="488" t="str">
        <f t="shared" si="4"/>
        <v>CONGES PAYES SERVICE</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customHeight="1">
      <c r="A66" s="706" t="s">
        <v>1148</v>
      </c>
      <c r="B66" s="706">
        <v>2026</v>
      </c>
      <c r="C66" s="706" t="s">
        <v>1267</v>
      </c>
      <c r="D66" s="706" t="s">
        <v>1268</v>
      </c>
      <c r="E66" s="706" t="s">
        <v>333</v>
      </c>
      <c r="F66" s="706" t="s">
        <v>1104</v>
      </c>
      <c r="G66" s="706">
        <v>5144.2700000000004</v>
      </c>
      <c r="H66" s="706">
        <v>7263.12</v>
      </c>
      <c r="I66" s="706">
        <v>10209.26</v>
      </c>
      <c r="J66" s="706">
        <v>15070.8</v>
      </c>
      <c r="K66" s="706">
        <v>20358.75</v>
      </c>
      <c r="L66" s="706">
        <v>25255.13</v>
      </c>
      <c r="M66" s="706">
        <v>28766.36</v>
      </c>
      <c r="N66" s="706">
        <v>0</v>
      </c>
      <c r="O66" s="706">
        <v>0</v>
      </c>
      <c r="P66" s="706">
        <v>0</v>
      </c>
      <c r="Q66" s="706">
        <v>0</v>
      </c>
      <c r="R66" s="706">
        <v>0</v>
      </c>
      <c r="S66" s="706">
        <v>4209.1899999999996</v>
      </c>
      <c r="T66" s="706">
        <v>4209.1899999999996</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G0245</v>
      </c>
      <c r="AK66" s="905" t="str">
        <f t="shared" si="1"/>
        <v>CONGES PAYES CARROSS.</v>
      </c>
      <c r="AL66" s="905">
        <f>IFERROR(INDEX(G66:R66,1,MATCH(Parametres!$B$3,G$1:R$1,0)-1)*IF(OR(F66="L",F66="S",F66="I"),-1,1),"")</f>
        <v>20358.75</v>
      </c>
      <c r="AM66" s="905">
        <f t="shared" si="2"/>
        <v>4896.380000000001</v>
      </c>
      <c r="AN66" s="905">
        <f>INDEX(G66:R66,1,MATCH(Parametres!$B$3,G$1:R$1,0))*IF(OR(F66="L",F66="S",F66="I"),-1,1)</f>
        <v>25255.13</v>
      </c>
      <c r="AO66" s="487" t="str">
        <f>+VLOOKUP($AJ66,Data_Validation!$A:$D,1,0)</f>
        <v>G0245</v>
      </c>
      <c r="AP66" s="487" t="str">
        <f>+VLOOKUP($AJ66,Data_Validation!$A:$D,3,0)</f>
        <v>Carrosserie</v>
      </c>
      <c r="AQ66" s="487" t="str">
        <f>+VLOOKUP($AJ66,Data_Validation!$A:$D,4,0)</f>
        <v>Salaires en absences</v>
      </c>
      <c r="AR66" s="487" t="s">
        <v>299</v>
      </c>
      <c r="AS66" s="487">
        <f>+VLOOKUP($AJ66,Data_Validation!$A:$E,5,0)</f>
        <v>0</v>
      </c>
      <c r="AT66" s="904" t="str">
        <f t="shared" si="3"/>
        <v>G0245</v>
      </c>
      <c r="AU66" s="488" t="str">
        <f t="shared" si="4"/>
        <v>CONGES PAYES CARROSS.</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1269</v>
      </c>
      <c r="D67" s="706" t="s">
        <v>1270</v>
      </c>
      <c r="E67" s="706" t="s">
        <v>333</v>
      </c>
      <c r="F67" s="706" t="s">
        <v>1104</v>
      </c>
      <c r="G67" s="706">
        <v>3888.96</v>
      </c>
      <c r="H67" s="706">
        <v>5495.95</v>
      </c>
      <c r="I67" s="706">
        <v>6769.49</v>
      </c>
      <c r="J67" s="706">
        <v>9036.39</v>
      </c>
      <c r="K67" s="706">
        <v>12228.67</v>
      </c>
      <c r="L67" s="706">
        <v>15415.19</v>
      </c>
      <c r="M67" s="706">
        <v>17325.810000000001</v>
      </c>
      <c r="N67" s="706">
        <v>0</v>
      </c>
      <c r="O67" s="706">
        <v>0</v>
      </c>
      <c r="P67" s="706">
        <v>0</v>
      </c>
      <c r="Q67" s="706">
        <v>0</v>
      </c>
      <c r="R67" s="706">
        <v>0</v>
      </c>
      <c r="S67" s="706">
        <v>2569.1999999999998</v>
      </c>
      <c r="T67" s="706">
        <v>2569.1999999999998</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G0246</v>
      </c>
      <c r="AK67" s="905" t="str">
        <f t="shared" si="1"/>
        <v>CONGES PAYES PIECES</v>
      </c>
      <c r="AL67" s="905">
        <f>IFERROR(INDEX(G67:R67,1,MATCH(Parametres!$B$3,G$1:R$1,0)-1)*IF(OR(F67="L",F67="S",F67="I"),-1,1),"")</f>
        <v>12228.67</v>
      </c>
      <c r="AM67" s="905">
        <f t="shared" si="2"/>
        <v>3186.5200000000004</v>
      </c>
      <c r="AN67" s="905">
        <f>INDEX(G67:R67,1,MATCH(Parametres!$B$3,G$1:R$1,0))*IF(OR(F67="L",F67="S",F67="I"),-1,1)</f>
        <v>15415.19</v>
      </c>
      <c r="AO67" s="487" t="str">
        <f>+VLOOKUP($AJ67,Data_Validation!$A:$D,1,0)</f>
        <v>G0246</v>
      </c>
      <c r="AP67" s="487" t="str">
        <f>+VLOOKUP($AJ67,Data_Validation!$A:$D,3,0)</f>
        <v>Pièces</v>
      </c>
      <c r="AQ67" s="487" t="str">
        <f>+VLOOKUP($AJ67,Data_Validation!$A:$D,4,0)</f>
        <v>Salaires en absences</v>
      </c>
      <c r="AR67" s="487" t="s">
        <v>299</v>
      </c>
      <c r="AS67" s="487">
        <f>+VLOOKUP($AJ67,Data_Validation!$A:$E,5,0)</f>
        <v>0</v>
      </c>
      <c r="AT67" s="904" t="str">
        <f t="shared" si="3"/>
        <v>G0246</v>
      </c>
      <c r="AU67" s="488" t="str">
        <f t="shared" si="4"/>
        <v>CONGES PAYES PIECES</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customHeight="1">
      <c r="A68" s="706" t="s">
        <v>1148</v>
      </c>
      <c r="B68" s="706">
        <v>2026</v>
      </c>
      <c r="C68" s="706" t="s">
        <v>1271</v>
      </c>
      <c r="D68" s="706" t="s">
        <v>1272</v>
      </c>
      <c r="E68" s="706" t="s">
        <v>333</v>
      </c>
      <c r="F68" s="706" t="s">
        <v>1104</v>
      </c>
      <c r="G68" s="706">
        <v>0</v>
      </c>
      <c r="H68" s="706">
        <v>0</v>
      </c>
      <c r="I68" s="706">
        <v>0</v>
      </c>
      <c r="J68" s="706">
        <v>0</v>
      </c>
      <c r="K68" s="706">
        <v>0</v>
      </c>
      <c r="L68" s="706">
        <v>4902.3599999999997</v>
      </c>
      <c r="M68" s="706">
        <v>8068.83</v>
      </c>
      <c r="N68" s="706">
        <v>0</v>
      </c>
      <c r="O68" s="706">
        <v>0</v>
      </c>
      <c r="P68" s="706">
        <v>0</v>
      </c>
      <c r="Q68" s="706">
        <v>0</v>
      </c>
      <c r="R68" s="706">
        <v>0</v>
      </c>
      <c r="S68" s="706">
        <v>817.06</v>
      </c>
      <c r="T68" s="706">
        <v>817.06</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G0247</v>
      </c>
      <c r="AK68" s="905" t="str">
        <f t="shared" ref="AK68:AK131" si="7">D68</f>
        <v>CONGES PAYES SAAQ</v>
      </c>
      <c r="AL68" s="905">
        <f>IFERROR(INDEX(G68:R68,1,MATCH(Parametres!$B$3,G$1:R$1,0)-1)*IF(OR(F68="L",F68="S",F68="I"),-1,1),"")</f>
        <v>0</v>
      </c>
      <c r="AM68" s="905">
        <f t="shared" ref="AM68:AM131" si="8">AN68-AL68</f>
        <v>4902.3599999999997</v>
      </c>
      <c r="AN68" s="905">
        <f>INDEX(G68:R68,1,MATCH(Parametres!$B$3,G$1:R$1,0))*IF(OR(F68="L",F68="S",F68="I"),-1,1)</f>
        <v>4902.3599999999997</v>
      </c>
      <c r="AO68" s="487" t="str">
        <f>+VLOOKUP($AJ68,Data_Validation!$A:$D,1,0)</f>
        <v>G0247</v>
      </c>
      <c r="AP68" s="487" t="str">
        <f>+VLOOKUP($AJ68,Data_Validation!$A:$D,3,0)</f>
        <v>SAAQ</v>
      </c>
      <c r="AQ68" s="487" t="str">
        <f>+VLOOKUP($AJ68,Data_Validation!$A:$D,4,0)</f>
        <v>Salaires en absences</v>
      </c>
      <c r="AR68" s="487" t="s">
        <v>299</v>
      </c>
      <c r="AS68" s="487">
        <f>+VLOOKUP($AJ68,Data_Validation!$A:$E,5,0)</f>
        <v>0</v>
      </c>
      <c r="AT68" s="904" t="str">
        <f t="shared" ref="AT68:AT131" si="9">C68</f>
        <v>G0247</v>
      </c>
      <c r="AU68" s="488" t="str">
        <f t="shared" ref="AU68:AU131" si="10">D68</f>
        <v>CONGES PAYES SAAQ</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1273</v>
      </c>
      <c r="D69" s="706" t="s">
        <v>1274</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G0250</v>
      </c>
      <c r="AK69" s="905" t="str">
        <f t="shared" si="7"/>
        <v>TAXES PAYES REP.</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G0250</v>
      </c>
      <c r="AU69" s="488" t="str">
        <f t="shared" si="10"/>
        <v>TAXES PAYES REP.</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2026</v>
      </c>
      <c r="C70" s="706" t="s">
        <v>3250</v>
      </c>
      <c r="D70" s="706" t="s">
        <v>3251</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G02501</v>
      </c>
      <c r="AK70" s="905" t="str">
        <f t="shared" si="7"/>
        <v>TAXES PAYROLL NEUF/USAGE</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G02501</v>
      </c>
      <c r="AU70" s="488" t="str">
        <f t="shared" si="10"/>
        <v>TAXES PAYROLL NEUF/USAGE</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customHeight="1">
      <c r="A71" s="706" t="s">
        <v>1148</v>
      </c>
      <c r="B71" s="706">
        <v>2026</v>
      </c>
      <c r="C71" s="706" t="s">
        <v>1275</v>
      </c>
      <c r="D71" s="706" t="s">
        <v>1276</v>
      </c>
      <c r="E71" s="706" t="s">
        <v>333</v>
      </c>
      <c r="F71" s="706" t="s">
        <v>1104</v>
      </c>
      <c r="G71" s="706">
        <v>18542.25</v>
      </c>
      <c r="H71" s="706">
        <v>33227.199999999997</v>
      </c>
      <c r="I71" s="706">
        <v>51232.83</v>
      </c>
      <c r="J71" s="706">
        <v>70265.16</v>
      </c>
      <c r="K71" s="706">
        <v>88600.38</v>
      </c>
      <c r="L71" s="706">
        <v>97711.17</v>
      </c>
      <c r="M71" s="706">
        <v>101755.83</v>
      </c>
      <c r="N71" s="706">
        <v>0</v>
      </c>
      <c r="O71" s="706">
        <v>0</v>
      </c>
      <c r="P71" s="706">
        <v>0</v>
      </c>
      <c r="Q71" s="706">
        <v>0</v>
      </c>
      <c r="R71" s="706">
        <v>0</v>
      </c>
      <c r="S71" s="706">
        <v>16285.2</v>
      </c>
      <c r="T71" s="706">
        <v>16285.2</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G0251</v>
      </c>
      <c r="AK71" s="905" t="str">
        <f t="shared" si="7"/>
        <v>TAXES PAYROLL NEUFS</v>
      </c>
      <c r="AL71" s="905">
        <f>IFERROR(INDEX(G71:R71,1,MATCH(Parametres!$B$3,G$1:R$1,0)-1)*IF(OR(F71="L",F71="S",F71="I"),-1,1),"")</f>
        <v>88600.38</v>
      </c>
      <c r="AM71" s="905">
        <f t="shared" si="8"/>
        <v>9110.7899999999936</v>
      </c>
      <c r="AN71" s="905">
        <f>INDEX(G71:R71,1,MATCH(Parametres!$B$3,G$1:R$1,0))*IF(OR(F71="L",F71="S",F71="I"),-1,1)</f>
        <v>97711.17</v>
      </c>
      <c r="AO71" s="487" t="str">
        <f>+VLOOKUP($AJ71,Data_Validation!$A:$D,1,0)</f>
        <v>G0251</v>
      </c>
      <c r="AP71" s="487" t="str">
        <f>+VLOOKUP($AJ71,Data_Validation!$A:$D,3,0)</f>
        <v>Véhicules neufs</v>
      </c>
      <c r="AQ71" s="487" t="str">
        <f>+VLOOKUP($AJ71,Data_Validation!$A:$D,4,0)</f>
        <v>Déduction à la source</v>
      </c>
      <c r="AR71" s="487" t="s">
        <v>299</v>
      </c>
      <c r="AS71" s="487">
        <f>+VLOOKUP($AJ71,Data_Validation!$A:$E,5,0)</f>
        <v>0</v>
      </c>
      <c r="AT71" s="904" t="str">
        <f t="shared" si="9"/>
        <v>G0251</v>
      </c>
      <c r="AU71" s="488" t="str">
        <f t="shared" si="10"/>
        <v>TAXES PAYROLL NEUFS</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3266</v>
      </c>
      <c r="D72" s="706" t="s">
        <v>3267</v>
      </c>
      <c r="E72" s="706" t="s">
        <v>333</v>
      </c>
      <c r="F72" s="706" t="s">
        <v>1104</v>
      </c>
      <c r="G72" s="706">
        <v>0</v>
      </c>
      <c r="H72" s="706">
        <v>0</v>
      </c>
      <c r="I72" s="706">
        <v>0</v>
      </c>
      <c r="J72" s="706">
        <v>0</v>
      </c>
      <c r="K72" s="706">
        <v>0</v>
      </c>
      <c r="L72" s="706">
        <v>0</v>
      </c>
      <c r="M72" s="706">
        <v>0</v>
      </c>
      <c r="N72" s="706">
        <v>0</v>
      </c>
      <c r="O72" s="706">
        <v>0</v>
      </c>
      <c r="P72" s="706">
        <v>0</v>
      </c>
      <c r="Q72" s="706">
        <v>0</v>
      </c>
      <c r="R72" s="706">
        <v>0</v>
      </c>
      <c r="S72" s="706">
        <v>0</v>
      </c>
      <c r="T72" s="706">
        <v>0</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G025101</v>
      </c>
      <c r="AK72" s="905" t="str">
        <f t="shared" si="7"/>
        <v>TAXES PAYROLL NEUFS/USAGE</v>
      </c>
      <c r="AL72" s="905">
        <f>IFERROR(INDEX(G72:R72,1,MATCH(Parametres!$B$3,G$1:R$1,0)-1)*IF(OR(F72="L",F72="S",F72="I"),-1,1),"")</f>
        <v>0</v>
      </c>
      <c r="AM72" s="905">
        <f t="shared" si="8"/>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t="str">
        <f t="shared" si="9"/>
        <v>G025101</v>
      </c>
      <c r="AU72" s="488" t="str">
        <f t="shared" si="10"/>
        <v>TAXES PAYROLL NEUFS/USAGE</v>
      </c>
      <c r="AV72" s="899">
        <f>IFERROR(INDEX(V72:AG72,1,MATCH(Parametres!$B$3,V$1:AG$1,0)-1)*IF(OR(C72="L",C72="S",C72="I"),-1,1),"")</f>
        <v>0</v>
      </c>
      <c r="AW72" s="899">
        <f t="shared" si="11"/>
        <v>0</v>
      </c>
      <c r="AX72" s="899">
        <f>INDEX(V72:AG72,1,MATCH(Parametres!$B$3,V$1:AG$1,0))*IF(OR(C72="L",C72="S",C72="I"),-1,1)</f>
        <v>0</v>
      </c>
      <c r="AY72" s="487" t="s">
        <v>337</v>
      </c>
      <c r="AZ72" s="487" t="e">
        <f>+VLOOKUP($AJ72,Data_Validation!$A:$E,5,0)</f>
        <v>#N/A</v>
      </c>
    </row>
    <row r="73" spans="1:52" ht="15" customHeight="1">
      <c r="A73" s="706" t="s">
        <v>1148</v>
      </c>
      <c r="B73" s="706">
        <v>2026</v>
      </c>
      <c r="C73" s="706" t="s">
        <v>1277</v>
      </c>
      <c r="D73" s="706" t="s">
        <v>1278</v>
      </c>
      <c r="E73" s="706" t="s">
        <v>333</v>
      </c>
      <c r="F73" s="706" t="s">
        <v>1104</v>
      </c>
      <c r="G73" s="706">
        <v>1925.49</v>
      </c>
      <c r="H73" s="706">
        <v>3911.3</v>
      </c>
      <c r="I73" s="706">
        <v>6233.53</v>
      </c>
      <c r="J73" s="706">
        <v>10016.64</v>
      </c>
      <c r="K73" s="706">
        <v>14429.03</v>
      </c>
      <c r="L73" s="706">
        <v>19625.43</v>
      </c>
      <c r="M73" s="706">
        <v>22113.65</v>
      </c>
      <c r="N73" s="706">
        <v>0</v>
      </c>
      <c r="O73" s="706">
        <v>0</v>
      </c>
      <c r="P73" s="706">
        <v>0</v>
      </c>
      <c r="Q73" s="706">
        <v>0</v>
      </c>
      <c r="R73" s="706">
        <v>0</v>
      </c>
      <c r="S73" s="706">
        <v>3270.91</v>
      </c>
      <c r="T73" s="706">
        <v>3270.91</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G0252</v>
      </c>
      <c r="AK73" s="905" t="str">
        <f t="shared" si="7"/>
        <v>TAXES PAYROLL USAGES</v>
      </c>
      <c r="AL73" s="905">
        <f>IFERROR(INDEX(G73:R73,1,MATCH(Parametres!$B$3,G$1:R$1,0)-1)*IF(OR(F73="L",F73="S",F73="I"),-1,1),"")</f>
        <v>14429.03</v>
      </c>
      <c r="AM73" s="905">
        <f t="shared" si="8"/>
        <v>5196.3999999999996</v>
      </c>
      <c r="AN73" s="905">
        <f>INDEX(G73:R73,1,MATCH(Parametres!$B$3,G$1:R$1,0))*IF(OR(F73="L",F73="S",F73="I"),-1,1)</f>
        <v>19625.43</v>
      </c>
      <c r="AO73" s="487" t="str">
        <f>+VLOOKUP($AJ73,Data_Validation!$A:$D,1,0)</f>
        <v>G0252</v>
      </c>
      <c r="AP73" s="487" t="str">
        <f>+VLOOKUP($AJ73,Data_Validation!$A:$D,3,0)</f>
        <v>Véhicules usagés</v>
      </c>
      <c r="AQ73" s="487" t="str">
        <f>+VLOOKUP($AJ73,Data_Validation!$A:$D,4,0)</f>
        <v>Déduction à la source</v>
      </c>
      <c r="AR73" s="487" t="s">
        <v>299</v>
      </c>
      <c r="AS73" s="487">
        <f>+VLOOKUP($AJ73,Data_Validation!$A:$E,5,0)</f>
        <v>0</v>
      </c>
      <c r="AT73" s="904" t="str">
        <f t="shared" si="9"/>
        <v>G0252</v>
      </c>
      <c r="AU73" s="488" t="str">
        <f t="shared" si="10"/>
        <v>TAXES PAYROLL USAGES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1279</v>
      </c>
      <c r="D74" s="706" t="s">
        <v>1280</v>
      </c>
      <c r="E74" s="706" t="s">
        <v>333</v>
      </c>
      <c r="F74" s="706" t="s">
        <v>1104</v>
      </c>
      <c r="G74" s="706">
        <v>20270.82</v>
      </c>
      <c r="H74" s="706">
        <v>21382.94</v>
      </c>
      <c r="I74" s="706">
        <v>24217.29</v>
      </c>
      <c r="J74" s="706">
        <v>31947.19</v>
      </c>
      <c r="K74" s="706">
        <v>36875.360000000001</v>
      </c>
      <c r="L74" s="706">
        <v>41827.78</v>
      </c>
      <c r="M74" s="706">
        <v>43077.19</v>
      </c>
      <c r="N74" s="706">
        <v>0</v>
      </c>
      <c r="O74" s="706">
        <v>0</v>
      </c>
      <c r="P74" s="706">
        <v>0</v>
      </c>
      <c r="Q74" s="706">
        <v>0</v>
      </c>
      <c r="R74" s="706">
        <v>0</v>
      </c>
      <c r="S74" s="706">
        <v>6971.3</v>
      </c>
      <c r="T74" s="706">
        <v>6971.3</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G0253</v>
      </c>
      <c r="AK74" s="905" t="str">
        <f t="shared" si="7"/>
        <v>TAXES PAYROLL U.S.A</v>
      </c>
      <c r="AL74" s="905">
        <f>IFERROR(INDEX(G74:R74,1,MATCH(Parametres!$B$3,G$1:R$1,0)-1)*IF(OR(F74="L",F74="S",F74="I"),-1,1),"")</f>
        <v>36875.360000000001</v>
      </c>
      <c r="AM74" s="905">
        <f t="shared" si="8"/>
        <v>4952.4199999999983</v>
      </c>
      <c r="AN74" s="905">
        <f>INDEX(G74:R74,1,MATCH(Parametres!$B$3,G$1:R$1,0))*IF(OR(F74="L",F74="S",F74="I"),-1,1)</f>
        <v>41827.78</v>
      </c>
      <c r="AO74" s="487" t="str">
        <f>+VLOOKUP($AJ74,Data_Validation!$A:$D,1,0)</f>
        <v>G0253</v>
      </c>
      <c r="AP74" s="487" t="str">
        <f>+VLOOKUP($AJ74,Data_Validation!$A:$D,3,0)</f>
        <v>Wholesale autres</v>
      </c>
      <c r="AQ74" s="487" t="str">
        <f>+VLOOKUP($AJ74,Data_Validation!$A:$D,4,0)</f>
        <v>Déduction à la source</v>
      </c>
      <c r="AR74" s="487" t="s">
        <v>299</v>
      </c>
      <c r="AS74" s="487">
        <f>+VLOOKUP($AJ74,Data_Validation!$A:$E,5,0)</f>
        <v>0</v>
      </c>
      <c r="AT74" s="904" t="str">
        <f t="shared" si="9"/>
        <v>G0253</v>
      </c>
      <c r="AU74" s="488" t="str">
        <f t="shared" si="10"/>
        <v>TAXES PAYROLL U.S.A</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customHeight="1">
      <c r="A75" s="706" t="s">
        <v>1148</v>
      </c>
      <c r="B75" s="706">
        <v>2026</v>
      </c>
      <c r="C75" s="706" t="s">
        <v>1281</v>
      </c>
      <c r="D75" s="706" t="s">
        <v>1282</v>
      </c>
      <c r="E75" s="706" t="s">
        <v>333</v>
      </c>
      <c r="F75" s="706" t="s">
        <v>1104</v>
      </c>
      <c r="G75" s="706">
        <v>17810.29</v>
      </c>
      <c r="H75" s="706">
        <v>34676.42</v>
      </c>
      <c r="I75" s="706">
        <v>54533.29</v>
      </c>
      <c r="J75" s="706">
        <v>75667.149999999994</v>
      </c>
      <c r="K75" s="706">
        <v>93129.58</v>
      </c>
      <c r="L75" s="706">
        <v>109204.66</v>
      </c>
      <c r="M75" s="706">
        <v>116250.96</v>
      </c>
      <c r="N75" s="706">
        <v>0</v>
      </c>
      <c r="O75" s="706">
        <v>0</v>
      </c>
      <c r="P75" s="706">
        <v>0</v>
      </c>
      <c r="Q75" s="706">
        <v>0</v>
      </c>
      <c r="R75" s="706">
        <v>0</v>
      </c>
      <c r="S75" s="706">
        <v>18200.78</v>
      </c>
      <c r="T75" s="706">
        <v>18200.78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G0254</v>
      </c>
      <c r="AK75" s="905" t="str">
        <f t="shared" si="7"/>
        <v>TAXES PAYROLL SERVICE</v>
      </c>
      <c r="AL75" s="905">
        <f>IFERROR(INDEX(G75:R75,1,MATCH(Parametres!$B$3,G$1:R$1,0)-1)*IF(OR(F75="L",F75="S",F75="I"),-1,1),"")</f>
        <v>93129.58</v>
      </c>
      <c r="AM75" s="905">
        <f t="shared" si="8"/>
        <v>16075.080000000002</v>
      </c>
      <c r="AN75" s="905">
        <f>INDEX(G75:R75,1,MATCH(Parametres!$B$3,G$1:R$1,0))*IF(OR(F75="L",F75="S",F75="I"),-1,1)</f>
        <v>109204.66</v>
      </c>
      <c r="AO75" s="487" t="str">
        <f>+VLOOKUP($AJ75,Data_Validation!$A:$D,1,0)</f>
        <v>G0254</v>
      </c>
      <c r="AP75" s="487" t="str">
        <f>+VLOOKUP($AJ75,Data_Validation!$A:$D,3,0)</f>
        <v>Service</v>
      </c>
      <c r="AQ75" s="487" t="str">
        <f>+VLOOKUP($AJ75,Data_Validation!$A:$D,4,0)</f>
        <v>Déduction à la source</v>
      </c>
      <c r="AR75" s="487" t="s">
        <v>299</v>
      </c>
      <c r="AS75" s="487">
        <f>+VLOOKUP($AJ75,Data_Validation!$A:$E,5,0)</f>
        <v>0</v>
      </c>
      <c r="AT75" s="904" t="str">
        <f t="shared" si="9"/>
        <v>G0254</v>
      </c>
      <c r="AU75" s="488" t="str">
        <f t="shared" si="10"/>
        <v>TAXES PAYROLL SERVICE</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1283</v>
      </c>
      <c r="D76" s="706" t="s">
        <v>1284</v>
      </c>
      <c r="E76" s="706" t="s">
        <v>333</v>
      </c>
      <c r="F76" s="706" t="s">
        <v>1104</v>
      </c>
      <c r="G76" s="706">
        <v>5336.96</v>
      </c>
      <c r="H76" s="706">
        <v>10803.11</v>
      </c>
      <c r="I76" s="706">
        <v>15409.83</v>
      </c>
      <c r="J76" s="706">
        <v>21428.65</v>
      </c>
      <c r="K76" s="706">
        <v>26890.2</v>
      </c>
      <c r="L76" s="706">
        <v>33135.82</v>
      </c>
      <c r="M76" s="706">
        <v>35978.879999999997</v>
      </c>
      <c r="N76" s="706">
        <v>0</v>
      </c>
      <c r="O76" s="706">
        <v>0</v>
      </c>
      <c r="P76" s="706">
        <v>0</v>
      </c>
      <c r="Q76" s="706">
        <v>0</v>
      </c>
      <c r="R76" s="706">
        <v>0</v>
      </c>
      <c r="S76" s="706">
        <v>5522.64</v>
      </c>
      <c r="T76" s="706">
        <v>5522.64</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G0255</v>
      </c>
      <c r="AK76" s="905" t="str">
        <f t="shared" si="7"/>
        <v>TAXES PAYROLL CARROSS.</v>
      </c>
      <c r="AL76" s="905">
        <f>IFERROR(INDEX(G76:R76,1,MATCH(Parametres!$B$3,G$1:R$1,0)-1)*IF(OR(F76="L",F76="S",F76="I"),-1,1),"")</f>
        <v>26890.2</v>
      </c>
      <c r="AM76" s="905">
        <f t="shared" si="8"/>
        <v>6245.619999999999</v>
      </c>
      <c r="AN76" s="905">
        <f>INDEX(G76:R76,1,MATCH(Parametres!$B$3,G$1:R$1,0))*IF(OR(F76="L",F76="S",F76="I"),-1,1)</f>
        <v>33135.82</v>
      </c>
      <c r="AO76" s="487" t="str">
        <f>+VLOOKUP($AJ76,Data_Validation!$A:$D,1,0)</f>
        <v>G0255</v>
      </c>
      <c r="AP76" s="487" t="str">
        <f>+VLOOKUP($AJ76,Data_Validation!$A:$D,3,0)</f>
        <v>Carrosserie</v>
      </c>
      <c r="AQ76" s="487" t="str">
        <f>+VLOOKUP($AJ76,Data_Validation!$A:$D,4,0)</f>
        <v>Déduction à la source</v>
      </c>
      <c r="AR76" s="487" t="s">
        <v>299</v>
      </c>
      <c r="AS76" s="487">
        <f>+VLOOKUP($AJ76,Data_Validation!$A:$E,5,0)</f>
        <v>0</v>
      </c>
      <c r="AT76" s="904" t="str">
        <f t="shared" si="9"/>
        <v>G0255</v>
      </c>
      <c r="AU76" s="488" t="str">
        <f t="shared" si="10"/>
        <v>TAXES PAYROLL CARROSS.</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2026</v>
      </c>
      <c r="C77" s="706" t="s">
        <v>1285</v>
      </c>
      <c r="D77" s="706" t="s">
        <v>1286</v>
      </c>
      <c r="E77" s="706" t="s">
        <v>333</v>
      </c>
      <c r="F77" s="706" t="s">
        <v>1104</v>
      </c>
      <c r="G77" s="706">
        <v>2930.86</v>
      </c>
      <c r="H77" s="706">
        <v>5913.56</v>
      </c>
      <c r="I77" s="706">
        <v>9470.3799999999992</v>
      </c>
      <c r="J77" s="706">
        <v>12336.04</v>
      </c>
      <c r="K77" s="706">
        <v>15695.39</v>
      </c>
      <c r="L77" s="706">
        <v>19177.02</v>
      </c>
      <c r="M77" s="706">
        <v>20673.759999999998</v>
      </c>
      <c r="N77" s="706">
        <v>0</v>
      </c>
      <c r="O77" s="706">
        <v>0</v>
      </c>
      <c r="P77" s="706">
        <v>0</v>
      </c>
      <c r="Q77" s="706">
        <v>0</v>
      </c>
      <c r="R77" s="706">
        <v>0</v>
      </c>
      <c r="S77" s="706">
        <v>3196.17</v>
      </c>
      <c r="T77" s="706">
        <v>3196.17</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G0256</v>
      </c>
      <c r="AK77" s="905" t="str">
        <f t="shared" si="7"/>
        <v>TAXES PAYROLL PIECES</v>
      </c>
      <c r="AL77" s="905">
        <f>IFERROR(INDEX(G77:R77,1,MATCH(Parametres!$B$3,G$1:R$1,0)-1)*IF(OR(F77="L",F77="S",F77="I"),-1,1),"")</f>
        <v>15695.39</v>
      </c>
      <c r="AM77" s="905">
        <f t="shared" si="8"/>
        <v>3481.630000000001</v>
      </c>
      <c r="AN77" s="905">
        <f>INDEX(G77:R77,1,MATCH(Parametres!$B$3,G$1:R$1,0))*IF(OR(F77="L",F77="S",F77="I"),-1,1)</f>
        <v>19177.02</v>
      </c>
      <c r="AO77" s="487" t="str">
        <f>+VLOOKUP($AJ77,Data_Validation!$A:$D,1,0)</f>
        <v>G0256</v>
      </c>
      <c r="AP77" s="487" t="str">
        <f>+VLOOKUP($AJ77,Data_Validation!$A:$D,3,0)</f>
        <v>Pièces</v>
      </c>
      <c r="AQ77" s="487" t="str">
        <f>+VLOOKUP($AJ77,Data_Validation!$A:$D,4,0)</f>
        <v>Déduction à la source</v>
      </c>
      <c r="AR77" s="487" t="s">
        <v>299</v>
      </c>
      <c r="AS77" s="487">
        <f>+VLOOKUP($AJ77,Data_Validation!$A:$E,5,0)</f>
        <v>0</v>
      </c>
      <c r="AT77" s="904" t="str">
        <f t="shared" si="9"/>
        <v>G0256</v>
      </c>
      <c r="AU77" s="488" t="str">
        <f t="shared" si="10"/>
        <v>TAXES PAYROLL PIECES</v>
      </c>
      <c r="AV77" s="899">
        <f>IFERROR(INDEX(V77:AG77,1,MATCH(Parametres!$B$3,V$1:AG$1,0)-1)*IF(OR(C77="L",C77="S",C77="I"),-1,1),"")</f>
        <v>0</v>
      </c>
      <c r="AW77" s="899">
        <f t="shared" si="11"/>
        <v>0</v>
      </c>
      <c r="AX77" s="899">
        <f>INDEX(V77:AG77,1,MATCH(Parametres!$B$3,V$1:AG$1,0))*IF(OR(C77="L",C77="S",C77="I"),-1,1)</f>
        <v>0</v>
      </c>
      <c r="AY77" s="487" t="s">
        <v>337</v>
      </c>
      <c r="AZ77" s="487">
        <f>+VLOOKUP($AJ77,Data_Validation!$A:$E,5,0)</f>
        <v>0</v>
      </c>
    </row>
    <row r="78" spans="1:52" ht="15" customHeight="1">
      <c r="A78" s="706" t="s">
        <v>1148</v>
      </c>
      <c r="B78" s="706">
        <v>2026</v>
      </c>
      <c r="C78" s="706" t="s">
        <v>1287</v>
      </c>
      <c r="D78" s="706" t="s">
        <v>1288</v>
      </c>
      <c r="E78" s="706" t="s">
        <v>333</v>
      </c>
      <c r="F78" s="706" t="s">
        <v>1104</v>
      </c>
      <c r="G78" s="706">
        <v>0</v>
      </c>
      <c r="H78" s="706">
        <v>0</v>
      </c>
      <c r="I78" s="706">
        <v>0</v>
      </c>
      <c r="J78" s="706">
        <v>0</v>
      </c>
      <c r="K78" s="706">
        <v>0</v>
      </c>
      <c r="L78" s="706">
        <v>4971.96</v>
      </c>
      <c r="M78" s="706">
        <v>7130.13</v>
      </c>
      <c r="N78" s="706">
        <v>0</v>
      </c>
      <c r="O78" s="706">
        <v>0</v>
      </c>
      <c r="P78" s="706">
        <v>0</v>
      </c>
      <c r="Q78" s="706">
        <v>0</v>
      </c>
      <c r="R78" s="706">
        <v>0</v>
      </c>
      <c r="S78" s="706">
        <v>828.66</v>
      </c>
      <c r="T78" s="706">
        <v>828.66</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G0257</v>
      </c>
      <c r="AK78" s="905" t="str">
        <f t="shared" si="7"/>
        <v>TAXES PAYROLL SAAQ</v>
      </c>
      <c r="AL78" s="905">
        <f>IFERROR(INDEX(G78:R78,1,MATCH(Parametres!$B$3,G$1:R$1,0)-1)*IF(OR(F78="L",F78="S",F78="I"),-1,1),"")</f>
        <v>0</v>
      </c>
      <c r="AM78" s="905">
        <f t="shared" si="8"/>
        <v>4971.96</v>
      </c>
      <c r="AN78" s="905">
        <f>INDEX(G78:R78,1,MATCH(Parametres!$B$3,G$1:R$1,0))*IF(OR(F78="L",F78="S",F78="I"),-1,1)</f>
        <v>4971.96</v>
      </c>
      <c r="AO78" s="487" t="str">
        <f>+VLOOKUP($AJ78,Data_Validation!$A:$D,1,0)</f>
        <v>G0257</v>
      </c>
      <c r="AP78" s="487" t="str">
        <f>+VLOOKUP($AJ78,Data_Validation!$A:$D,3,0)</f>
        <v>SAAQ</v>
      </c>
      <c r="AQ78" s="487" t="str">
        <f>+VLOOKUP($AJ78,Data_Validation!$A:$D,4,0)</f>
        <v>Déduction à la source</v>
      </c>
      <c r="AR78" s="487" t="s">
        <v>299</v>
      </c>
      <c r="AS78" s="487">
        <f>+VLOOKUP($AJ78,Data_Validation!$A:$E,5,0)</f>
        <v>0</v>
      </c>
      <c r="AT78" s="904" t="str">
        <f t="shared" si="9"/>
        <v>G0257</v>
      </c>
      <c r="AU78" s="488" t="str">
        <f t="shared" si="10"/>
        <v>TAXES PAYROLL SAAQ</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1289</v>
      </c>
      <c r="D79" s="706" t="s">
        <v>1290</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G0270</v>
      </c>
      <c r="AK79" s="905" t="str">
        <f t="shared" si="7"/>
        <v>AVANTAG.SOCIAUX REP.</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G0270</v>
      </c>
      <c r="AU79" s="488" t="str">
        <f t="shared" si="10"/>
        <v>AVANTAG.SOCIAUX REP.</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customHeight="1">
      <c r="A80" s="706" t="s">
        <v>1148</v>
      </c>
      <c r="B80" s="706">
        <v>2026</v>
      </c>
      <c r="C80" s="706" t="s">
        <v>3252</v>
      </c>
      <c r="D80" s="706" t="s">
        <v>1293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G02701</v>
      </c>
      <c r="AK80" s="905" t="str">
        <f t="shared" si="7"/>
        <v>AVANTAGES SOCIAUX NEUF/US</v>
      </c>
      <c r="AL80" s="905">
        <f>IFERROR(INDEX(G80:R80,1,MATCH(Parametres!$B$3,G$1:R$1,0)-1)*IF(OR(F80="L",F80="S",F80="I"),-1,1),"")</f>
        <v>0</v>
      </c>
      <c r="AM80" s="905">
        <f t="shared" si="8"/>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t="str">
        <f t="shared" si="9"/>
        <v>G02701</v>
      </c>
      <c r="AU80" s="488" t="str">
        <f t="shared" si="10"/>
        <v>AVANTAGES SOCIAUX NEUF/US</v>
      </c>
      <c r="AV80" s="899">
        <f>IFERROR(INDEX(V80:AG80,1,MATCH(Parametres!$B$3,V$1:AG$1,0)-1)*IF(OR(C80="L",C80="S",C80="I"),-1,1),"")</f>
        <v>0</v>
      </c>
      <c r="AW80" s="899">
        <f t="shared" si="11"/>
        <v>0</v>
      </c>
      <c r="AX80" s="899">
        <f>INDEX(V80:AG80,1,MATCH(Parametres!$B$3,V$1:AG$1,0))*IF(OR(C80="L",C80="S",C80="I"),-1,1)</f>
        <v>0</v>
      </c>
      <c r="AY80" s="487" t="s">
        <v>337</v>
      </c>
      <c r="AZ80" s="487" t="e">
        <f>+VLOOKUP($AJ80,Data_Validation!$A:$E,5,0)</f>
        <v>#N/A</v>
      </c>
    </row>
    <row r="81" spans="1:52" ht="15" customHeight="1">
      <c r="A81" s="706" t="s">
        <v>1148</v>
      </c>
      <c r="B81" s="706">
        <v>2026</v>
      </c>
      <c r="C81" s="706" t="s">
        <v>1291</v>
      </c>
      <c r="D81" s="706" t="s">
        <v>1292</v>
      </c>
      <c r="E81" s="706" t="s">
        <v>333</v>
      </c>
      <c r="F81" s="706" t="s">
        <v>1104</v>
      </c>
      <c r="G81" s="706">
        <v>4726.07</v>
      </c>
      <c r="H81" s="706">
        <v>15474.49</v>
      </c>
      <c r="I81" s="706">
        <v>17218.86</v>
      </c>
      <c r="J81" s="706">
        <v>21690.95</v>
      </c>
      <c r="K81" s="706">
        <v>23663.78</v>
      </c>
      <c r="L81" s="706">
        <v>25343.91</v>
      </c>
      <c r="M81" s="706">
        <v>26095.55</v>
      </c>
      <c r="N81" s="706">
        <v>0</v>
      </c>
      <c r="O81" s="706">
        <v>0</v>
      </c>
      <c r="P81" s="706">
        <v>0</v>
      </c>
      <c r="Q81" s="706">
        <v>0</v>
      </c>
      <c r="R81" s="706">
        <v>0</v>
      </c>
      <c r="S81" s="706">
        <v>4223.99</v>
      </c>
      <c r="T81" s="706">
        <v>4223.99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G0271</v>
      </c>
      <c r="AK81" s="905" t="str">
        <f t="shared" si="7"/>
        <v>AVANTAGES SOCIAUX NEUF</v>
      </c>
      <c r="AL81" s="905">
        <f>IFERROR(INDEX(G81:R81,1,MATCH(Parametres!$B$3,G$1:R$1,0)-1)*IF(OR(F81="L",F81="S",F81="I"),-1,1),"")</f>
        <v>23663.78</v>
      </c>
      <c r="AM81" s="905">
        <f t="shared" si="8"/>
        <v>1680.130000000001</v>
      </c>
      <c r="AN81" s="905">
        <f>INDEX(G81:R81,1,MATCH(Parametres!$B$3,G$1:R$1,0))*IF(OR(F81="L",F81="S",F81="I"),-1,1)</f>
        <v>25343.91</v>
      </c>
      <c r="AO81" s="487" t="str">
        <f>+VLOOKUP($AJ81,Data_Validation!$A:$D,1,0)</f>
        <v>G0271</v>
      </c>
      <c r="AP81" s="487" t="str">
        <f>+VLOOKUP($AJ81,Data_Validation!$A:$D,3,0)</f>
        <v>Véhicules neufs</v>
      </c>
      <c r="AQ81" s="487" t="str">
        <f>+VLOOKUP($AJ81,Data_Validation!$A:$D,4,0)</f>
        <v>Bénéfices marginaux</v>
      </c>
      <c r="AR81" s="487" t="s">
        <v>299</v>
      </c>
      <c r="AS81" s="487">
        <f>+VLOOKUP($AJ81,Data_Validation!$A:$E,5,0)</f>
        <v>0</v>
      </c>
      <c r="AT81" s="904" t="str">
        <f t="shared" si="9"/>
        <v>G0271</v>
      </c>
      <c r="AU81" s="488" t="str">
        <f t="shared" si="10"/>
        <v>AVANTAGES SOCIAUX NEUF</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customHeight="1">
      <c r="A82" s="706" t="s">
        <v>1148</v>
      </c>
      <c r="B82" s="706">
        <v>2026</v>
      </c>
      <c r="C82" s="706" t="s">
        <v>3268</v>
      </c>
      <c r="D82" s="706" t="s">
        <v>1293</v>
      </c>
      <c r="E82" s="706" t="s">
        <v>333</v>
      </c>
      <c r="F82" s="706" t="s">
        <v>1104</v>
      </c>
      <c r="G82" s="706">
        <v>0</v>
      </c>
      <c r="H82" s="706">
        <v>0</v>
      </c>
      <c r="I82" s="706">
        <v>0</v>
      </c>
      <c r="J82" s="706">
        <v>0</v>
      </c>
      <c r="K82" s="706">
        <v>0</v>
      </c>
      <c r="L82" s="706">
        <v>0</v>
      </c>
      <c r="M82" s="706">
        <v>0</v>
      </c>
      <c r="N82" s="706">
        <v>0</v>
      </c>
      <c r="O82" s="706">
        <v>0</v>
      </c>
      <c r="P82" s="706">
        <v>0</v>
      </c>
      <c r="Q82" s="706">
        <v>0</v>
      </c>
      <c r="R82" s="706">
        <v>0</v>
      </c>
      <c r="S82" s="706">
        <v>0</v>
      </c>
      <c r="T82" s="706">
        <v>0</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G027101</v>
      </c>
      <c r="AK82" s="905" t="str">
        <f t="shared" si="7"/>
        <v>AVANTAGES SOCIAUX NEUF/US</v>
      </c>
      <c r="AL82" s="905">
        <f>IFERROR(INDEX(G82:R82,1,MATCH(Parametres!$B$3,G$1:R$1,0)-1)*IF(OR(F82="L",F82="S",F82="I"),-1,1),"")</f>
        <v>0</v>
      </c>
      <c r="AM82" s="905">
        <f t="shared" si="8"/>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t="str">
        <f t="shared" si="9"/>
        <v>G027101</v>
      </c>
      <c r="AU82" s="488" t="str">
        <f t="shared" si="10"/>
        <v>AVANTAGES SOCIAUX NEUF/US</v>
      </c>
      <c r="AV82" s="899">
        <f>IFERROR(INDEX(V82:AG82,1,MATCH(Parametres!$B$3,V$1:AG$1,0)-1)*IF(OR(C82="L",C82="S",C82="I"),-1,1),"")</f>
        <v>0</v>
      </c>
      <c r="AW82" s="899">
        <f t="shared" si="11"/>
        <v>0</v>
      </c>
      <c r="AX82" s="899">
        <f>INDEX(V82:AG82,1,MATCH(Parametres!$B$3,V$1:AG$1,0))*IF(OR(C82="L",C82="S",C82="I"),-1,1)</f>
        <v>0</v>
      </c>
      <c r="AY82" s="487" t="s">
        <v>337</v>
      </c>
      <c r="AZ82" s="487" t="e">
        <f>+VLOOKUP($AJ82,Data_Validation!$A:$E,5,0)</f>
        <v>#N/A</v>
      </c>
    </row>
    <row r="83" spans="1:52" ht="15" customHeight="1">
      <c r="A83" s="706" t="s">
        <v>1148</v>
      </c>
      <c r="B83" s="706">
        <v>2026</v>
      </c>
      <c r="C83" s="706" t="s">
        <v>1294</v>
      </c>
      <c r="D83" s="706" t="s">
        <v>1295</v>
      </c>
      <c r="E83" s="706" t="s">
        <v>333</v>
      </c>
      <c r="F83" s="706" t="s">
        <v>1104</v>
      </c>
      <c r="G83" s="706">
        <v>2361.33</v>
      </c>
      <c r="H83" s="706">
        <v>13171.15</v>
      </c>
      <c r="I83" s="706">
        <v>13141.15</v>
      </c>
      <c r="J83" s="706">
        <v>15363.44</v>
      </c>
      <c r="K83" s="706">
        <v>16111.55</v>
      </c>
      <c r="L83" s="706">
        <v>16751.66</v>
      </c>
      <c r="M83" s="706">
        <v>17152.650000000001</v>
      </c>
      <c r="N83" s="706">
        <v>0</v>
      </c>
      <c r="O83" s="706">
        <v>0</v>
      </c>
      <c r="P83" s="706">
        <v>0</v>
      </c>
      <c r="Q83" s="706">
        <v>0</v>
      </c>
      <c r="R83" s="706">
        <v>0</v>
      </c>
      <c r="S83" s="706">
        <v>2791.94</v>
      </c>
      <c r="T83" s="706">
        <v>2791.94</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G0272</v>
      </c>
      <c r="AK83" s="905" t="str">
        <f t="shared" si="7"/>
        <v>AVANTAGES SOCIAUX USAG</v>
      </c>
      <c r="AL83" s="905">
        <f>IFERROR(INDEX(G83:R83,1,MATCH(Parametres!$B$3,G$1:R$1,0)-1)*IF(OR(F83="L",F83="S",F83="I"),-1,1),"")</f>
        <v>16111.55</v>
      </c>
      <c r="AM83" s="905">
        <f t="shared" si="8"/>
        <v>640.11000000000058</v>
      </c>
      <c r="AN83" s="905">
        <f>INDEX(G83:R83,1,MATCH(Parametres!$B$3,G$1:R$1,0))*IF(OR(F83="L",F83="S",F83="I"),-1,1)</f>
        <v>16751.66</v>
      </c>
      <c r="AO83" s="487" t="str">
        <f>+VLOOKUP($AJ83,Data_Validation!$A:$D,1,0)</f>
        <v>G0272</v>
      </c>
      <c r="AP83" s="487" t="str">
        <f>+VLOOKUP($AJ83,Data_Validation!$A:$D,3,0)</f>
        <v>Véhicules usagés</v>
      </c>
      <c r="AQ83" s="487" t="str">
        <f>+VLOOKUP($AJ83,Data_Validation!$A:$D,4,0)</f>
        <v>Bénéfices marginaux</v>
      </c>
      <c r="AR83" s="487" t="s">
        <v>299</v>
      </c>
      <c r="AS83" s="487">
        <f>+VLOOKUP($AJ83,Data_Validation!$A:$E,5,0)</f>
        <v>0</v>
      </c>
      <c r="AT83" s="904" t="str">
        <f t="shared" si="9"/>
        <v>G0272</v>
      </c>
      <c r="AU83" s="488" t="str">
        <f t="shared" si="10"/>
        <v>AVANTAGES SOCIAUX USAG</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1296</v>
      </c>
      <c r="D84" s="706" t="s">
        <v>1297</v>
      </c>
      <c r="E84" s="706" t="s">
        <v>333</v>
      </c>
      <c r="F84" s="706" t="s">
        <v>1104</v>
      </c>
      <c r="G84" s="706">
        <v>3458.1</v>
      </c>
      <c r="H84" s="706">
        <v>3777.38</v>
      </c>
      <c r="I84" s="706">
        <v>5933.79</v>
      </c>
      <c r="J84" s="706">
        <v>6422.97</v>
      </c>
      <c r="K84" s="706">
        <v>6763.79</v>
      </c>
      <c r="L84" s="706">
        <v>7455.73</v>
      </c>
      <c r="M84" s="706">
        <v>7646.21</v>
      </c>
      <c r="N84" s="706">
        <v>0</v>
      </c>
      <c r="O84" s="706">
        <v>0</v>
      </c>
      <c r="P84" s="706">
        <v>0</v>
      </c>
      <c r="Q84" s="706">
        <v>0</v>
      </c>
      <c r="R84" s="706">
        <v>0</v>
      </c>
      <c r="S84" s="706">
        <v>1242.6199999999999</v>
      </c>
      <c r="T84" s="706">
        <v>1242.6199999999999</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G0273</v>
      </c>
      <c r="AK84" s="905" t="str">
        <f t="shared" si="7"/>
        <v>AVANTAGES SOCIAUX U.S.A</v>
      </c>
      <c r="AL84" s="905">
        <f>IFERROR(INDEX(G84:R84,1,MATCH(Parametres!$B$3,G$1:R$1,0)-1)*IF(OR(F84="L",F84="S",F84="I"),-1,1),"")</f>
        <v>6763.79</v>
      </c>
      <c r="AM84" s="905">
        <f t="shared" si="8"/>
        <v>691.9399999999996</v>
      </c>
      <c r="AN84" s="905">
        <f>INDEX(G84:R84,1,MATCH(Parametres!$B$3,G$1:R$1,0))*IF(OR(F84="L",F84="S",F84="I"),-1,1)</f>
        <v>7455.73</v>
      </c>
      <c r="AO84" s="487" t="str">
        <f>+VLOOKUP($AJ84,Data_Validation!$A:$D,1,0)</f>
        <v>G0273</v>
      </c>
      <c r="AP84" s="487" t="str">
        <f>+VLOOKUP($AJ84,Data_Validation!$A:$D,3,0)</f>
        <v>Wholesale autres</v>
      </c>
      <c r="AQ84" s="487" t="str">
        <f>+VLOOKUP($AJ84,Data_Validation!$A:$D,4,0)</f>
        <v>Bénéfices marginaux</v>
      </c>
      <c r="AR84" s="487" t="s">
        <v>299</v>
      </c>
      <c r="AS84" s="487">
        <f>+VLOOKUP($AJ84,Data_Validation!$A:$E,5,0)</f>
        <v>0</v>
      </c>
      <c r="AT84" s="904" t="str">
        <f t="shared" si="9"/>
        <v>G0273</v>
      </c>
      <c r="AU84" s="488" t="str">
        <f t="shared" si="10"/>
        <v>AVANTAGES SOCIAUX U.S.A</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customHeight="1">
      <c r="A85" s="706" t="s">
        <v>1148</v>
      </c>
      <c r="B85" s="706">
        <v>2026</v>
      </c>
      <c r="C85" s="706" t="s">
        <v>1298</v>
      </c>
      <c r="D85" s="706" t="s">
        <v>1299</v>
      </c>
      <c r="E85" s="706" t="s">
        <v>333</v>
      </c>
      <c r="F85" s="706" t="s">
        <v>1104</v>
      </c>
      <c r="G85" s="706">
        <v>9755.66</v>
      </c>
      <c r="H85" s="706">
        <v>25263.22</v>
      </c>
      <c r="I85" s="706">
        <v>31046</v>
      </c>
      <c r="J85" s="706">
        <v>39396.44</v>
      </c>
      <c r="K85" s="706">
        <v>43809.85</v>
      </c>
      <c r="L85" s="706">
        <v>48108.2</v>
      </c>
      <c r="M85" s="706">
        <v>50965.04</v>
      </c>
      <c r="N85" s="706">
        <v>0</v>
      </c>
      <c r="O85" s="706">
        <v>0</v>
      </c>
      <c r="P85" s="706">
        <v>0</v>
      </c>
      <c r="Q85" s="706">
        <v>0</v>
      </c>
      <c r="R85" s="706">
        <v>0</v>
      </c>
      <c r="S85" s="706">
        <v>8018.03</v>
      </c>
      <c r="T85" s="706">
        <v>8018.03</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G0274</v>
      </c>
      <c r="AK85" s="905" t="str">
        <f t="shared" si="7"/>
        <v>AVANTAGES SOCIAUX SERV</v>
      </c>
      <c r="AL85" s="905">
        <f>IFERROR(INDEX(G85:R85,1,MATCH(Parametres!$B$3,G$1:R$1,0)-1)*IF(OR(F85="L",F85="S",F85="I"),-1,1),"")</f>
        <v>43809.85</v>
      </c>
      <c r="AM85" s="905">
        <f t="shared" si="8"/>
        <v>4298.3499999999985</v>
      </c>
      <c r="AN85" s="905">
        <f>INDEX(G85:R85,1,MATCH(Parametres!$B$3,G$1:R$1,0))*IF(OR(F85="L",F85="S",F85="I"),-1,1)</f>
        <v>48108.2</v>
      </c>
      <c r="AO85" s="487" t="str">
        <f>+VLOOKUP($AJ85,Data_Validation!$A:$D,1,0)</f>
        <v>G0274</v>
      </c>
      <c r="AP85" s="487" t="str">
        <f>+VLOOKUP($AJ85,Data_Validation!$A:$D,3,0)</f>
        <v>Service</v>
      </c>
      <c r="AQ85" s="487" t="str">
        <f>+VLOOKUP($AJ85,Data_Validation!$A:$D,4,0)</f>
        <v>Bénéfices marginaux</v>
      </c>
      <c r="AR85" s="487" t="s">
        <v>299</v>
      </c>
      <c r="AS85" s="487">
        <f>+VLOOKUP($AJ85,Data_Validation!$A:$E,5,0)</f>
        <v>0</v>
      </c>
      <c r="AT85" s="904" t="str">
        <f t="shared" si="9"/>
        <v>G0274</v>
      </c>
      <c r="AU85" s="488" t="str">
        <f t="shared" si="10"/>
        <v>AVANTAGES SOCIAUX SERV</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1300</v>
      </c>
      <c r="D86" s="706" t="s">
        <v>1301</v>
      </c>
      <c r="E86" s="706" t="s">
        <v>333</v>
      </c>
      <c r="F86" s="706" t="s">
        <v>1104</v>
      </c>
      <c r="G86" s="706">
        <v>2750.89</v>
      </c>
      <c r="H86" s="706">
        <v>7139.63</v>
      </c>
      <c r="I86" s="706">
        <v>8152.56</v>
      </c>
      <c r="J86" s="706">
        <v>10160.91</v>
      </c>
      <c r="K86" s="706">
        <v>11231.04</v>
      </c>
      <c r="L86" s="706">
        <v>12303.01</v>
      </c>
      <c r="M86" s="706">
        <v>12921.25</v>
      </c>
      <c r="N86" s="706">
        <v>0</v>
      </c>
      <c r="O86" s="706">
        <v>0</v>
      </c>
      <c r="P86" s="706">
        <v>0</v>
      </c>
      <c r="Q86" s="706">
        <v>0</v>
      </c>
      <c r="R86" s="706">
        <v>0</v>
      </c>
      <c r="S86" s="706">
        <v>2050.5</v>
      </c>
      <c r="T86" s="706">
        <v>2050.5</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G0275</v>
      </c>
      <c r="AK86" s="905" t="str">
        <f t="shared" si="7"/>
        <v>AVANTAGES SOCIAUX CARROSS</v>
      </c>
      <c r="AL86" s="905">
        <f>IFERROR(INDEX(G86:R86,1,MATCH(Parametres!$B$3,G$1:R$1,0)-1)*IF(OR(F86="L",F86="S",F86="I"),-1,1),"")</f>
        <v>11231.04</v>
      </c>
      <c r="AM86" s="905">
        <f t="shared" si="8"/>
        <v>1071.9699999999993</v>
      </c>
      <c r="AN86" s="905">
        <f>INDEX(G86:R86,1,MATCH(Parametres!$B$3,G$1:R$1,0))*IF(OR(F86="L",F86="S",F86="I"),-1,1)</f>
        <v>12303.01</v>
      </c>
      <c r="AO86" s="487" t="str">
        <f>+VLOOKUP($AJ86,Data_Validation!$A:$D,1,0)</f>
        <v>G0275</v>
      </c>
      <c r="AP86" s="487" t="str">
        <f>+VLOOKUP($AJ86,Data_Validation!$A:$D,3,0)</f>
        <v>Carrosserie</v>
      </c>
      <c r="AQ86" s="487" t="str">
        <f>+VLOOKUP($AJ86,Data_Validation!$A:$D,4,0)</f>
        <v>Bénéfices marginaux</v>
      </c>
      <c r="AR86" s="487" t="s">
        <v>299</v>
      </c>
      <c r="AS86" s="487">
        <f>+VLOOKUP($AJ86,Data_Validation!$A:$E,5,0)</f>
        <v>0</v>
      </c>
      <c r="AT86" s="904" t="str">
        <f t="shared" si="9"/>
        <v>G0275</v>
      </c>
      <c r="AU86" s="488" t="str">
        <f t="shared" si="10"/>
        <v>AVANTAGES SOCIAUX CARROSS</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2026</v>
      </c>
      <c r="C87" s="706" t="s">
        <v>1302</v>
      </c>
      <c r="D87" s="706" t="s">
        <v>1303</v>
      </c>
      <c r="E87" s="706" t="s">
        <v>333</v>
      </c>
      <c r="F87" s="706" t="s">
        <v>1104</v>
      </c>
      <c r="G87" s="706">
        <v>1425.1</v>
      </c>
      <c r="H87" s="706">
        <v>4410.57</v>
      </c>
      <c r="I87" s="706">
        <v>4889.63</v>
      </c>
      <c r="J87" s="706">
        <v>6150.36</v>
      </c>
      <c r="K87" s="706">
        <v>6673.64</v>
      </c>
      <c r="L87" s="706">
        <v>7079.69</v>
      </c>
      <c r="M87" s="706">
        <v>7325.09</v>
      </c>
      <c r="N87" s="706">
        <v>0</v>
      </c>
      <c r="O87" s="706">
        <v>0</v>
      </c>
      <c r="P87" s="706">
        <v>0</v>
      </c>
      <c r="Q87" s="706">
        <v>0</v>
      </c>
      <c r="R87" s="706">
        <v>0</v>
      </c>
      <c r="S87" s="706">
        <v>1179.95</v>
      </c>
      <c r="T87" s="706">
        <v>1179.95</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G0276</v>
      </c>
      <c r="AK87" s="905" t="str">
        <f t="shared" si="7"/>
        <v>AVANTAGES SOCIAUX PCES</v>
      </c>
      <c r="AL87" s="905">
        <f>IFERROR(INDEX(G87:R87,1,MATCH(Parametres!$B$3,G$1:R$1,0)-1)*IF(OR(F87="L",F87="S",F87="I"),-1,1),"")</f>
        <v>6673.64</v>
      </c>
      <c r="AM87" s="905">
        <f t="shared" si="8"/>
        <v>406.04999999999927</v>
      </c>
      <c r="AN87" s="905">
        <f>INDEX(G87:R87,1,MATCH(Parametres!$B$3,G$1:R$1,0))*IF(OR(F87="L",F87="S",F87="I"),-1,1)</f>
        <v>7079.69</v>
      </c>
      <c r="AO87" s="487" t="str">
        <f>+VLOOKUP($AJ87,Data_Validation!$A:$D,1,0)</f>
        <v>G0276</v>
      </c>
      <c r="AP87" s="487" t="str">
        <f>+VLOOKUP($AJ87,Data_Validation!$A:$D,3,0)</f>
        <v>Pièces</v>
      </c>
      <c r="AQ87" s="487" t="str">
        <f>+VLOOKUP($AJ87,Data_Validation!$A:$D,4,0)</f>
        <v>Bénéfices marginaux</v>
      </c>
      <c r="AR87" s="487" t="s">
        <v>299</v>
      </c>
      <c r="AS87" s="487">
        <f>+VLOOKUP($AJ87,Data_Validation!$A:$E,5,0)</f>
        <v>0</v>
      </c>
      <c r="AT87" s="904" t="str">
        <f t="shared" si="9"/>
        <v>G0276</v>
      </c>
      <c r="AU87" s="488" t="str">
        <f t="shared" si="10"/>
        <v>AVANTAGES SOCIAUX PCES</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customHeight="1">
      <c r="A88" s="706" t="s">
        <v>1148</v>
      </c>
      <c r="B88" s="706">
        <v>2026</v>
      </c>
      <c r="C88" s="706" t="s">
        <v>1304</v>
      </c>
      <c r="D88" s="706" t="s">
        <v>1305</v>
      </c>
      <c r="E88" s="706" t="s">
        <v>333</v>
      </c>
      <c r="F88" s="706" t="s">
        <v>1104</v>
      </c>
      <c r="G88" s="706">
        <v>0</v>
      </c>
      <c r="H88" s="706">
        <v>0</v>
      </c>
      <c r="I88" s="706">
        <v>0</v>
      </c>
      <c r="J88" s="706">
        <v>0</v>
      </c>
      <c r="K88" s="706">
        <v>0</v>
      </c>
      <c r="L88" s="706">
        <v>1046.9000000000001</v>
      </c>
      <c r="M88" s="706">
        <v>1506.32</v>
      </c>
      <c r="N88" s="706">
        <v>0</v>
      </c>
      <c r="O88" s="706">
        <v>0</v>
      </c>
      <c r="P88" s="706">
        <v>0</v>
      </c>
      <c r="Q88" s="706">
        <v>0</v>
      </c>
      <c r="R88" s="706">
        <v>0</v>
      </c>
      <c r="S88" s="706">
        <v>174.48</v>
      </c>
      <c r="T88" s="706">
        <v>174.48</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G0277</v>
      </c>
      <c r="AK88" s="905" t="str">
        <f t="shared" si="7"/>
        <v>AVANTAGES SOCIAUX SAAQ</v>
      </c>
      <c r="AL88" s="905">
        <f>IFERROR(INDEX(G88:R88,1,MATCH(Parametres!$B$3,G$1:R$1,0)-1)*IF(OR(F88="L",F88="S",F88="I"),-1,1),"")</f>
        <v>0</v>
      </c>
      <c r="AM88" s="905">
        <f t="shared" si="8"/>
        <v>1046.9000000000001</v>
      </c>
      <c r="AN88" s="905">
        <f>INDEX(G88:R88,1,MATCH(Parametres!$B$3,G$1:R$1,0))*IF(OR(F88="L",F88="S",F88="I"),-1,1)</f>
        <v>1046.9000000000001</v>
      </c>
      <c r="AO88" s="487" t="str">
        <f>+VLOOKUP($AJ88,Data_Validation!$A:$D,1,0)</f>
        <v>G0277</v>
      </c>
      <c r="AP88" s="487" t="str">
        <f>+VLOOKUP($AJ88,Data_Validation!$A:$D,3,0)</f>
        <v>SAAQ</v>
      </c>
      <c r="AQ88" s="487" t="str">
        <f>+VLOOKUP($AJ88,Data_Validation!$A:$D,4,0)</f>
        <v>Bénéfices marginaux</v>
      </c>
      <c r="AR88" s="487" t="s">
        <v>299</v>
      </c>
      <c r="AS88" s="487">
        <f>+VLOOKUP($AJ88,Data_Validation!$A:$E,5,0)</f>
        <v>0</v>
      </c>
      <c r="AT88" s="904" t="str">
        <f t="shared" si="9"/>
        <v>G0277</v>
      </c>
      <c r="AU88" s="488" t="str">
        <f t="shared" si="10"/>
        <v>AVANTAGES SOCIAUX SAAQ</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1306</v>
      </c>
      <c r="D89" s="706" t="s">
        <v>1307</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G0279</v>
      </c>
      <c r="AK89" s="905" t="str">
        <f t="shared" si="7"/>
        <v>AVANTAGES SOCIAUX ADM.</v>
      </c>
      <c r="AL89" s="905">
        <f>IFERROR(INDEX(G89:R89,1,MATCH(Parametres!$B$3,G$1:R$1,0)-1)*IF(OR(F89="L",F89="S",F89="I"),-1,1),"")</f>
        <v>0</v>
      </c>
      <c r="AM89" s="905">
        <f t="shared" si="8"/>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t="str">
        <f t="shared" si="9"/>
        <v>G0279</v>
      </c>
      <c r="AU89" s="488" t="str">
        <f t="shared" si="10"/>
        <v>AVANTAGES SOCIAUX ADM.</v>
      </c>
      <c r="AV89" s="899">
        <f>IFERROR(INDEX(V89:AG89,1,MATCH(Parametres!$B$3,V$1:AG$1,0)-1)*IF(OR(C89="L",C89="S",C89="I"),-1,1),"")</f>
        <v>0</v>
      </c>
      <c r="AW89" s="899">
        <f t="shared" si="11"/>
        <v>0</v>
      </c>
      <c r="AX89" s="899">
        <f>INDEX(V89:AG89,1,MATCH(Parametres!$B$3,V$1:AG$1,0))*IF(OR(C89="L",C89="S",C89="I"),-1,1)</f>
        <v>0</v>
      </c>
      <c r="AY89" s="487" t="s">
        <v>337</v>
      </c>
      <c r="AZ89" s="487" t="e">
        <f>+VLOOKUP($AJ89,Data_Validation!$A:$E,5,0)</f>
        <v>#N/A</v>
      </c>
    </row>
    <row r="90" spans="1:52" ht="15" customHeight="1">
      <c r="A90" s="706" t="s">
        <v>1148</v>
      </c>
      <c r="B90" s="706">
        <v>2026</v>
      </c>
      <c r="C90" s="706" t="s">
        <v>1308</v>
      </c>
      <c r="D90" s="706" t="s">
        <v>1309</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G0290</v>
      </c>
      <c r="AK90" s="905" t="str">
        <f t="shared" si="7"/>
        <v>FONDS PENSION REP.</v>
      </c>
      <c r="AL90" s="905">
        <f>IFERROR(INDEX(G90:R90,1,MATCH(Parametres!$B$3,G$1:R$1,0)-1)*IF(OR(F90="L",F90="S",F90="I"),-1,1),"")</f>
        <v>0</v>
      </c>
      <c r="AM90" s="905">
        <f t="shared" si="8"/>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t="str">
        <f t="shared" si="9"/>
        <v>G0290</v>
      </c>
      <c r="AU90" s="488" t="str">
        <f t="shared" si="10"/>
        <v>FONDS PENSION REP.</v>
      </c>
      <c r="AV90" s="899">
        <f>IFERROR(INDEX(V90:AG90,1,MATCH(Parametres!$B$3,V$1:AG$1,0)-1)*IF(OR(C90="L",C90="S",C90="I"),-1,1),"")</f>
        <v>0</v>
      </c>
      <c r="AW90" s="899">
        <f t="shared" si="11"/>
        <v>0</v>
      </c>
      <c r="AX90" s="899">
        <f>INDEX(V90:AG90,1,MATCH(Parametres!$B$3,V$1:AG$1,0))*IF(OR(C90="L",C90="S",C90="I"),-1,1)</f>
        <v>0</v>
      </c>
      <c r="AY90" s="487" t="s">
        <v>337</v>
      </c>
      <c r="AZ90" s="487" t="e">
        <f>+VLOOKUP($AJ90,Data_Validation!$A:$E,5,0)</f>
        <v>#N/A</v>
      </c>
    </row>
    <row r="91" spans="1:52" ht="15" customHeight="1">
      <c r="A91" s="706" t="s">
        <v>1148</v>
      </c>
      <c r="B91" s="706">
        <v>2026</v>
      </c>
      <c r="C91" s="706" t="s">
        <v>3253</v>
      </c>
      <c r="D91" s="706" t="s">
        <v>3254</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G02901</v>
      </c>
      <c r="AK91" s="905" t="str">
        <f t="shared" si="7"/>
        <v>FONDS PENSION NEUF/USAGE</v>
      </c>
      <c r="AL91" s="905">
        <f>IFERROR(INDEX(G91:R91,1,MATCH(Parametres!$B$3,G$1:R$1,0)-1)*IF(OR(F91="L",F91="S",F91="I"),-1,1),"")</f>
        <v>0</v>
      </c>
      <c r="AM91" s="905">
        <f t="shared" si="8"/>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t="str">
        <f t="shared" si="9"/>
        <v>G02901</v>
      </c>
      <c r="AU91" s="488" t="str">
        <f t="shared" si="10"/>
        <v>FONDS PENSION NEUF/USAGE</v>
      </c>
      <c r="AV91" s="899">
        <f>IFERROR(INDEX(V91:AG91,1,MATCH(Parametres!$B$3,V$1:AG$1,0)-1)*IF(OR(C91="L",C91="S",C91="I"),-1,1),"")</f>
        <v>0</v>
      </c>
      <c r="AW91" s="899">
        <f t="shared" si="11"/>
        <v>0</v>
      </c>
      <c r="AX91" s="899">
        <f>INDEX(V91:AG91,1,MATCH(Parametres!$B$3,V$1:AG$1,0))*IF(OR(C91="L",C91="S",C91="I"),-1,1)</f>
        <v>0</v>
      </c>
      <c r="AY91" s="487" t="s">
        <v>337</v>
      </c>
      <c r="AZ91" s="487" t="e">
        <f>+VLOOKUP($AJ91,Data_Validation!$A:$E,5,0)</f>
        <v>#N/A</v>
      </c>
    </row>
    <row r="92" spans="1:52" ht="15" customHeight="1">
      <c r="A92" s="706" t="s">
        <v>1148</v>
      </c>
      <c r="B92" s="706">
        <v>2026</v>
      </c>
      <c r="C92" s="706" t="s">
        <v>1310</v>
      </c>
      <c r="D92" s="706" t="s">
        <v>1311</v>
      </c>
      <c r="E92" s="706" t="s">
        <v>333</v>
      </c>
      <c r="F92" s="706" t="s">
        <v>1104</v>
      </c>
      <c r="G92" s="706">
        <v>237.49</v>
      </c>
      <c r="H92" s="706">
        <v>700.2</v>
      </c>
      <c r="I92" s="706">
        <v>5373.9</v>
      </c>
      <c r="J92" s="706">
        <v>7968.09</v>
      </c>
      <c r="K92" s="706">
        <v>10754.93</v>
      </c>
      <c r="L92" s="706">
        <v>14626.95</v>
      </c>
      <c r="M92" s="706">
        <v>17504.810000000001</v>
      </c>
      <c r="N92" s="706">
        <v>0</v>
      </c>
      <c r="O92" s="706">
        <v>0</v>
      </c>
      <c r="P92" s="706">
        <v>0</v>
      </c>
      <c r="Q92" s="706">
        <v>0</v>
      </c>
      <c r="R92" s="706">
        <v>0</v>
      </c>
      <c r="S92" s="706">
        <v>2437.83</v>
      </c>
      <c r="T92" s="706">
        <v>2437.83</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G0291</v>
      </c>
      <c r="AK92" s="905" t="str">
        <f t="shared" si="7"/>
        <v>FONDS PENSION VEH. NEUFS</v>
      </c>
      <c r="AL92" s="905">
        <f>IFERROR(INDEX(G92:R92,1,MATCH(Parametres!$B$3,G$1:R$1,0)-1)*IF(OR(F92="L",F92="S",F92="I"),-1,1),"")</f>
        <v>10754.93</v>
      </c>
      <c r="AM92" s="905">
        <f t="shared" si="8"/>
        <v>3872.0200000000004</v>
      </c>
      <c r="AN92" s="905">
        <f>INDEX(G92:R92,1,MATCH(Parametres!$B$3,G$1:R$1,0))*IF(OR(F92="L",F92="S",F92="I"),-1,1)</f>
        <v>14626.95</v>
      </c>
      <c r="AO92" s="487" t="str">
        <f>+VLOOKUP($AJ92,Data_Validation!$A:$D,1,0)</f>
        <v>G0291</v>
      </c>
      <c r="AP92" s="487" t="str">
        <f>+VLOOKUP($AJ92,Data_Validation!$A:$D,3,0)</f>
        <v>Véhicules neufs</v>
      </c>
      <c r="AQ92" s="487" t="str">
        <f>+VLOOKUP($AJ92,Data_Validation!$A:$D,4,0)</f>
        <v>Csst</v>
      </c>
      <c r="AR92" s="487" t="s">
        <v>299</v>
      </c>
      <c r="AS92" s="487">
        <f>+VLOOKUP($AJ92,Data_Validation!$A:$E,5,0)</f>
        <v>0</v>
      </c>
      <c r="AT92" s="904" t="str">
        <f t="shared" si="9"/>
        <v>G0291</v>
      </c>
      <c r="AU92" s="488" t="str">
        <f t="shared" si="10"/>
        <v>FONDS PENSION VEH. NEUFS</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customHeight="1">
      <c r="A93" s="706" t="s">
        <v>1148</v>
      </c>
      <c r="B93" s="706">
        <v>2026</v>
      </c>
      <c r="C93" s="706" t="s">
        <v>3269</v>
      </c>
      <c r="D93" s="706" t="s">
        <v>3270</v>
      </c>
      <c r="E93" s="706" t="s">
        <v>333</v>
      </c>
      <c r="F93" s="706" t="s">
        <v>1104</v>
      </c>
      <c r="G93" s="706">
        <v>0</v>
      </c>
      <c r="H93" s="706">
        <v>0</v>
      </c>
      <c r="I93" s="706">
        <v>0</v>
      </c>
      <c r="J93" s="706">
        <v>0</v>
      </c>
      <c r="K93" s="706">
        <v>0</v>
      </c>
      <c r="L93" s="706">
        <v>0</v>
      </c>
      <c r="M93" s="706">
        <v>0</v>
      </c>
      <c r="N93" s="706">
        <v>0</v>
      </c>
      <c r="O93" s="706">
        <v>0</v>
      </c>
      <c r="P93" s="706">
        <v>0</v>
      </c>
      <c r="Q93" s="706">
        <v>0</v>
      </c>
      <c r="R93" s="706">
        <v>0</v>
      </c>
      <c r="S93" s="706">
        <v>0</v>
      </c>
      <c r="T93" s="706">
        <v>0</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G029101</v>
      </c>
      <c r="AK93" s="905" t="str">
        <f t="shared" si="7"/>
        <v>FONDS PENSION VEH. NF/US</v>
      </c>
      <c r="AL93" s="905">
        <f>IFERROR(INDEX(G93:R93,1,MATCH(Parametres!$B$3,G$1:R$1,0)-1)*IF(OR(F93="L",F93="S",F93="I"),-1,1),"")</f>
        <v>0</v>
      </c>
      <c r="AM93" s="905">
        <f t="shared" si="8"/>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t="str">
        <f t="shared" si="9"/>
        <v>G029101</v>
      </c>
      <c r="AU93" s="488" t="str">
        <f t="shared" si="10"/>
        <v>FONDS PENSION VEH. NF/US</v>
      </c>
      <c r="AV93" s="899">
        <f>IFERROR(INDEX(V93:AG93,1,MATCH(Parametres!$B$3,V$1:AG$1,0)-1)*IF(OR(C93="L",C93="S",C93="I"),-1,1),"")</f>
        <v>0</v>
      </c>
      <c r="AW93" s="899">
        <f t="shared" si="11"/>
        <v>0</v>
      </c>
      <c r="AX93" s="899">
        <f>INDEX(V93:AG93,1,MATCH(Parametres!$B$3,V$1:AG$1,0))*IF(OR(C93="L",C93="S",C93="I"),-1,1)</f>
        <v>0</v>
      </c>
      <c r="AY93" s="487" t="s">
        <v>337</v>
      </c>
      <c r="AZ93" s="487" t="e">
        <f>+VLOOKUP($AJ93,Data_Validation!$A:$E,5,0)</f>
        <v>#N/A</v>
      </c>
    </row>
    <row r="94" spans="1:52" ht="15.75" customHeight="1">
      <c r="A94" s="706" t="s">
        <v>1148</v>
      </c>
      <c r="B94" s="706">
        <v>2026</v>
      </c>
      <c r="C94" s="706" t="s">
        <v>1312</v>
      </c>
      <c r="D94" s="706" t="s">
        <v>1313</v>
      </c>
      <c r="E94" s="706" t="s">
        <v>333</v>
      </c>
      <c r="F94" s="706" t="s">
        <v>1104</v>
      </c>
      <c r="G94" s="706">
        <v>23.6</v>
      </c>
      <c r="H94" s="706">
        <v>48.66</v>
      </c>
      <c r="I94" s="706">
        <v>3101.82</v>
      </c>
      <c r="J94" s="706">
        <v>4673.5</v>
      </c>
      <c r="K94" s="706">
        <v>6382.72</v>
      </c>
      <c r="L94" s="706">
        <v>8784.33</v>
      </c>
      <c r="M94" s="706">
        <v>10627.51</v>
      </c>
      <c r="N94" s="706">
        <v>0</v>
      </c>
      <c r="O94" s="706">
        <v>0</v>
      </c>
      <c r="P94" s="706">
        <v>0</v>
      </c>
      <c r="Q94" s="706">
        <v>0</v>
      </c>
      <c r="R94" s="706">
        <v>0</v>
      </c>
      <c r="S94" s="706">
        <v>1464.06</v>
      </c>
      <c r="T94" s="706">
        <v>1464.06</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G0292</v>
      </c>
      <c r="AK94" s="905" t="str">
        <f t="shared" si="7"/>
        <v>FONDS PENSION VEH. USAG.</v>
      </c>
      <c r="AL94" s="905">
        <f>IFERROR(INDEX(G94:R94,1,MATCH(Parametres!$B$3,G$1:R$1,0)-1)*IF(OR(F94="L",F94="S",F94="I"),-1,1),"")</f>
        <v>6382.72</v>
      </c>
      <c r="AM94" s="905">
        <f t="shared" si="8"/>
        <v>2401.6099999999997</v>
      </c>
      <c r="AN94" s="905">
        <f>INDEX(G94:R94,1,MATCH(Parametres!$B$3,G$1:R$1,0))*IF(OR(F94="L",F94="S",F94="I"),-1,1)</f>
        <v>8784.33</v>
      </c>
      <c r="AO94" s="487" t="str">
        <f>+VLOOKUP($AJ94,Data_Validation!$A:$D,1,0)</f>
        <v>G0292</v>
      </c>
      <c r="AP94" s="487" t="str">
        <f>+VLOOKUP($AJ94,Data_Validation!$A:$D,3,0)</f>
        <v>Véhicules usagés</v>
      </c>
      <c r="AQ94" s="487" t="str">
        <f>+VLOOKUP($AJ94,Data_Validation!$A:$D,4,0)</f>
        <v>Csst</v>
      </c>
      <c r="AR94" s="487" t="s">
        <v>299</v>
      </c>
      <c r="AS94" s="487">
        <f>+VLOOKUP($AJ94,Data_Validation!$A:$E,5,0)</f>
        <v>0</v>
      </c>
      <c r="AT94" s="904" t="str">
        <f t="shared" si="9"/>
        <v>G0292</v>
      </c>
      <c r="AU94" s="488" t="str">
        <f t="shared" si="10"/>
        <v>FONDS PENSION VEH. USAG.</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customHeight="1">
      <c r="A95" s="706" t="s">
        <v>1148</v>
      </c>
      <c r="B95" s="706">
        <v>2026</v>
      </c>
      <c r="C95" s="706" t="s">
        <v>1314</v>
      </c>
      <c r="D95" s="706" t="s">
        <v>1315</v>
      </c>
      <c r="E95" s="706" t="s">
        <v>333</v>
      </c>
      <c r="F95" s="706" t="s">
        <v>1104</v>
      </c>
      <c r="G95" s="706">
        <v>0</v>
      </c>
      <c r="H95" s="706">
        <v>72.069999999999993</v>
      </c>
      <c r="I95" s="706">
        <v>72.069999999999993</v>
      </c>
      <c r="J95" s="706">
        <v>72.069999999999993</v>
      </c>
      <c r="K95" s="706">
        <v>72.069999999999993</v>
      </c>
      <c r="L95" s="706">
        <v>489.96</v>
      </c>
      <c r="M95" s="706">
        <v>592.49</v>
      </c>
      <c r="N95" s="706">
        <v>0</v>
      </c>
      <c r="O95" s="706">
        <v>0</v>
      </c>
      <c r="P95" s="706">
        <v>0</v>
      </c>
      <c r="Q95" s="706">
        <v>0</v>
      </c>
      <c r="R95" s="706">
        <v>0</v>
      </c>
      <c r="S95" s="706">
        <v>81.66</v>
      </c>
      <c r="T95" s="706">
        <v>81.66</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G0293</v>
      </c>
      <c r="AK95" s="905" t="str">
        <f t="shared" si="7"/>
        <v>FONDS PENSION U.S.A</v>
      </c>
      <c r="AL95" s="905">
        <f>IFERROR(INDEX(G95:R95,1,MATCH(Parametres!$B$3,G$1:R$1,0)-1)*IF(OR(F95="L",F95="S",F95="I"),-1,1),"")</f>
        <v>72.069999999999993</v>
      </c>
      <c r="AM95" s="905">
        <f t="shared" si="8"/>
        <v>417.89</v>
      </c>
      <c r="AN95" s="905">
        <f>INDEX(G95:R95,1,MATCH(Parametres!$B$3,G$1:R$1,0))*IF(OR(F95="L",F95="S",F95="I"),-1,1)</f>
        <v>489.96</v>
      </c>
      <c r="AO95" s="487" t="str">
        <f>+VLOOKUP($AJ95,Data_Validation!$A:$D,1,0)</f>
        <v>G0293</v>
      </c>
      <c r="AP95" s="487" t="str">
        <f>+VLOOKUP($AJ95,Data_Validation!$A:$D,3,0)</f>
        <v>Wholesale autres</v>
      </c>
      <c r="AQ95" s="487" t="str">
        <f>+VLOOKUP($AJ95,Data_Validation!$A:$D,4,0)</f>
        <v>Csst</v>
      </c>
      <c r="AR95" s="487" t="s">
        <v>299</v>
      </c>
      <c r="AS95" s="487">
        <f>+VLOOKUP($AJ95,Data_Validation!$A:$E,5,0)</f>
        <v>0</v>
      </c>
      <c r="AT95" s="904" t="str">
        <f t="shared" si="9"/>
        <v>G0293</v>
      </c>
      <c r="AU95" s="488" t="str">
        <f t="shared" si="10"/>
        <v>FONDS PENSION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1316</v>
      </c>
      <c r="D96" s="706" t="s">
        <v>1317</v>
      </c>
      <c r="E96" s="706" t="s">
        <v>333</v>
      </c>
      <c r="F96" s="706" t="s">
        <v>1104</v>
      </c>
      <c r="G96" s="706">
        <v>1060.33</v>
      </c>
      <c r="H96" s="706">
        <v>1881.89</v>
      </c>
      <c r="I96" s="706">
        <v>7309.29</v>
      </c>
      <c r="J96" s="706">
        <v>10555.74</v>
      </c>
      <c r="K96" s="706">
        <v>13900.9</v>
      </c>
      <c r="L96" s="706">
        <v>18610.5</v>
      </c>
      <c r="M96" s="706">
        <v>21819.93</v>
      </c>
      <c r="N96" s="706">
        <v>0</v>
      </c>
      <c r="O96" s="706">
        <v>0</v>
      </c>
      <c r="P96" s="706">
        <v>0</v>
      </c>
      <c r="Q96" s="706">
        <v>0</v>
      </c>
      <c r="R96" s="706">
        <v>0</v>
      </c>
      <c r="S96" s="706">
        <v>3101.75</v>
      </c>
      <c r="T96" s="706">
        <v>3101.75</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G0294</v>
      </c>
      <c r="AK96" s="905" t="str">
        <f t="shared" si="7"/>
        <v>FONDS PENSION SERV AUTO</v>
      </c>
      <c r="AL96" s="905">
        <f>IFERROR(INDEX(G96:R96,1,MATCH(Parametres!$B$3,G$1:R$1,0)-1)*IF(OR(F96="L",F96="S",F96="I"),-1,1),"")</f>
        <v>13900.9</v>
      </c>
      <c r="AM96" s="905">
        <f t="shared" si="8"/>
        <v>4709.6000000000004</v>
      </c>
      <c r="AN96" s="905">
        <f>INDEX(G96:R96,1,MATCH(Parametres!$B$3,G$1:R$1,0))*IF(OR(F96="L",F96="S",F96="I"),-1,1)</f>
        <v>18610.5</v>
      </c>
      <c r="AO96" s="487" t="str">
        <f>+VLOOKUP($AJ96,Data_Validation!$A:$D,1,0)</f>
        <v>G0294</v>
      </c>
      <c r="AP96" s="487" t="str">
        <f>+VLOOKUP($AJ96,Data_Validation!$A:$D,3,0)</f>
        <v>Service</v>
      </c>
      <c r="AQ96" s="487" t="str">
        <f>+VLOOKUP($AJ96,Data_Validation!$A:$D,4,0)</f>
        <v>Csst</v>
      </c>
      <c r="AR96" s="487" t="s">
        <v>299</v>
      </c>
      <c r="AS96" s="487">
        <f>+VLOOKUP($AJ96,Data_Validation!$A:$E,5,0)</f>
        <v>0</v>
      </c>
      <c r="AT96" s="904" t="str">
        <f t="shared" si="9"/>
        <v>G0294</v>
      </c>
      <c r="AU96" s="488" t="str">
        <f t="shared" si="10"/>
        <v>FONDS PENSION SERV AUTO</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1318</v>
      </c>
      <c r="D97" s="706" t="s">
        <v>1319</v>
      </c>
      <c r="E97" s="706" t="s">
        <v>333</v>
      </c>
      <c r="F97" s="706" t="s">
        <v>1104</v>
      </c>
      <c r="G97" s="706">
        <v>45.54</v>
      </c>
      <c r="H97" s="706">
        <v>86.42</v>
      </c>
      <c r="I97" s="706">
        <v>1644.19</v>
      </c>
      <c r="J97" s="706">
        <v>2445.17</v>
      </c>
      <c r="K97" s="706">
        <v>3292.69</v>
      </c>
      <c r="L97" s="706">
        <v>4982.17</v>
      </c>
      <c r="M97" s="706">
        <v>6115.22</v>
      </c>
      <c r="N97" s="706">
        <v>0</v>
      </c>
      <c r="O97" s="706">
        <v>0</v>
      </c>
      <c r="P97" s="706">
        <v>0</v>
      </c>
      <c r="Q97" s="706">
        <v>0</v>
      </c>
      <c r="R97" s="706">
        <v>0</v>
      </c>
      <c r="S97" s="706">
        <v>830.36</v>
      </c>
      <c r="T97" s="706">
        <v>830.36</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G0295</v>
      </c>
      <c r="AK97" s="905" t="str">
        <f t="shared" si="7"/>
        <v>FONDS PENSION CARROSSERIE</v>
      </c>
      <c r="AL97" s="905">
        <f>IFERROR(INDEX(G97:R97,1,MATCH(Parametres!$B$3,G$1:R$1,0)-1)*IF(OR(F97="L",F97="S",F97="I"),-1,1),"")</f>
        <v>3292.69</v>
      </c>
      <c r="AM97" s="905">
        <f t="shared" si="8"/>
        <v>1689.48</v>
      </c>
      <c r="AN97" s="905">
        <f>INDEX(G97:R97,1,MATCH(Parametres!$B$3,G$1:R$1,0))*IF(OR(F97="L",F97="S",F97="I"),-1,1)</f>
        <v>4982.17</v>
      </c>
      <c r="AO97" s="487" t="str">
        <f>+VLOOKUP($AJ97,Data_Validation!$A:$D,1,0)</f>
        <v>G0295</v>
      </c>
      <c r="AP97" s="487" t="str">
        <f>+VLOOKUP($AJ97,Data_Validation!$A:$D,3,0)</f>
        <v>Carrosserie</v>
      </c>
      <c r="AQ97" s="487" t="str">
        <f>+VLOOKUP($AJ97,Data_Validation!$A:$D,4,0)</f>
        <v>Csst</v>
      </c>
      <c r="AR97" s="487" t="s">
        <v>299</v>
      </c>
      <c r="AS97" s="487">
        <f>+VLOOKUP($AJ97,Data_Validation!$A:$E,5,0)</f>
        <v>0</v>
      </c>
      <c r="AT97" s="904" t="str">
        <f t="shared" si="9"/>
        <v>G0295</v>
      </c>
      <c r="AU97" s="488" t="str">
        <f t="shared" si="10"/>
        <v>FONDS PENSION CARROSSERIE</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1320</v>
      </c>
      <c r="D98" s="706" t="s">
        <v>1321</v>
      </c>
      <c r="E98" s="706" t="s">
        <v>333</v>
      </c>
      <c r="F98" s="706" t="s">
        <v>1104</v>
      </c>
      <c r="G98" s="706">
        <v>195.98</v>
      </c>
      <c r="H98" s="706">
        <v>300.99</v>
      </c>
      <c r="I98" s="706">
        <v>1997.69</v>
      </c>
      <c r="J98" s="706">
        <v>2898.73</v>
      </c>
      <c r="K98" s="706">
        <v>3854.99</v>
      </c>
      <c r="L98" s="706">
        <v>5174.1000000000004</v>
      </c>
      <c r="M98" s="706">
        <v>6129.67</v>
      </c>
      <c r="N98" s="706">
        <v>0</v>
      </c>
      <c r="O98" s="706">
        <v>0</v>
      </c>
      <c r="P98" s="706">
        <v>0</v>
      </c>
      <c r="Q98" s="706">
        <v>0</v>
      </c>
      <c r="R98" s="706">
        <v>0</v>
      </c>
      <c r="S98" s="706">
        <v>862.35</v>
      </c>
      <c r="T98" s="706">
        <v>862.35</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G0296</v>
      </c>
      <c r="AK98" s="905" t="str">
        <f t="shared" si="7"/>
        <v>FONDS PENSION PCE AUTO</v>
      </c>
      <c r="AL98" s="905">
        <f>IFERROR(INDEX(G98:R98,1,MATCH(Parametres!$B$3,G$1:R$1,0)-1)*IF(OR(F98="L",F98="S",F98="I"),-1,1),"")</f>
        <v>3854.99</v>
      </c>
      <c r="AM98" s="905">
        <f t="shared" si="8"/>
        <v>1319.1100000000006</v>
      </c>
      <c r="AN98" s="905">
        <f>INDEX(G98:R98,1,MATCH(Parametres!$B$3,G$1:R$1,0))*IF(OR(F98="L",F98="S",F98="I"),-1,1)</f>
        <v>5174.1000000000004</v>
      </c>
      <c r="AO98" s="487" t="str">
        <f>+VLOOKUP($AJ98,Data_Validation!$A:$D,1,0)</f>
        <v>G0296</v>
      </c>
      <c r="AP98" s="487" t="str">
        <f>+VLOOKUP($AJ98,Data_Validation!$A:$D,3,0)</f>
        <v>Pièces</v>
      </c>
      <c r="AQ98" s="487" t="str">
        <f>+VLOOKUP($AJ98,Data_Validation!$A:$D,4,0)</f>
        <v>Csst</v>
      </c>
      <c r="AR98" s="487" t="s">
        <v>299</v>
      </c>
      <c r="AS98" s="487">
        <f>+VLOOKUP($AJ98,Data_Validation!$A:$E,5,0)</f>
        <v>0</v>
      </c>
      <c r="AT98" s="904" t="str">
        <f t="shared" si="9"/>
        <v>G0296</v>
      </c>
      <c r="AU98" s="488" t="str">
        <f t="shared" si="10"/>
        <v>FONDS PENSION PCE AUTO</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1322</v>
      </c>
      <c r="D99" s="706" t="s">
        <v>3271</v>
      </c>
      <c r="E99" s="706" t="s">
        <v>333</v>
      </c>
      <c r="F99" s="706" t="s">
        <v>1104</v>
      </c>
      <c r="G99" s="706">
        <v>0</v>
      </c>
      <c r="H99" s="706">
        <v>0</v>
      </c>
      <c r="I99" s="706">
        <v>0</v>
      </c>
      <c r="J99" s="706">
        <v>0</v>
      </c>
      <c r="K99" s="706">
        <v>0</v>
      </c>
      <c r="L99" s="706">
        <v>665.01</v>
      </c>
      <c r="M99" s="706">
        <v>949.57</v>
      </c>
      <c r="N99" s="706">
        <v>0</v>
      </c>
      <c r="O99" s="706">
        <v>0</v>
      </c>
      <c r="P99" s="706">
        <v>0</v>
      </c>
      <c r="Q99" s="706">
        <v>0</v>
      </c>
      <c r="R99" s="706">
        <v>0</v>
      </c>
      <c r="S99" s="706">
        <v>110.84</v>
      </c>
      <c r="T99" s="706">
        <v>110.84</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G0297</v>
      </c>
      <c r="AK99" s="905" t="str">
        <f t="shared" si="7"/>
        <v>FONDS PENSION SAAQ</v>
      </c>
      <c r="AL99" s="905">
        <f>IFERROR(INDEX(G99:R99,1,MATCH(Parametres!$B$3,G$1:R$1,0)-1)*IF(OR(F99="L",F99="S",F99="I"),-1,1),"")</f>
        <v>0</v>
      </c>
      <c r="AM99" s="905">
        <f t="shared" si="8"/>
        <v>665.01</v>
      </c>
      <c r="AN99" s="905">
        <f>INDEX(G99:R99,1,MATCH(Parametres!$B$3,G$1:R$1,0))*IF(OR(F99="L",F99="S",F99="I"),-1,1)</f>
        <v>665.01</v>
      </c>
      <c r="AO99" s="487" t="str">
        <f>+VLOOKUP($AJ99,Data_Validation!$A:$D,1,0)</f>
        <v>G0297</v>
      </c>
      <c r="AP99" s="487" t="str">
        <f>+VLOOKUP($AJ99,Data_Validation!$A:$D,3,0)</f>
        <v>SAAQ</v>
      </c>
      <c r="AQ99" s="487" t="str">
        <f>+VLOOKUP($AJ99,Data_Validation!$A:$D,4,0)</f>
        <v>Csst</v>
      </c>
      <c r="AR99" s="487" t="s">
        <v>299</v>
      </c>
      <c r="AS99" s="487">
        <f>+VLOOKUP($AJ99,Data_Validation!$A:$E,5,0)</f>
        <v>0</v>
      </c>
      <c r="AT99" s="904" t="str">
        <f t="shared" si="9"/>
        <v>G0297</v>
      </c>
      <c r="AU99" s="488" t="str">
        <f t="shared" si="10"/>
        <v>FONDS PENSION SAAQ</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customHeight="1">
      <c r="A100" s="706" t="s">
        <v>1148</v>
      </c>
      <c r="B100" s="706">
        <v>2026</v>
      </c>
      <c r="C100" s="706" t="s">
        <v>1324</v>
      </c>
      <c r="D100" s="706" t="s">
        <v>1325</v>
      </c>
      <c r="E100" s="706" t="s">
        <v>333</v>
      </c>
      <c r="F100" s="706" t="s">
        <v>1104</v>
      </c>
      <c r="G100" s="706">
        <v>0</v>
      </c>
      <c r="H100" s="706">
        <v>0</v>
      </c>
      <c r="I100" s="706">
        <v>0</v>
      </c>
      <c r="J100" s="706">
        <v>0</v>
      </c>
      <c r="K100" s="706">
        <v>0</v>
      </c>
      <c r="L100" s="706">
        <v>0</v>
      </c>
      <c r="M100" s="706">
        <v>0</v>
      </c>
      <c r="N100" s="706">
        <v>0</v>
      </c>
      <c r="O100" s="706">
        <v>0</v>
      </c>
      <c r="P100" s="706">
        <v>0</v>
      </c>
      <c r="Q100" s="706">
        <v>0</v>
      </c>
      <c r="R100" s="706">
        <v>0</v>
      </c>
      <c r="S100" s="706">
        <v>0</v>
      </c>
      <c r="T100" s="706">
        <v>0</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G0299</v>
      </c>
      <c r="AK100" s="905" t="str">
        <f t="shared" si="7"/>
        <v>FONDS PENSION ADMIN</v>
      </c>
      <c r="AL100" s="905">
        <f>IFERROR(INDEX(G100:R100,1,MATCH(Parametres!$B$3,G$1:R$1,0)-1)*IF(OR(F100="L",F100="S",F100="I"),-1,1),"")</f>
        <v>0</v>
      </c>
      <c r="AM100" s="905">
        <f t="shared" si="8"/>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t="str">
        <f t="shared" si="9"/>
        <v>G0299</v>
      </c>
      <c r="AU100" s="488" t="str">
        <f t="shared" si="10"/>
        <v>FONDS PENSION ADMIN</v>
      </c>
      <c r="AV100" s="899">
        <f>IFERROR(INDEX(V100:AG100,1,MATCH(Parametres!$B$3,V$1:AG$1,0)-1)*IF(OR(C100="L",C100="S",C100="I"),-1,1),"")</f>
        <v>0</v>
      </c>
      <c r="AW100" s="899">
        <f t="shared" si="11"/>
        <v>0</v>
      </c>
      <c r="AX100" s="899">
        <f>INDEX(V100:AG100,1,MATCH(Parametres!$B$3,V$1:AG$1,0))*IF(OR(C100="L",C100="S",C100="I"),-1,1)</f>
        <v>0</v>
      </c>
      <c r="AY100" s="487" t="s">
        <v>337</v>
      </c>
      <c r="AZ100" s="487" t="e">
        <f>+VLOOKUP($AJ100,Data_Validation!$A:$E,5,0)</f>
        <v>#N/A</v>
      </c>
    </row>
    <row r="101" spans="1:52" ht="15" customHeight="1">
      <c r="A101" s="706" t="s">
        <v>1148</v>
      </c>
      <c r="B101" s="706">
        <v>2026</v>
      </c>
      <c r="C101" s="706" t="s">
        <v>1326</v>
      </c>
      <c r="D101" s="706" t="s">
        <v>1327</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G0330</v>
      </c>
      <c r="AK101" s="905" t="str">
        <f t="shared" si="7"/>
        <v>FRAIS POSTE-TRANSPORT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G0330</v>
      </c>
      <c r="AU101" s="488" t="str">
        <f t="shared" si="10"/>
        <v>FRAIS POSTE-TRANSPORT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customHeight="1">
      <c r="A102" s="706" t="s">
        <v>1148</v>
      </c>
      <c r="B102" s="706">
        <v>2026</v>
      </c>
      <c r="C102" s="706" t="s">
        <v>1328</v>
      </c>
      <c r="D102" s="706" t="s">
        <v>1329</v>
      </c>
      <c r="E102" s="706" t="s">
        <v>333</v>
      </c>
      <c r="F102" s="706" t="s">
        <v>1104</v>
      </c>
      <c r="G102" s="706">
        <v>1560</v>
      </c>
      <c r="H102" s="706">
        <v>3434.68</v>
      </c>
      <c r="I102" s="706">
        <v>5619.46</v>
      </c>
      <c r="J102" s="706">
        <v>7910.29</v>
      </c>
      <c r="K102" s="706">
        <v>9916.7800000000007</v>
      </c>
      <c r="L102" s="706">
        <v>11849.48</v>
      </c>
      <c r="M102" s="706">
        <v>12532.22</v>
      </c>
      <c r="N102" s="706">
        <v>0</v>
      </c>
      <c r="O102" s="706">
        <v>0</v>
      </c>
      <c r="P102" s="706">
        <v>0</v>
      </c>
      <c r="Q102" s="706">
        <v>0</v>
      </c>
      <c r="R102" s="706">
        <v>0</v>
      </c>
      <c r="S102" s="706">
        <v>1974.91</v>
      </c>
      <c r="T102" s="706">
        <v>1974.91</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G0331</v>
      </c>
      <c r="AK102" s="905" t="str">
        <f t="shared" si="7"/>
        <v>FRAIS POSTE-TRANSP NEUF</v>
      </c>
      <c r="AL102" s="905">
        <f>IFERROR(INDEX(G102:R102,1,MATCH(Parametres!$B$3,G$1:R$1,0)-1)*IF(OR(F102="L",F102="S",F102="I"),-1,1),"")</f>
        <v>9916.7800000000007</v>
      </c>
      <c r="AM102" s="905">
        <f t="shared" si="8"/>
        <v>1932.6999999999989</v>
      </c>
      <c r="AN102" s="905">
        <f>INDEX(G102:R102,1,MATCH(Parametres!$B$3,G$1:R$1,0))*IF(OR(F102="L",F102="S",F102="I"),-1,1)</f>
        <v>11849.48</v>
      </c>
      <c r="AO102" s="487" t="str">
        <f>+VLOOKUP($AJ102,Data_Validation!$A:$D,1,0)</f>
        <v>G0331</v>
      </c>
      <c r="AP102" s="487" t="str">
        <f>+VLOOKUP($AJ102,Data_Validation!$A:$D,3,0)</f>
        <v>Véhicules neufs</v>
      </c>
      <c r="AQ102" s="487" t="str">
        <f>+VLOOKUP($AJ102,Data_Validation!$A:$D,4,0)</f>
        <v>Frais postaux</v>
      </c>
      <c r="AR102" s="487" t="s">
        <v>299</v>
      </c>
      <c r="AS102" s="487">
        <f>+VLOOKUP($AJ102,Data_Validation!$A:$E,5,0)</f>
        <v>0</v>
      </c>
      <c r="AT102" s="904" t="str">
        <f t="shared" si="9"/>
        <v>G0331</v>
      </c>
      <c r="AU102" s="488" t="str">
        <f t="shared" si="10"/>
        <v>FRAIS POSTE-TRANSP 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1330</v>
      </c>
      <c r="D103" s="706" t="s">
        <v>1331</v>
      </c>
      <c r="E103" s="706" t="s">
        <v>333</v>
      </c>
      <c r="F103" s="706" t="s">
        <v>1104</v>
      </c>
      <c r="G103" s="706">
        <v>1268.71</v>
      </c>
      <c r="H103" s="706">
        <v>2489.42</v>
      </c>
      <c r="I103" s="706">
        <v>3691.56</v>
      </c>
      <c r="J103" s="706">
        <v>5429.44</v>
      </c>
      <c r="K103" s="706">
        <v>6550.82</v>
      </c>
      <c r="L103" s="706">
        <v>7734.65</v>
      </c>
      <c r="M103" s="706">
        <v>8407.9500000000007</v>
      </c>
      <c r="N103" s="706">
        <v>0</v>
      </c>
      <c r="O103" s="706">
        <v>0</v>
      </c>
      <c r="P103" s="706">
        <v>0</v>
      </c>
      <c r="Q103" s="706">
        <v>0</v>
      </c>
      <c r="R103" s="706">
        <v>0</v>
      </c>
      <c r="S103" s="706">
        <v>1289.1099999999999</v>
      </c>
      <c r="T103" s="706">
        <v>1289.1099999999999</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G0332</v>
      </c>
      <c r="AK103" s="905" t="str">
        <f t="shared" si="7"/>
        <v>FRAIS POSTE-TRANSP.USAGE</v>
      </c>
      <c r="AL103" s="905">
        <f>IFERROR(INDEX(G103:R103,1,MATCH(Parametres!$B$3,G$1:R$1,0)-1)*IF(OR(F103="L",F103="S",F103="I"),-1,1),"")</f>
        <v>6550.82</v>
      </c>
      <c r="AM103" s="905">
        <f t="shared" si="8"/>
        <v>1183.83</v>
      </c>
      <c r="AN103" s="905">
        <f>INDEX(G103:R103,1,MATCH(Parametres!$B$3,G$1:R$1,0))*IF(OR(F103="L",F103="S",F103="I"),-1,1)</f>
        <v>7734.65</v>
      </c>
      <c r="AO103" s="487" t="str">
        <f>+VLOOKUP($AJ103,Data_Validation!$A:$D,1,0)</f>
        <v>G0332</v>
      </c>
      <c r="AP103" s="487" t="str">
        <f>+VLOOKUP($AJ103,Data_Validation!$A:$D,3,0)</f>
        <v>Véhicules usagés</v>
      </c>
      <c r="AQ103" s="487" t="str">
        <f>+VLOOKUP($AJ103,Data_Validation!$A:$D,4,0)</f>
        <v>Frais postaux</v>
      </c>
      <c r="AR103" s="487" t="s">
        <v>299</v>
      </c>
      <c r="AS103" s="487">
        <f>+VLOOKUP($AJ103,Data_Validation!$A:$E,5,0)</f>
        <v>0</v>
      </c>
      <c r="AT103" s="904" t="str">
        <f t="shared" si="9"/>
        <v>G0332</v>
      </c>
      <c r="AU103" s="488" t="str">
        <f t="shared" si="10"/>
        <v>FRAIS POSTE-TRANSP.USAGE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1332</v>
      </c>
      <c r="D104" s="706" t="s">
        <v>1333</v>
      </c>
      <c r="E104" s="706" t="s">
        <v>333</v>
      </c>
      <c r="F104" s="706" t="s">
        <v>1104</v>
      </c>
      <c r="G104" s="706">
        <v>512.54999999999995</v>
      </c>
      <c r="H104" s="706">
        <v>1028.97</v>
      </c>
      <c r="I104" s="706">
        <v>1600.4</v>
      </c>
      <c r="J104" s="706">
        <v>1978.6</v>
      </c>
      <c r="K104" s="706">
        <v>2904.26</v>
      </c>
      <c r="L104" s="706">
        <v>3827.21</v>
      </c>
      <c r="M104" s="706">
        <v>4109.43</v>
      </c>
      <c r="N104" s="706">
        <v>0</v>
      </c>
      <c r="O104" s="706">
        <v>0</v>
      </c>
      <c r="P104" s="706">
        <v>0</v>
      </c>
      <c r="Q104" s="706">
        <v>0</v>
      </c>
      <c r="R104" s="706">
        <v>0</v>
      </c>
      <c r="S104" s="706">
        <v>637.87</v>
      </c>
      <c r="T104" s="706">
        <v>637.87</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G0333</v>
      </c>
      <c r="AK104" s="905" t="str">
        <f t="shared" si="7"/>
        <v>FRAIS POSTE-TRANSP U.S.A</v>
      </c>
      <c r="AL104" s="905">
        <f>IFERROR(INDEX(G104:R104,1,MATCH(Parametres!$B$3,G$1:R$1,0)-1)*IF(OR(F104="L",F104="S",F104="I"),-1,1),"")</f>
        <v>2904.26</v>
      </c>
      <c r="AM104" s="905">
        <f t="shared" si="8"/>
        <v>922.94999999999982</v>
      </c>
      <c r="AN104" s="905">
        <f>INDEX(G104:R104,1,MATCH(Parametres!$B$3,G$1:R$1,0))*IF(OR(F104="L",F104="S",F104="I"),-1,1)</f>
        <v>3827.21</v>
      </c>
      <c r="AO104" s="487" t="str">
        <f>+VLOOKUP($AJ104,Data_Validation!$A:$D,1,0)</f>
        <v>G0333</v>
      </c>
      <c r="AP104" s="487" t="str">
        <f>+VLOOKUP($AJ104,Data_Validation!$A:$D,3,0)</f>
        <v>Wholesale autres</v>
      </c>
      <c r="AQ104" s="487" t="str">
        <f>+VLOOKUP($AJ104,Data_Validation!$A:$D,4,0)</f>
        <v>Frais postaux</v>
      </c>
      <c r="AR104" s="487" t="s">
        <v>299</v>
      </c>
      <c r="AS104" s="487">
        <f>+VLOOKUP($AJ104,Data_Validation!$A:$E,5,0)</f>
        <v>0</v>
      </c>
      <c r="AT104" s="904" t="str">
        <f t="shared" si="9"/>
        <v>G0333</v>
      </c>
      <c r="AU104" s="488" t="str">
        <f t="shared" si="10"/>
        <v>FRAIS POSTE-TRANSP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1334</v>
      </c>
      <c r="D105" s="706" t="s">
        <v>1335</v>
      </c>
      <c r="E105" s="706" t="s">
        <v>333</v>
      </c>
      <c r="F105" s="706" t="s">
        <v>1104</v>
      </c>
      <c r="G105" s="706">
        <v>1129.03</v>
      </c>
      <c r="H105" s="706">
        <v>2476.7199999999998</v>
      </c>
      <c r="I105" s="706">
        <v>3970.52</v>
      </c>
      <c r="J105" s="706">
        <v>5740.07</v>
      </c>
      <c r="K105" s="706">
        <v>6732.45</v>
      </c>
      <c r="L105" s="706">
        <v>8016.67</v>
      </c>
      <c r="M105" s="706">
        <v>8577.3700000000008</v>
      </c>
      <c r="N105" s="706">
        <v>0</v>
      </c>
      <c r="O105" s="706">
        <v>0</v>
      </c>
      <c r="P105" s="706">
        <v>0</v>
      </c>
      <c r="Q105" s="706">
        <v>0</v>
      </c>
      <c r="R105" s="706">
        <v>0</v>
      </c>
      <c r="S105" s="706">
        <v>1336.11</v>
      </c>
      <c r="T105" s="706">
        <v>1336.11</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G0334</v>
      </c>
      <c r="AK105" s="905" t="str">
        <f t="shared" si="7"/>
        <v>FRAIS POSTE-TRANSP.SER.</v>
      </c>
      <c r="AL105" s="905">
        <f>IFERROR(INDEX(G105:R105,1,MATCH(Parametres!$B$3,G$1:R$1,0)-1)*IF(OR(F105="L",F105="S",F105="I"),-1,1),"")</f>
        <v>6732.45</v>
      </c>
      <c r="AM105" s="905">
        <f t="shared" si="8"/>
        <v>1284.2200000000003</v>
      </c>
      <c r="AN105" s="905">
        <f>INDEX(G105:R105,1,MATCH(Parametres!$B$3,G$1:R$1,0))*IF(OR(F105="L",F105="S",F105="I"),-1,1)</f>
        <v>8016.67</v>
      </c>
      <c r="AO105" s="487" t="str">
        <f>+VLOOKUP($AJ105,Data_Validation!$A:$D,1,0)</f>
        <v>G0334</v>
      </c>
      <c r="AP105" s="487" t="str">
        <f>+VLOOKUP($AJ105,Data_Validation!$A:$D,3,0)</f>
        <v>Service</v>
      </c>
      <c r="AQ105" s="487" t="str">
        <f>+VLOOKUP($AJ105,Data_Validation!$A:$D,4,0)</f>
        <v>Frais postaux</v>
      </c>
      <c r="AR105" s="487" t="s">
        <v>299</v>
      </c>
      <c r="AS105" s="487">
        <f>+VLOOKUP($AJ105,Data_Validation!$A:$E,5,0)</f>
        <v>0</v>
      </c>
      <c r="AT105" s="904" t="str">
        <f t="shared" si="9"/>
        <v>G0334</v>
      </c>
      <c r="AU105" s="488" t="str">
        <f t="shared" si="10"/>
        <v>FRAIS POSTE-TRANSP.SER.</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1336</v>
      </c>
      <c r="D106" s="706" t="s">
        <v>1337</v>
      </c>
      <c r="E106" s="706" t="s">
        <v>333</v>
      </c>
      <c r="F106" s="706" t="s">
        <v>1104</v>
      </c>
      <c r="G106" s="706">
        <v>372.45</v>
      </c>
      <c r="H106" s="706">
        <v>821.69</v>
      </c>
      <c r="I106" s="706">
        <v>1319.63</v>
      </c>
      <c r="J106" s="706">
        <v>1909.48</v>
      </c>
      <c r="K106" s="706">
        <v>2231.59</v>
      </c>
      <c r="L106" s="706">
        <v>2659.67</v>
      </c>
      <c r="M106" s="706">
        <v>2846.57</v>
      </c>
      <c r="N106" s="706">
        <v>0</v>
      </c>
      <c r="O106" s="706">
        <v>0</v>
      </c>
      <c r="P106" s="706">
        <v>0</v>
      </c>
      <c r="Q106" s="706">
        <v>0</v>
      </c>
      <c r="R106" s="706">
        <v>0</v>
      </c>
      <c r="S106" s="706">
        <v>443.28</v>
      </c>
      <c r="T106" s="706">
        <v>443.28</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G0335</v>
      </c>
      <c r="AK106" s="905" t="str">
        <f t="shared" si="7"/>
        <v>FRAIS POSTE-TRANSP. CARR.</v>
      </c>
      <c r="AL106" s="905">
        <f>IFERROR(INDEX(G106:R106,1,MATCH(Parametres!$B$3,G$1:R$1,0)-1)*IF(OR(F106="L",F106="S",F106="I"),-1,1),"")</f>
        <v>2231.59</v>
      </c>
      <c r="AM106" s="905">
        <f t="shared" si="8"/>
        <v>428.07999999999993</v>
      </c>
      <c r="AN106" s="905">
        <f>INDEX(G106:R106,1,MATCH(Parametres!$B$3,G$1:R$1,0))*IF(OR(F106="L",F106="S",F106="I"),-1,1)</f>
        <v>2659.67</v>
      </c>
      <c r="AO106" s="487" t="str">
        <f>+VLOOKUP($AJ106,Data_Validation!$A:$D,1,0)</f>
        <v>G0335</v>
      </c>
      <c r="AP106" s="487" t="str">
        <f>+VLOOKUP($AJ106,Data_Validation!$A:$D,3,0)</f>
        <v>Carrosserie</v>
      </c>
      <c r="AQ106" s="487" t="str">
        <f>+VLOOKUP($AJ106,Data_Validation!$A:$D,4,0)</f>
        <v>Frais postaux</v>
      </c>
      <c r="AR106" s="487" t="s">
        <v>299</v>
      </c>
      <c r="AS106" s="487">
        <f>+VLOOKUP($AJ106,Data_Validation!$A:$E,5,0)</f>
        <v>0</v>
      </c>
      <c r="AT106" s="904" t="str">
        <f t="shared" si="9"/>
        <v>G0335</v>
      </c>
      <c r="AU106" s="488" t="str">
        <f t="shared" si="10"/>
        <v>FRAIS POSTE-TRANSP. CARR.</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customHeight="1">
      <c r="A107" s="706" t="s">
        <v>1148</v>
      </c>
      <c r="B107" s="706">
        <v>2026</v>
      </c>
      <c r="C107" s="706" t="s">
        <v>1338</v>
      </c>
      <c r="D107" s="706" t="s">
        <v>1339</v>
      </c>
      <c r="E107" s="706" t="s">
        <v>333</v>
      </c>
      <c r="F107" s="706" t="s">
        <v>1104</v>
      </c>
      <c r="G107" s="706">
        <v>1132.83</v>
      </c>
      <c r="H107" s="706">
        <v>3424.82</v>
      </c>
      <c r="I107" s="706">
        <v>3887.29</v>
      </c>
      <c r="J107" s="706">
        <v>4593.3599999999997</v>
      </c>
      <c r="K107" s="706">
        <v>5759.9</v>
      </c>
      <c r="L107" s="706">
        <v>6441.54</v>
      </c>
      <c r="M107" s="706">
        <v>7116.37</v>
      </c>
      <c r="N107" s="706">
        <v>0</v>
      </c>
      <c r="O107" s="706">
        <v>0</v>
      </c>
      <c r="P107" s="706">
        <v>0</v>
      </c>
      <c r="Q107" s="706">
        <v>0</v>
      </c>
      <c r="R107" s="706">
        <v>0</v>
      </c>
      <c r="S107" s="706">
        <v>1073.5899999999999</v>
      </c>
      <c r="T107" s="706">
        <v>1073.5899999999999</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G0336</v>
      </c>
      <c r="AK107" s="905" t="str">
        <f t="shared" si="7"/>
        <v>FRAIS POSTE-TRANSP PIECE</v>
      </c>
      <c r="AL107" s="905">
        <f>IFERROR(INDEX(G107:R107,1,MATCH(Parametres!$B$3,G$1:R$1,0)-1)*IF(OR(F107="L",F107="S",F107="I"),-1,1),"")</f>
        <v>5759.9</v>
      </c>
      <c r="AM107" s="905">
        <f t="shared" si="8"/>
        <v>681.64000000000033</v>
      </c>
      <c r="AN107" s="905">
        <f>INDEX(G107:R107,1,MATCH(Parametres!$B$3,G$1:R$1,0))*IF(OR(F107="L",F107="S",F107="I"),-1,1)</f>
        <v>6441.54</v>
      </c>
      <c r="AO107" s="487" t="str">
        <f>+VLOOKUP($AJ107,Data_Validation!$A:$D,1,0)</f>
        <v>G0336</v>
      </c>
      <c r="AP107" s="487" t="str">
        <f>+VLOOKUP($AJ107,Data_Validation!$A:$D,3,0)</f>
        <v>Pièces</v>
      </c>
      <c r="AQ107" s="487" t="str">
        <f>+VLOOKUP($AJ107,Data_Validation!$A:$D,4,0)</f>
        <v>Frais postaux</v>
      </c>
      <c r="AR107" s="487" t="s">
        <v>299</v>
      </c>
      <c r="AS107" s="487">
        <f>+VLOOKUP($AJ107,Data_Validation!$A:$E,5,0)</f>
        <v>0</v>
      </c>
      <c r="AT107" s="904" t="str">
        <f t="shared" si="9"/>
        <v>G0336</v>
      </c>
      <c r="AU107" s="488" t="str">
        <f t="shared" si="10"/>
        <v>FRAIS POSTE-TRANSP PIECE</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1340</v>
      </c>
      <c r="D108" s="706" t="s">
        <v>1341</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G0510</v>
      </c>
      <c r="AK108" s="905" t="str">
        <f t="shared" si="7"/>
        <v>ENT. DEMOS REP.</v>
      </c>
      <c r="AL108" s="905">
        <f>IFERROR(INDEX(G108:R108,1,MATCH(Parametres!$B$3,G$1:R$1,0)-1)*IF(OR(F108="L",F108="S",F108="I"),-1,1),"")</f>
        <v>0</v>
      </c>
      <c r="AM108" s="905">
        <f t="shared" si="8"/>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t="str">
        <f t="shared" si="9"/>
        <v>G0510</v>
      </c>
      <c r="AU108" s="488" t="str">
        <f t="shared" si="10"/>
        <v>ENT. DEMOS REP.</v>
      </c>
      <c r="AV108" s="899">
        <f>IFERROR(INDEX(V108:AG108,1,MATCH(Parametres!$B$3,V$1:AG$1,0)-1)*IF(OR(C108="L",C108="S",C108="I"),-1,1),"")</f>
        <v>0</v>
      </c>
      <c r="AW108" s="899">
        <f t="shared" si="11"/>
        <v>0</v>
      </c>
      <c r="AX108" s="899">
        <f>INDEX(V108:AG108,1,MATCH(Parametres!$B$3,V$1:AG$1,0))*IF(OR(C108="L",C108="S",C108="I"),-1,1)</f>
        <v>0</v>
      </c>
      <c r="AY108" s="487" t="s">
        <v>337</v>
      </c>
      <c r="AZ108" s="487" t="e">
        <f>+VLOOKUP($AJ108,Data_Validation!$A:$E,5,0)</f>
        <v>#N/A</v>
      </c>
    </row>
    <row r="109" spans="1:52" ht="15.75" customHeight="1">
      <c r="A109" s="706" t="s">
        <v>1148</v>
      </c>
      <c r="B109" s="706">
        <v>2026</v>
      </c>
      <c r="C109" s="706" t="s">
        <v>1342</v>
      </c>
      <c r="D109" s="706" t="s">
        <v>1343</v>
      </c>
      <c r="E109" s="706" t="s">
        <v>333</v>
      </c>
      <c r="F109" s="706" t="s">
        <v>1104</v>
      </c>
      <c r="G109" s="706">
        <v>11766.67</v>
      </c>
      <c r="H109" s="706">
        <v>16518.5</v>
      </c>
      <c r="I109" s="706">
        <v>41175.01</v>
      </c>
      <c r="J109" s="706">
        <v>53701.45</v>
      </c>
      <c r="K109" s="706">
        <v>65381.07</v>
      </c>
      <c r="L109" s="706">
        <v>72841.990000000005</v>
      </c>
      <c r="M109" s="706">
        <v>72661.990000000005</v>
      </c>
      <c r="N109" s="706">
        <v>0</v>
      </c>
      <c r="O109" s="706">
        <v>0</v>
      </c>
      <c r="P109" s="706">
        <v>0</v>
      </c>
      <c r="Q109" s="706">
        <v>0</v>
      </c>
      <c r="R109" s="706">
        <v>0</v>
      </c>
      <c r="S109" s="706">
        <v>12140.33</v>
      </c>
      <c r="T109" s="706">
        <v>12140.33</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G0511</v>
      </c>
      <c r="AK109" s="905" t="str">
        <f t="shared" si="7"/>
        <v>ENT. DEMOS NEUFS</v>
      </c>
      <c r="AL109" s="905">
        <f>IFERROR(INDEX(G109:R109,1,MATCH(Parametres!$B$3,G$1:R$1,0)-1)*IF(OR(F109="L",F109="S",F109="I"),-1,1),"")</f>
        <v>65381.07</v>
      </c>
      <c r="AM109" s="905">
        <f t="shared" si="8"/>
        <v>7460.9200000000055</v>
      </c>
      <c r="AN109" s="905">
        <f>INDEX(G109:R109,1,MATCH(Parametres!$B$3,G$1:R$1,0))*IF(OR(F109="L",F109="S",F109="I"),-1,1)</f>
        <v>72841.990000000005</v>
      </c>
      <c r="AO109" s="487" t="str">
        <f>+VLOOKUP($AJ109,Data_Validation!$A:$D,1,0)</f>
        <v>G0511</v>
      </c>
      <c r="AP109" s="487" t="str">
        <f>+VLOOKUP($AJ109,Data_Validation!$A:$D,3,0)</f>
        <v>Véhicules neufs</v>
      </c>
      <c r="AQ109" s="487" t="str">
        <f>+VLOOKUP($AJ109,Data_Validation!$A:$D,4,0)</f>
        <v>Frais véhicules de cie</v>
      </c>
      <c r="AR109" s="487" t="s">
        <v>299</v>
      </c>
      <c r="AS109" s="487">
        <f>+VLOOKUP($AJ109,Data_Validation!$A:$E,5,0)</f>
        <v>0</v>
      </c>
      <c r="AT109" s="904" t="str">
        <f t="shared" si="9"/>
        <v>G0511</v>
      </c>
      <c r="AU109" s="488" t="str">
        <f t="shared" si="10"/>
        <v>ENT. DEMOS NEUFS</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customHeight="1">
      <c r="A110" s="706" t="s">
        <v>1148</v>
      </c>
      <c r="B110" s="706">
        <v>2026</v>
      </c>
      <c r="C110" s="706" t="s">
        <v>1344</v>
      </c>
      <c r="D110" s="706" t="s">
        <v>1345</v>
      </c>
      <c r="E110" s="706" t="s">
        <v>333</v>
      </c>
      <c r="F110" s="706" t="s">
        <v>1104</v>
      </c>
      <c r="G110" s="706">
        <v>6842.33</v>
      </c>
      <c r="H110" s="706">
        <v>10841.44</v>
      </c>
      <c r="I110" s="706">
        <v>16733.939999999999</v>
      </c>
      <c r="J110" s="706">
        <v>20966.05</v>
      </c>
      <c r="K110" s="706">
        <v>25188.49</v>
      </c>
      <c r="L110" s="706">
        <v>29507.18</v>
      </c>
      <c r="M110" s="706">
        <v>29507.18</v>
      </c>
      <c r="N110" s="706">
        <v>0</v>
      </c>
      <c r="O110" s="706">
        <v>0</v>
      </c>
      <c r="P110" s="706">
        <v>0</v>
      </c>
      <c r="Q110" s="706">
        <v>0</v>
      </c>
      <c r="R110" s="706">
        <v>0</v>
      </c>
      <c r="S110" s="706">
        <v>4917.8599999999997</v>
      </c>
      <c r="T110" s="706">
        <v>4917.8599999999997</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G0512</v>
      </c>
      <c r="AK110" s="905" t="str">
        <f t="shared" si="7"/>
        <v>ENT. DEMOS USAGES</v>
      </c>
      <c r="AL110" s="905">
        <f>IFERROR(INDEX(G110:R110,1,MATCH(Parametres!$B$3,G$1:R$1,0)-1)*IF(OR(F110="L",F110="S",F110="I"),-1,1),"")</f>
        <v>25188.49</v>
      </c>
      <c r="AM110" s="905">
        <f t="shared" si="8"/>
        <v>4318.6899999999987</v>
      </c>
      <c r="AN110" s="905">
        <f>INDEX(G110:R110,1,MATCH(Parametres!$B$3,G$1:R$1,0))*IF(OR(F110="L",F110="S",F110="I"),-1,1)</f>
        <v>29507.18</v>
      </c>
      <c r="AO110" s="487" t="str">
        <f>+VLOOKUP($AJ110,Data_Validation!$A:$D,1,0)</f>
        <v>G0512</v>
      </c>
      <c r="AP110" s="487" t="str">
        <f>+VLOOKUP($AJ110,Data_Validation!$A:$D,3,0)</f>
        <v>Véhicules usagés</v>
      </c>
      <c r="AQ110" s="487" t="str">
        <f>+VLOOKUP($AJ110,Data_Validation!$A:$D,4,0)</f>
        <v>Frais véhicules de cie</v>
      </c>
      <c r="AR110" s="487" t="s">
        <v>299</v>
      </c>
      <c r="AS110" s="487">
        <f>+VLOOKUP($AJ110,Data_Validation!$A:$E,5,0)</f>
        <v>0</v>
      </c>
      <c r="AT110" s="904" t="str">
        <f t="shared" si="9"/>
        <v>G0512</v>
      </c>
      <c r="AU110" s="488" t="str">
        <f t="shared" si="10"/>
        <v>ENT. DEMOS USAGES</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1346</v>
      </c>
      <c r="D111" s="706" t="s">
        <v>1347</v>
      </c>
      <c r="E111" s="706" t="s">
        <v>333</v>
      </c>
      <c r="F111" s="706" t="s">
        <v>1104</v>
      </c>
      <c r="G111" s="706">
        <v>0</v>
      </c>
      <c r="H111" s="706">
        <v>0</v>
      </c>
      <c r="I111" s="706">
        <v>0</v>
      </c>
      <c r="J111" s="706">
        <v>0</v>
      </c>
      <c r="K111" s="706">
        <v>1750</v>
      </c>
      <c r="L111" s="706">
        <v>1750</v>
      </c>
      <c r="M111" s="706">
        <v>1750</v>
      </c>
      <c r="N111" s="706">
        <v>0</v>
      </c>
      <c r="O111" s="706">
        <v>0</v>
      </c>
      <c r="P111" s="706">
        <v>0</v>
      </c>
      <c r="Q111" s="706">
        <v>0</v>
      </c>
      <c r="R111" s="706">
        <v>0</v>
      </c>
      <c r="S111" s="706">
        <v>291.67</v>
      </c>
      <c r="T111" s="706">
        <v>291.67</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G0513</v>
      </c>
      <c r="AK111" s="905" t="str">
        <f t="shared" si="7"/>
        <v>ENT. DEMOS U.S.A</v>
      </c>
      <c r="AL111" s="905">
        <f>IFERROR(INDEX(G111:R111,1,MATCH(Parametres!$B$3,G$1:R$1,0)-1)*IF(OR(F111="L",F111="S",F111="I"),-1,1),"")</f>
        <v>1750</v>
      </c>
      <c r="AM111" s="905">
        <f t="shared" si="8"/>
        <v>0</v>
      </c>
      <c r="AN111" s="905">
        <f>INDEX(G111:R111,1,MATCH(Parametres!$B$3,G$1:R$1,0))*IF(OR(F111="L",F111="S",F111="I"),-1,1)</f>
        <v>1750</v>
      </c>
      <c r="AO111" s="487" t="str">
        <f>+VLOOKUP($AJ111,Data_Validation!$A:$D,1,0)</f>
        <v>G0513</v>
      </c>
      <c r="AP111" s="487" t="str">
        <f>+VLOOKUP($AJ111,Data_Validation!$A:$D,3,0)</f>
        <v>Wholesale autres</v>
      </c>
      <c r="AQ111" s="487" t="str">
        <f>+VLOOKUP($AJ111,Data_Validation!$A:$D,4,0)</f>
        <v>Frais véhicules de cie</v>
      </c>
      <c r="AR111" s="487" t="s">
        <v>299</v>
      </c>
      <c r="AS111" s="487">
        <f>+VLOOKUP($AJ111,Data_Validation!$A:$E,5,0)</f>
        <v>0</v>
      </c>
      <c r="AT111" s="904" t="str">
        <f t="shared" si="9"/>
        <v>G0513</v>
      </c>
      <c r="AU111" s="488" t="str">
        <f t="shared" si="10"/>
        <v>ENT. DEMOS U.S.A</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1348</v>
      </c>
      <c r="D112" s="706" t="s">
        <v>1349</v>
      </c>
      <c r="E112" s="706" t="s">
        <v>333</v>
      </c>
      <c r="F112" s="706" t="s">
        <v>1104</v>
      </c>
      <c r="G112" s="706">
        <v>2782.88</v>
      </c>
      <c r="H112" s="706">
        <v>-8974.23</v>
      </c>
      <c r="I112" s="706">
        <v>-4503.47</v>
      </c>
      <c r="J112" s="706">
        <v>-3084.24</v>
      </c>
      <c r="K112" s="706">
        <v>9660.65</v>
      </c>
      <c r="L112" s="706">
        <v>23854.92</v>
      </c>
      <c r="M112" s="706">
        <v>24963.54</v>
      </c>
      <c r="N112" s="706">
        <v>0</v>
      </c>
      <c r="O112" s="706">
        <v>0</v>
      </c>
      <c r="P112" s="706">
        <v>0</v>
      </c>
      <c r="Q112" s="706">
        <v>0</v>
      </c>
      <c r="R112" s="706">
        <v>0</v>
      </c>
      <c r="S112" s="706">
        <v>3975.82</v>
      </c>
      <c r="T112" s="706">
        <v>3975.82</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G0514</v>
      </c>
      <c r="AK112" s="905" t="str">
        <f t="shared" si="7"/>
        <v>ENT. DEMOS SERVICE</v>
      </c>
      <c r="AL112" s="905">
        <f>IFERROR(INDEX(G112:R112,1,MATCH(Parametres!$B$3,G$1:R$1,0)-1)*IF(OR(F112="L",F112="S",F112="I"),-1,1),"")</f>
        <v>9660.65</v>
      </c>
      <c r="AM112" s="905">
        <f t="shared" si="8"/>
        <v>14194.269999999999</v>
      </c>
      <c r="AN112" s="905">
        <f>INDEX(G112:R112,1,MATCH(Parametres!$B$3,G$1:R$1,0))*IF(OR(F112="L",F112="S",F112="I"),-1,1)</f>
        <v>23854.92</v>
      </c>
      <c r="AO112" s="487" t="str">
        <f>+VLOOKUP($AJ112,Data_Validation!$A:$D,1,0)</f>
        <v>G0514</v>
      </c>
      <c r="AP112" s="487" t="str">
        <f>+VLOOKUP($AJ112,Data_Validation!$A:$D,3,0)</f>
        <v>Service</v>
      </c>
      <c r="AQ112" s="487" t="str">
        <f>+VLOOKUP($AJ112,Data_Validation!$A:$D,4,0)</f>
        <v>Frais véhicules de cie</v>
      </c>
      <c r="AR112" s="487" t="s">
        <v>299</v>
      </c>
      <c r="AS112" s="487">
        <f>+VLOOKUP($AJ112,Data_Validation!$A:$E,5,0)</f>
        <v>0</v>
      </c>
      <c r="AT112" s="904" t="str">
        <f t="shared" si="9"/>
        <v>G0514</v>
      </c>
      <c r="AU112" s="488" t="str">
        <f t="shared" si="10"/>
        <v>ENT. DEMOS SERVICE</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1350</v>
      </c>
      <c r="D113" s="706" t="s">
        <v>1351</v>
      </c>
      <c r="E113" s="706" t="s">
        <v>333</v>
      </c>
      <c r="F113" s="706" t="s">
        <v>1104</v>
      </c>
      <c r="G113" s="706">
        <v>-2198.19</v>
      </c>
      <c r="H113" s="706">
        <v>-6473.51</v>
      </c>
      <c r="I113" s="706">
        <v>-518.91999999999996</v>
      </c>
      <c r="J113" s="706">
        <v>-158.11000000000001</v>
      </c>
      <c r="K113" s="706">
        <v>34.5</v>
      </c>
      <c r="L113" s="706">
        <v>-838.62</v>
      </c>
      <c r="M113" s="706">
        <v>-2504.0700000000002</v>
      </c>
      <c r="N113" s="706">
        <v>0</v>
      </c>
      <c r="O113" s="706">
        <v>0</v>
      </c>
      <c r="P113" s="706">
        <v>0</v>
      </c>
      <c r="Q113" s="706">
        <v>0</v>
      </c>
      <c r="R113" s="706">
        <v>0</v>
      </c>
      <c r="S113" s="706">
        <v>-139.77000000000001</v>
      </c>
      <c r="T113" s="706">
        <v>-139.77000000000001</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G0515</v>
      </c>
      <c r="AK113" s="905" t="str">
        <f t="shared" si="7"/>
        <v>ENT. DEMOS CARROSSERIE</v>
      </c>
      <c r="AL113" s="905">
        <f>IFERROR(INDEX(G113:R113,1,MATCH(Parametres!$B$3,G$1:R$1,0)-1)*IF(OR(F113="L",F113="S",F113="I"),-1,1),"")</f>
        <v>34.5</v>
      </c>
      <c r="AM113" s="905">
        <f t="shared" si="8"/>
        <v>-873.12</v>
      </c>
      <c r="AN113" s="905">
        <f>INDEX(G113:R113,1,MATCH(Parametres!$B$3,G$1:R$1,0))*IF(OR(F113="L",F113="S",F113="I"),-1,1)</f>
        <v>-838.62</v>
      </c>
      <c r="AO113" s="487" t="str">
        <f>+VLOOKUP($AJ113,Data_Validation!$A:$D,1,0)</f>
        <v>G0515</v>
      </c>
      <c r="AP113" s="487" t="str">
        <f>+VLOOKUP($AJ113,Data_Validation!$A:$D,3,0)</f>
        <v>Carrosserie</v>
      </c>
      <c r="AQ113" s="487" t="str">
        <f>+VLOOKUP($AJ113,Data_Validation!$A:$D,4,0)</f>
        <v>Frais véhicules de cie</v>
      </c>
      <c r="AR113" s="487" t="s">
        <v>299</v>
      </c>
      <c r="AS113" s="487">
        <f>+VLOOKUP($AJ113,Data_Validation!$A:$E,5,0)</f>
        <v>0</v>
      </c>
      <c r="AT113" s="904" t="str">
        <f t="shared" si="9"/>
        <v>G0515</v>
      </c>
      <c r="AU113" s="488" t="str">
        <f t="shared" si="10"/>
        <v>ENT. DEMOS CARROSSERIE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1352</v>
      </c>
      <c r="D114" s="706" t="s">
        <v>1353</v>
      </c>
      <c r="E114" s="706" t="s">
        <v>333</v>
      </c>
      <c r="F114" s="706" t="s">
        <v>1104</v>
      </c>
      <c r="G114" s="706">
        <v>1460.27</v>
      </c>
      <c r="H114" s="706">
        <v>2285.67</v>
      </c>
      <c r="I114" s="706">
        <v>5566.39</v>
      </c>
      <c r="J114" s="706">
        <v>6868.83</v>
      </c>
      <c r="K114" s="706">
        <v>10170.209999999999</v>
      </c>
      <c r="L114" s="706">
        <v>13019.52</v>
      </c>
      <c r="M114" s="706">
        <v>13107.52</v>
      </c>
      <c r="N114" s="706">
        <v>0</v>
      </c>
      <c r="O114" s="706">
        <v>0</v>
      </c>
      <c r="P114" s="706">
        <v>0</v>
      </c>
      <c r="Q114" s="706">
        <v>0</v>
      </c>
      <c r="R114" s="706">
        <v>0</v>
      </c>
      <c r="S114" s="706">
        <v>2169.92</v>
      </c>
      <c r="T114" s="706">
        <v>2169.92</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G0516</v>
      </c>
      <c r="AK114" s="905" t="str">
        <f t="shared" si="7"/>
        <v>ENT. DEMOS PIECES</v>
      </c>
      <c r="AL114" s="905">
        <f>IFERROR(INDEX(G114:R114,1,MATCH(Parametres!$B$3,G$1:R$1,0)-1)*IF(OR(F114="L",F114="S",F114="I"),-1,1),"")</f>
        <v>10170.209999999999</v>
      </c>
      <c r="AM114" s="905">
        <f t="shared" si="8"/>
        <v>2849.3100000000013</v>
      </c>
      <c r="AN114" s="905">
        <f>INDEX(G114:R114,1,MATCH(Parametres!$B$3,G$1:R$1,0))*IF(OR(F114="L",F114="S",F114="I"),-1,1)</f>
        <v>13019.52</v>
      </c>
      <c r="AO114" s="487" t="str">
        <f>+VLOOKUP($AJ114,Data_Validation!$A:$D,1,0)</f>
        <v>G0516</v>
      </c>
      <c r="AP114" s="487" t="str">
        <f>+VLOOKUP($AJ114,Data_Validation!$A:$D,3,0)</f>
        <v>Pièces</v>
      </c>
      <c r="AQ114" s="487" t="str">
        <f>+VLOOKUP($AJ114,Data_Validation!$A:$D,4,0)</f>
        <v>Frais véhicules de cie</v>
      </c>
      <c r="AR114" s="487" t="s">
        <v>299</v>
      </c>
      <c r="AS114" s="487">
        <f>+VLOOKUP($AJ114,Data_Validation!$A:$E,5,0)</f>
        <v>0</v>
      </c>
      <c r="AT114" s="904" t="str">
        <f t="shared" si="9"/>
        <v>G0516</v>
      </c>
      <c r="AU114" s="488" t="str">
        <f t="shared" si="10"/>
        <v>ENT. DEMOS PIECES</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customHeight="1">
      <c r="A115" s="706" t="s">
        <v>1148</v>
      </c>
      <c r="B115" s="706">
        <v>2026</v>
      </c>
      <c r="C115" s="706" t="s">
        <v>1354</v>
      </c>
      <c r="D115" s="706" t="s">
        <v>1355</v>
      </c>
      <c r="E115" s="706" t="s">
        <v>333</v>
      </c>
      <c r="F115" s="706" t="s">
        <v>1104</v>
      </c>
      <c r="G115" s="706">
        <v>0</v>
      </c>
      <c r="H115" s="706">
        <v>0</v>
      </c>
      <c r="I115" s="706">
        <v>0</v>
      </c>
      <c r="J115" s="706">
        <v>0</v>
      </c>
      <c r="K115" s="706">
        <v>0</v>
      </c>
      <c r="L115" s="706">
        <v>0</v>
      </c>
      <c r="M115" s="706">
        <v>0</v>
      </c>
      <c r="N115" s="706">
        <v>0</v>
      </c>
      <c r="O115" s="706">
        <v>0</v>
      </c>
      <c r="P115" s="706">
        <v>0</v>
      </c>
      <c r="Q115" s="706">
        <v>0</v>
      </c>
      <c r="R115" s="706">
        <v>0</v>
      </c>
      <c r="S115" s="706">
        <v>0</v>
      </c>
      <c r="T115" s="706">
        <v>0</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G0560</v>
      </c>
      <c r="AK115" s="905" t="str">
        <f t="shared" si="7"/>
        <v>ASSURANCES STOCK REP.</v>
      </c>
      <c r="AL115" s="905">
        <f>IFERROR(INDEX(G115:R115,1,MATCH(Parametres!$B$3,G$1:R$1,0)-1)*IF(OR(F115="L",F115="S",F115="I"),-1,1),"")</f>
        <v>0</v>
      </c>
      <c r="AM115" s="905">
        <f t="shared" si="8"/>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t="str">
        <f t="shared" si="9"/>
        <v>G0560</v>
      </c>
      <c r="AU115" s="488" t="str">
        <f t="shared" si="10"/>
        <v>ASSURANCES STOCK REP.</v>
      </c>
      <c r="AV115" s="899">
        <f>IFERROR(INDEX(V115:AG115,1,MATCH(Parametres!$B$3,V$1:AG$1,0)-1)*IF(OR(C115="L",C115="S",C115="I"),-1,1),"")</f>
        <v>0</v>
      </c>
      <c r="AW115" s="899">
        <f t="shared" si="11"/>
        <v>0</v>
      </c>
      <c r="AX115" s="899">
        <f>INDEX(V115:AG115,1,MATCH(Parametres!$B$3,V$1:AG$1,0))*IF(OR(C115="L",C115="S",C115="I"),-1,1)</f>
        <v>0</v>
      </c>
      <c r="AY115" s="487" t="s">
        <v>337</v>
      </c>
      <c r="AZ115" s="487" t="e">
        <f>+VLOOKUP($AJ115,Data_Validation!$A:$E,5,0)</f>
        <v>#N/A</v>
      </c>
    </row>
    <row r="116" spans="1:52" ht="15" customHeight="1">
      <c r="A116" s="706" t="s">
        <v>1148</v>
      </c>
      <c r="B116" s="706">
        <v>2026</v>
      </c>
      <c r="C116" s="706" t="s">
        <v>1356</v>
      </c>
      <c r="D116" s="706" t="s">
        <v>1357</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G0561</v>
      </c>
      <c r="AK116" s="905" t="str">
        <f t="shared" si="7"/>
        <v>ASSURANCE STOCK VEH.NEUF</v>
      </c>
      <c r="AL116" s="905">
        <f>IFERROR(INDEX(G116:R116,1,MATCH(Parametres!$B$3,G$1:R$1,0)-1)*IF(OR(F116="L",F116="S",F116="I"),-1,1),"")</f>
        <v>0</v>
      </c>
      <c r="AM116" s="905">
        <f t="shared" si="8"/>
        <v>0</v>
      </c>
      <c r="AN116" s="905">
        <f>INDEX(G116:R116,1,MATCH(Parametres!$B$3,G$1:R$1,0))*IF(OR(F116="L",F116="S",F116="I"),-1,1)</f>
        <v>0</v>
      </c>
      <c r="AO116" s="487" t="str">
        <f>+VLOOKUP($AJ116,Data_Validation!$A:$D,1,0)</f>
        <v>G0561</v>
      </c>
      <c r="AP116" s="487">
        <f>+VLOOKUP($AJ116,Data_Validation!$A:$D,3,0)</f>
        <v>0</v>
      </c>
      <c r="AQ116" s="487">
        <f>+VLOOKUP($AJ116,Data_Validation!$A:$D,4,0)</f>
        <v>0</v>
      </c>
      <c r="AR116" s="487" t="s">
        <v>299</v>
      </c>
      <c r="AS116" s="487">
        <f>+VLOOKUP($AJ116,Data_Validation!$A:$E,5,0)</f>
        <v>0</v>
      </c>
      <c r="AT116" s="904" t="str">
        <f t="shared" si="9"/>
        <v>G0561</v>
      </c>
      <c r="AU116" s="488" t="str">
        <f t="shared" si="10"/>
        <v>ASSURANCE STOCK VEH.NEUF</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customHeight="1">
      <c r="A117" s="706" t="s">
        <v>1148</v>
      </c>
      <c r="B117" s="706">
        <v>2026</v>
      </c>
      <c r="C117" s="706" t="s">
        <v>1358</v>
      </c>
      <c r="D117" s="706" t="s">
        <v>1359</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G0562</v>
      </c>
      <c r="AK117" s="905" t="str">
        <f t="shared" si="7"/>
        <v>ASSURANCE STOCK VEH USAGE</v>
      </c>
      <c r="AL117" s="905">
        <f>IFERROR(INDEX(G117:R117,1,MATCH(Parametres!$B$3,G$1:R$1,0)-1)*IF(OR(F117="L",F117="S",F117="I"),-1,1),"")</f>
        <v>0</v>
      </c>
      <c r="AM117" s="905">
        <f t="shared" si="8"/>
        <v>0</v>
      </c>
      <c r="AN117" s="905">
        <f>INDEX(G117:R117,1,MATCH(Parametres!$B$3,G$1:R$1,0))*IF(OR(F117="L",F117="S",F117="I"),-1,1)</f>
        <v>0</v>
      </c>
      <c r="AO117" s="487" t="str">
        <f>+VLOOKUP($AJ117,Data_Validation!$A:$D,1,0)</f>
        <v>G0562</v>
      </c>
      <c r="AP117" s="487">
        <f>+VLOOKUP($AJ117,Data_Validation!$A:$D,3,0)</f>
        <v>0</v>
      </c>
      <c r="AQ117" s="487">
        <f>+VLOOKUP($AJ117,Data_Validation!$A:$D,4,0)</f>
        <v>0</v>
      </c>
      <c r="AR117" s="487" t="s">
        <v>299</v>
      </c>
      <c r="AS117" s="487">
        <f>+VLOOKUP($AJ117,Data_Validation!$A:$E,5,0)</f>
        <v>0</v>
      </c>
      <c r="AT117" s="904" t="str">
        <f t="shared" si="9"/>
        <v>G0562</v>
      </c>
      <c r="AU117" s="488" t="str">
        <f t="shared" si="10"/>
        <v>ASSURANCE STOCK VEH USAGE</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customHeight="1">
      <c r="A118" s="706" t="s">
        <v>1148</v>
      </c>
      <c r="B118" s="706">
        <v>2026</v>
      </c>
      <c r="C118" s="706" t="s">
        <v>1360</v>
      </c>
      <c r="D118" s="706" t="s">
        <v>1361</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G0563</v>
      </c>
      <c r="AK118" s="905" t="str">
        <f t="shared" si="7"/>
        <v>ASSURANCES STOCK U.S.A</v>
      </c>
      <c r="AL118" s="905">
        <f>IFERROR(INDEX(G118:R118,1,MATCH(Parametres!$B$3,G$1:R$1,0)-1)*IF(OR(F118="L",F118="S",F118="I"),-1,1),"")</f>
        <v>0</v>
      </c>
      <c r="AM118" s="905">
        <f t="shared" si="8"/>
        <v>0</v>
      </c>
      <c r="AN118" s="905">
        <f>INDEX(G118:R118,1,MATCH(Parametres!$B$3,G$1:R$1,0))*IF(OR(F118="L",F118="S",F118="I"),-1,1)</f>
        <v>0</v>
      </c>
      <c r="AO118" s="487" t="str">
        <f>+VLOOKUP($AJ118,Data_Validation!$A:$D,1,0)</f>
        <v>G0563</v>
      </c>
      <c r="AP118" s="487">
        <f>+VLOOKUP($AJ118,Data_Validation!$A:$D,3,0)</f>
        <v>0</v>
      </c>
      <c r="AQ118" s="487">
        <f>+VLOOKUP($AJ118,Data_Validation!$A:$D,4,0)</f>
        <v>0</v>
      </c>
      <c r="AR118" s="487" t="s">
        <v>299</v>
      </c>
      <c r="AS118" s="487">
        <f>+VLOOKUP($AJ118,Data_Validation!$A:$E,5,0)</f>
        <v>0</v>
      </c>
      <c r="AT118" s="904" t="str">
        <f t="shared" si="9"/>
        <v>G0563</v>
      </c>
      <c r="AU118" s="488" t="str">
        <f t="shared" si="10"/>
        <v>ASSURANCES STOCK U.S.A</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customHeight="1">
      <c r="A119" s="706" t="s">
        <v>1148</v>
      </c>
      <c r="B119" s="706">
        <v>2026</v>
      </c>
      <c r="C119" s="706" t="s">
        <v>1362</v>
      </c>
      <c r="D119" s="706" t="s">
        <v>1363</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G0571</v>
      </c>
      <c r="AK119" s="905" t="str">
        <f t="shared" si="7"/>
        <v>MAUVAISE CREANCES NEUF</v>
      </c>
      <c r="AL119" s="905">
        <f>IFERROR(INDEX(G119:R119,1,MATCH(Parametres!$B$3,G$1:R$1,0)-1)*IF(OR(F119="L",F119="S",F119="I"),-1,1),"")</f>
        <v>0</v>
      </c>
      <c r="AM119" s="905">
        <f t="shared" si="8"/>
        <v>0</v>
      </c>
      <c r="AN119" s="905">
        <f>INDEX(G119:R119,1,MATCH(Parametres!$B$3,G$1:R$1,0))*IF(OR(F119="L",F119="S",F119="I"),-1,1)</f>
        <v>0</v>
      </c>
      <c r="AO119" s="487" t="str">
        <f>+VLOOKUP($AJ119,Data_Validation!$A:$D,1,0)</f>
        <v>G0571</v>
      </c>
      <c r="AP119" s="487" t="str">
        <f>+VLOOKUP($AJ119,Data_Validation!$A:$D,3,0)</f>
        <v>Véhicules neufs</v>
      </c>
      <c r="AQ119" s="487" t="str">
        <f>+VLOOKUP($AJ119,Data_Validation!$A:$D,4,0)</f>
        <v>Divers</v>
      </c>
      <c r="AR119" s="487" t="s">
        <v>299</v>
      </c>
      <c r="AS119" s="487">
        <f>+VLOOKUP($AJ119,Data_Validation!$A:$E,5,0)</f>
        <v>0</v>
      </c>
      <c r="AT119" s="904" t="str">
        <f t="shared" si="9"/>
        <v>G0571</v>
      </c>
      <c r="AU119" s="488" t="str">
        <f t="shared" si="10"/>
        <v>MAUVAISE CREANCES NEUF</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customHeight="1">
      <c r="A120" s="706" t="s">
        <v>1148</v>
      </c>
      <c r="B120" s="706">
        <v>2026</v>
      </c>
      <c r="C120" s="706" t="s">
        <v>1364</v>
      </c>
      <c r="D120" s="706" t="s">
        <v>1365</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G0572</v>
      </c>
      <c r="AK120" s="905" t="str">
        <f t="shared" si="7"/>
        <v>MAUVAISES CREANCES USAGÉS</v>
      </c>
      <c r="AL120" s="905">
        <f>IFERROR(INDEX(G120:R120,1,MATCH(Parametres!$B$3,G$1:R$1,0)-1)*IF(OR(F120="L",F120="S",F120="I"),-1,1),"")</f>
        <v>0</v>
      </c>
      <c r="AM120" s="905">
        <f t="shared" si="8"/>
        <v>0</v>
      </c>
      <c r="AN120" s="905">
        <f>INDEX(G120:R120,1,MATCH(Parametres!$B$3,G$1:R$1,0))*IF(OR(F120="L",F120="S",F120="I"),-1,1)</f>
        <v>0</v>
      </c>
      <c r="AO120" s="487" t="str">
        <f>+VLOOKUP($AJ120,Data_Validation!$A:$D,1,0)</f>
        <v>G0572</v>
      </c>
      <c r="AP120" s="487" t="str">
        <f>+VLOOKUP($AJ120,Data_Validation!$A:$D,3,0)</f>
        <v>Véhicules usagés</v>
      </c>
      <c r="AQ120" s="487" t="str">
        <f>+VLOOKUP($AJ120,Data_Validation!$A:$D,4,0)</f>
        <v>Divers</v>
      </c>
      <c r="AR120" s="487" t="s">
        <v>299</v>
      </c>
      <c r="AS120" s="487">
        <f>+VLOOKUP($AJ120,Data_Validation!$A:$E,5,0)</f>
        <v>0</v>
      </c>
      <c r="AT120" s="904" t="str">
        <f t="shared" si="9"/>
        <v>G0572</v>
      </c>
      <c r="AU120" s="488" t="str">
        <f t="shared" si="10"/>
        <v>MAUVAISES CREANCES USAGÉS</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customHeight="1">
      <c r="A121" s="706" t="s">
        <v>1148</v>
      </c>
      <c r="B121" s="706">
        <v>2026</v>
      </c>
      <c r="C121" s="706" t="s">
        <v>1366</v>
      </c>
      <c r="D121" s="706" t="s">
        <v>1367</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G0574</v>
      </c>
      <c r="AK121" s="905" t="str">
        <f t="shared" si="7"/>
        <v>MAUVAISES CRÉANCES SERVIC</v>
      </c>
      <c r="AL121" s="905">
        <f>IFERROR(INDEX(G121:R121,1,MATCH(Parametres!$B$3,G$1:R$1,0)-1)*IF(OR(F121="L",F121="S",F121="I"),-1,1),"")</f>
        <v>0</v>
      </c>
      <c r="AM121" s="905">
        <f t="shared" si="8"/>
        <v>0</v>
      </c>
      <c r="AN121" s="905">
        <f>INDEX(G121:R121,1,MATCH(Parametres!$B$3,G$1:R$1,0))*IF(OR(F121="L",F121="S",F121="I"),-1,1)</f>
        <v>0</v>
      </c>
      <c r="AO121" s="487" t="str">
        <f>+VLOOKUP($AJ121,Data_Validation!$A:$D,1,0)</f>
        <v>G0574</v>
      </c>
      <c r="AP121" s="487" t="str">
        <f>+VLOOKUP($AJ121,Data_Validation!$A:$D,3,0)</f>
        <v>Service</v>
      </c>
      <c r="AQ121" s="487" t="str">
        <f>+VLOOKUP($AJ121,Data_Validation!$A:$D,4,0)</f>
        <v>Divers</v>
      </c>
      <c r="AR121" s="487" t="s">
        <v>299</v>
      </c>
      <c r="AS121" s="487">
        <f>+VLOOKUP($AJ121,Data_Validation!$A:$E,5,0)</f>
        <v>0</v>
      </c>
      <c r="AT121" s="904" t="str">
        <f t="shared" si="9"/>
        <v>G0574</v>
      </c>
      <c r="AU121" s="488" t="str">
        <f t="shared" si="10"/>
        <v>MAUVAISES CRÉANCES SERVIC</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customHeight="1">
      <c r="A122" s="706" t="s">
        <v>1148</v>
      </c>
      <c r="B122" s="706">
        <v>2026</v>
      </c>
      <c r="C122" s="706" t="s">
        <v>1368</v>
      </c>
      <c r="D122" s="706" t="s">
        <v>1369</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G0576</v>
      </c>
      <c r="AK122" s="905" t="str">
        <f t="shared" si="7"/>
        <v>MAUVAISES CRÉANCES PIÈCES</v>
      </c>
      <c r="AL122" s="905">
        <f>IFERROR(INDEX(G122:R122,1,MATCH(Parametres!$B$3,G$1:R$1,0)-1)*IF(OR(F122="L",F122="S",F122="I"),-1,1),"")</f>
        <v>0</v>
      </c>
      <c r="AM122" s="905">
        <f t="shared" si="8"/>
        <v>0</v>
      </c>
      <c r="AN122" s="905">
        <f>INDEX(G122:R122,1,MATCH(Parametres!$B$3,G$1:R$1,0))*IF(OR(F122="L",F122="S",F122="I"),-1,1)</f>
        <v>0</v>
      </c>
      <c r="AO122" s="487" t="str">
        <f>+VLOOKUP($AJ122,Data_Validation!$A:$D,1,0)</f>
        <v>G0576</v>
      </c>
      <c r="AP122" s="487" t="str">
        <f>+VLOOKUP($AJ122,Data_Validation!$A:$D,3,0)</f>
        <v>Pièces</v>
      </c>
      <c r="AQ122" s="487" t="str">
        <f>+VLOOKUP($AJ122,Data_Validation!$A:$D,4,0)</f>
        <v>Divers</v>
      </c>
      <c r="AR122" s="487" t="s">
        <v>299</v>
      </c>
      <c r="AS122" s="487">
        <f>+VLOOKUP($AJ122,Data_Validation!$A:$E,5,0)</f>
        <v>0</v>
      </c>
      <c r="AT122" s="904" t="str">
        <f t="shared" si="9"/>
        <v>G0576</v>
      </c>
      <c r="AU122" s="488" t="str">
        <f t="shared" si="10"/>
        <v>MAUVAISES CRÉANCES PIÈCES</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customHeight="1">
      <c r="A123" s="706" t="s">
        <v>1148</v>
      </c>
      <c r="B123" s="706">
        <v>2026</v>
      </c>
      <c r="C123" s="706" t="s">
        <v>1370</v>
      </c>
      <c r="D123" s="706" t="s">
        <v>1371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G0580</v>
      </c>
      <c r="AK123" s="905" t="str">
        <f t="shared" si="7"/>
        <v>FRAIS DE BANQUE</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G0580</v>
      </c>
      <c r="AU123" s="488" t="str">
        <f t="shared" si="10"/>
        <v>FRAIS DE BANQUE</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1372</v>
      </c>
      <c r="D124" s="706" t="s">
        <v>1373</v>
      </c>
      <c r="E124" s="706" t="s">
        <v>333</v>
      </c>
      <c r="F124" s="706" t="s">
        <v>1104</v>
      </c>
      <c r="G124" s="706">
        <v>567.14</v>
      </c>
      <c r="H124" s="706">
        <v>2418.38</v>
      </c>
      <c r="I124" s="706">
        <v>3132.4</v>
      </c>
      <c r="J124" s="706">
        <v>5116.82</v>
      </c>
      <c r="K124" s="706">
        <v>6972.21</v>
      </c>
      <c r="L124" s="706">
        <v>8530.2800000000007</v>
      </c>
      <c r="M124" s="706">
        <v>8530.2800000000007</v>
      </c>
      <c r="N124" s="706">
        <v>0</v>
      </c>
      <c r="O124" s="706">
        <v>0</v>
      </c>
      <c r="P124" s="706">
        <v>0</v>
      </c>
      <c r="Q124" s="706">
        <v>0</v>
      </c>
      <c r="R124" s="706">
        <v>0</v>
      </c>
      <c r="S124" s="706">
        <v>1421.71</v>
      </c>
      <c r="T124" s="706">
        <v>1421.71</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G0581</v>
      </c>
      <c r="AK124" s="905" t="str">
        <f t="shared" si="7"/>
        <v>FRAIS DE BANQUE NEUF</v>
      </c>
      <c r="AL124" s="905">
        <f>IFERROR(INDEX(G124:R124,1,MATCH(Parametres!$B$3,G$1:R$1,0)-1)*IF(OR(F124="L",F124="S",F124="I"),-1,1),"")</f>
        <v>6972.21</v>
      </c>
      <c r="AM124" s="905">
        <f t="shared" si="8"/>
        <v>1558.0700000000006</v>
      </c>
      <c r="AN124" s="905">
        <f>INDEX(G124:R124,1,MATCH(Parametres!$B$3,G$1:R$1,0))*IF(OR(F124="L",F124="S",F124="I"),-1,1)</f>
        <v>8530.2800000000007</v>
      </c>
      <c r="AO124" s="487" t="str">
        <f>+VLOOKUP($AJ124,Data_Validation!$A:$D,1,0)</f>
        <v>G0581</v>
      </c>
      <c r="AP124" s="487" t="str">
        <f>+VLOOKUP($AJ124,Data_Validation!$A:$D,3,0)</f>
        <v>Véhicules neufs</v>
      </c>
      <c r="AQ124" s="487" t="str">
        <f>+VLOOKUP($AJ124,Data_Validation!$A:$D,4,0)</f>
        <v>Frais bancaires</v>
      </c>
      <c r="AR124" s="487" t="s">
        <v>299</v>
      </c>
      <c r="AS124" s="487">
        <f>+VLOOKUP($AJ124,Data_Validation!$A:$E,5,0)</f>
        <v>0</v>
      </c>
      <c r="AT124" s="904" t="str">
        <f t="shared" si="9"/>
        <v>G0581</v>
      </c>
      <c r="AU124" s="488" t="str">
        <f t="shared" si="10"/>
        <v>FRAIS DE BANQUE NEUF</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customHeight="1">
      <c r="A125" s="706" t="s">
        <v>1148</v>
      </c>
      <c r="B125" s="706">
        <v>2026</v>
      </c>
      <c r="C125" s="706" t="s">
        <v>1374</v>
      </c>
      <c r="D125" s="706" t="s">
        <v>1375</v>
      </c>
      <c r="E125" s="706" t="s">
        <v>333</v>
      </c>
      <c r="F125" s="706" t="s">
        <v>1104</v>
      </c>
      <c r="G125" s="706">
        <v>374.1</v>
      </c>
      <c r="H125" s="706">
        <v>1589.93</v>
      </c>
      <c r="I125" s="706">
        <v>2108.4499999999998</v>
      </c>
      <c r="J125" s="706">
        <v>3585.22</v>
      </c>
      <c r="K125" s="706">
        <v>4692.45</v>
      </c>
      <c r="L125" s="706">
        <v>5871.16</v>
      </c>
      <c r="M125" s="706">
        <v>5941.16</v>
      </c>
      <c r="N125" s="706">
        <v>0</v>
      </c>
      <c r="O125" s="706">
        <v>0</v>
      </c>
      <c r="P125" s="706">
        <v>0</v>
      </c>
      <c r="Q125" s="706">
        <v>0</v>
      </c>
      <c r="R125" s="706">
        <v>0</v>
      </c>
      <c r="S125" s="706">
        <v>978.53</v>
      </c>
      <c r="T125" s="706">
        <v>978.53</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G0582</v>
      </c>
      <c r="AK125" s="905" t="str">
        <f t="shared" si="7"/>
        <v>FRAIS DE BANQUE USAGE</v>
      </c>
      <c r="AL125" s="905">
        <f>IFERROR(INDEX(G125:R125,1,MATCH(Parametres!$B$3,G$1:R$1,0)-1)*IF(OR(F125="L",F125="S",F125="I"),-1,1),"")</f>
        <v>4692.45</v>
      </c>
      <c r="AM125" s="905">
        <f t="shared" si="8"/>
        <v>1178.71</v>
      </c>
      <c r="AN125" s="905">
        <f>INDEX(G125:R125,1,MATCH(Parametres!$B$3,G$1:R$1,0))*IF(OR(F125="L",F125="S",F125="I"),-1,1)</f>
        <v>5871.16</v>
      </c>
      <c r="AO125" s="487" t="str">
        <f>+VLOOKUP($AJ125,Data_Validation!$A:$D,1,0)</f>
        <v>G0582</v>
      </c>
      <c r="AP125" s="487" t="str">
        <f>+VLOOKUP($AJ125,Data_Validation!$A:$D,3,0)</f>
        <v>Véhicules usagés</v>
      </c>
      <c r="AQ125" s="487" t="str">
        <f>+VLOOKUP($AJ125,Data_Validation!$A:$D,4,0)</f>
        <v>Frais bancaires</v>
      </c>
      <c r="AR125" s="487" t="s">
        <v>299</v>
      </c>
      <c r="AS125" s="487">
        <f>+VLOOKUP($AJ125,Data_Validation!$A:$E,5,0)</f>
        <v>0</v>
      </c>
      <c r="AT125" s="904" t="str">
        <f t="shared" si="9"/>
        <v>G0582</v>
      </c>
      <c r="AU125" s="488" t="str">
        <f t="shared" si="10"/>
        <v>FRAIS DE BANQUE USAGE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customHeight="1">
      <c r="A126" s="706" t="s">
        <v>1148</v>
      </c>
      <c r="B126" s="706">
        <v>2026</v>
      </c>
      <c r="C126" s="706" t="s">
        <v>1376</v>
      </c>
      <c r="D126" s="706" t="s">
        <v>1377</v>
      </c>
      <c r="E126" s="706" t="s">
        <v>333</v>
      </c>
      <c r="F126" s="706" t="s">
        <v>1104</v>
      </c>
      <c r="G126" s="706">
        <v>0</v>
      </c>
      <c r="H126" s="706">
        <v>0</v>
      </c>
      <c r="I126" s="706">
        <v>0</v>
      </c>
      <c r="J126" s="706">
        <v>0</v>
      </c>
      <c r="K126" s="706">
        <v>0</v>
      </c>
      <c r="L126" s="706">
        <v>17.5</v>
      </c>
      <c r="M126" s="706">
        <v>35</v>
      </c>
      <c r="N126" s="706">
        <v>0</v>
      </c>
      <c r="O126" s="706">
        <v>0</v>
      </c>
      <c r="P126" s="706">
        <v>0</v>
      </c>
      <c r="Q126" s="706">
        <v>0</v>
      </c>
      <c r="R126" s="706">
        <v>0</v>
      </c>
      <c r="S126" s="706">
        <v>2.92</v>
      </c>
      <c r="T126" s="706">
        <v>2.92</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G0583</v>
      </c>
      <c r="AK126" s="905" t="str">
        <f t="shared" si="7"/>
        <v>FRAIS DE BANQUE U.S.A</v>
      </c>
      <c r="AL126" s="905">
        <f>IFERROR(INDEX(G126:R126,1,MATCH(Parametres!$B$3,G$1:R$1,0)-1)*IF(OR(F126="L",F126="S",F126="I"),-1,1),"")</f>
        <v>0</v>
      </c>
      <c r="AM126" s="905">
        <f t="shared" si="8"/>
        <v>17.5</v>
      </c>
      <c r="AN126" s="905">
        <f>INDEX(G126:R126,1,MATCH(Parametres!$B$3,G$1:R$1,0))*IF(OR(F126="L",F126="S",F126="I"),-1,1)</f>
        <v>17.5</v>
      </c>
      <c r="AO126" s="487" t="str">
        <f>+VLOOKUP($AJ126,Data_Validation!$A:$D,1,0)</f>
        <v>G0583</v>
      </c>
      <c r="AP126" s="487" t="str">
        <f>+VLOOKUP($AJ126,Data_Validation!$A:$D,3,0)</f>
        <v>Wholesale autres</v>
      </c>
      <c r="AQ126" s="487" t="str">
        <f>+VLOOKUP($AJ126,Data_Validation!$A:$D,4,0)</f>
        <v>Frais bancaires</v>
      </c>
      <c r="AR126" s="487" t="s">
        <v>299</v>
      </c>
      <c r="AS126" s="487">
        <f>+VLOOKUP($AJ126,Data_Validation!$A:$E,5,0)</f>
        <v>0</v>
      </c>
      <c r="AT126" s="904" t="str">
        <f t="shared" si="9"/>
        <v>G0583</v>
      </c>
      <c r="AU126" s="488" t="str">
        <f t="shared" si="10"/>
        <v>FRAIS DE BANQUE U.S.A</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2026</v>
      </c>
      <c r="C127" s="706" t="s">
        <v>1378</v>
      </c>
      <c r="D127" s="706" t="s">
        <v>1379</v>
      </c>
      <c r="E127" s="706" t="s">
        <v>333</v>
      </c>
      <c r="F127" s="706" t="s">
        <v>1104</v>
      </c>
      <c r="G127" s="706">
        <v>587.69000000000005</v>
      </c>
      <c r="H127" s="706">
        <v>2435.88</v>
      </c>
      <c r="I127" s="706">
        <v>3149.9</v>
      </c>
      <c r="J127" s="706">
        <v>5142.7700000000004</v>
      </c>
      <c r="K127" s="706">
        <v>6927.71</v>
      </c>
      <c r="L127" s="706">
        <v>8512.93</v>
      </c>
      <c r="M127" s="706">
        <v>8527.93</v>
      </c>
      <c r="N127" s="706">
        <v>0</v>
      </c>
      <c r="O127" s="706">
        <v>0</v>
      </c>
      <c r="P127" s="706">
        <v>0</v>
      </c>
      <c r="Q127" s="706">
        <v>0</v>
      </c>
      <c r="R127" s="706">
        <v>0</v>
      </c>
      <c r="S127" s="706">
        <v>1418.82</v>
      </c>
      <c r="T127" s="706">
        <v>1418.82</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G0584</v>
      </c>
      <c r="AK127" s="905" t="str">
        <f t="shared" si="7"/>
        <v>FRAIS DE BANQUE SERVICE</v>
      </c>
      <c r="AL127" s="905">
        <f>IFERROR(INDEX(G127:R127,1,MATCH(Parametres!$B$3,G$1:R$1,0)-1)*IF(OR(F127="L",F127="S",F127="I"),-1,1),"")</f>
        <v>6927.71</v>
      </c>
      <c r="AM127" s="905">
        <f t="shared" si="8"/>
        <v>1585.2200000000003</v>
      </c>
      <c r="AN127" s="905">
        <f>INDEX(G127:R127,1,MATCH(Parametres!$B$3,G$1:R$1,0))*IF(OR(F127="L",F127="S",F127="I"),-1,1)</f>
        <v>8512.93</v>
      </c>
      <c r="AO127" s="487" t="str">
        <f>+VLOOKUP($AJ127,Data_Validation!$A:$D,1,0)</f>
        <v>G0584</v>
      </c>
      <c r="AP127" s="487" t="str">
        <f>+VLOOKUP($AJ127,Data_Validation!$A:$D,3,0)</f>
        <v>Service</v>
      </c>
      <c r="AQ127" s="487" t="str">
        <f>+VLOOKUP($AJ127,Data_Validation!$A:$D,4,0)</f>
        <v>Frais bancaires</v>
      </c>
      <c r="AR127" s="487" t="s">
        <v>299</v>
      </c>
      <c r="AS127" s="487">
        <f>+VLOOKUP($AJ127,Data_Validation!$A:$E,5,0)</f>
        <v>0</v>
      </c>
      <c r="AT127" s="904" t="str">
        <f t="shared" si="9"/>
        <v>G0584</v>
      </c>
      <c r="AU127" s="488" t="str">
        <f t="shared" si="10"/>
        <v>FRAIS DE BANQUE SERVICE</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customHeight="1">
      <c r="A128" s="706" t="s">
        <v>1148</v>
      </c>
      <c r="B128" s="706">
        <v>2026</v>
      </c>
      <c r="C128" s="706" t="s">
        <v>1380</v>
      </c>
      <c r="D128" s="706" t="s">
        <v>1381</v>
      </c>
      <c r="E128" s="706" t="s">
        <v>333</v>
      </c>
      <c r="F128" s="706" t="s">
        <v>1104</v>
      </c>
      <c r="G128" s="706">
        <v>187.04</v>
      </c>
      <c r="H128" s="706">
        <v>794.95</v>
      </c>
      <c r="I128" s="706">
        <v>1027.96</v>
      </c>
      <c r="J128" s="706">
        <v>1684.11</v>
      </c>
      <c r="K128" s="706">
        <v>2269.2399999999998</v>
      </c>
      <c r="L128" s="706">
        <v>2788.6</v>
      </c>
      <c r="M128" s="706">
        <v>2788.6</v>
      </c>
      <c r="N128" s="706">
        <v>0</v>
      </c>
      <c r="O128" s="706">
        <v>0</v>
      </c>
      <c r="P128" s="706">
        <v>0</v>
      </c>
      <c r="Q128" s="706">
        <v>0</v>
      </c>
      <c r="R128" s="706">
        <v>0</v>
      </c>
      <c r="S128" s="706">
        <v>464.77</v>
      </c>
      <c r="T128" s="706">
        <v>464.77</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G0585</v>
      </c>
      <c r="AK128" s="905" t="str">
        <f t="shared" si="7"/>
        <v>FRAIS DE BANQUE CARROSERI</v>
      </c>
      <c r="AL128" s="905">
        <f>IFERROR(INDEX(G128:R128,1,MATCH(Parametres!$B$3,G$1:R$1,0)-1)*IF(OR(F128="L",F128="S",F128="I"),-1,1),"")</f>
        <v>2269.2399999999998</v>
      </c>
      <c r="AM128" s="905">
        <f t="shared" si="8"/>
        <v>519.36000000000013</v>
      </c>
      <c r="AN128" s="905">
        <f>INDEX(G128:R128,1,MATCH(Parametres!$B$3,G$1:R$1,0))*IF(OR(F128="L",F128="S",F128="I"),-1,1)</f>
        <v>2788.6</v>
      </c>
      <c r="AO128" s="487" t="str">
        <f>+VLOOKUP($AJ128,Data_Validation!$A:$D,1,0)</f>
        <v>G0585</v>
      </c>
      <c r="AP128" s="487" t="str">
        <f>+VLOOKUP($AJ128,Data_Validation!$A:$D,3,0)</f>
        <v>Carrosserie</v>
      </c>
      <c r="AQ128" s="487" t="str">
        <f>+VLOOKUP($AJ128,Data_Validation!$A:$D,4,0)</f>
        <v>Frais bancaires</v>
      </c>
      <c r="AR128" s="487" t="s">
        <v>299</v>
      </c>
      <c r="AS128" s="487">
        <f>+VLOOKUP($AJ128,Data_Validation!$A:$E,5,0)</f>
        <v>0</v>
      </c>
      <c r="AT128" s="904" t="str">
        <f t="shared" si="9"/>
        <v>G0585</v>
      </c>
      <c r="AU128" s="488" t="str">
        <f t="shared" si="10"/>
        <v>FRAIS DE BANQUE CARROSERI</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customHeight="1">
      <c r="A129" s="706" t="s">
        <v>1148</v>
      </c>
      <c r="B129" s="706">
        <v>2026</v>
      </c>
      <c r="C129" s="706" t="s">
        <v>1382</v>
      </c>
      <c r="D129" s="706" t="s">
        <v>1383</v>
      </c>
      <c r="E129" s="706" t="s">
        <v>333</v>
      </c>
      <c r="F129" s="706" t="s">
        <v>1104</v>
      </c>
      <c r="G129" s="706">
        <v>187.04</v>
      </c>
      <c r="H129" s="706">
        <v>794.95</v>
      </c>
      <c r="I129" s="706">
        <v>1027.95</v>
      </c>
      <c r="J129" s="706">
        <v>1684.06</v>
      </c>
      <c r="K129" s="706">
        <v>2269.1799999999998</v>
      </c>
      <c r="L129" s="706">
        <v>2788.54</v>
      </c>
      <c r="M129" s="706">
        <v>2788.54</v>
      </c>
      <c r="N129" s="706">
        <v>0</v>
      </c>
      <c r="O129" s="706">
        <v>0</v>
      </c>
      <c r="P129" s="706">
        <v>0</v>
      </c>
      <c r="Q129" s="706">
        <v>0</v>
      </c>
      <c r="R129" s="706">
        <v>0</v>
      </c>
      <c r="S129" s="706">
        <v>464.76</v>
      </c>
      <c r="T129" s="706">
        <v>464.76</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G0586</v>
      </c>
      <c r="AK129" s="905" t="str">
        <f t="shared" si="7"/>
        <v>FRAIS DE BANQUE PIECES</v>
      </c>
      <c r="AL129" s="905">
        <f>IFERROR(INDEX(G129:R129,1,MATCH(Parametres!$B$3,G$1:R$1,0)-1)*IF(OR(F129="L",F129="S",F129="I"),-1,1),"")</f>
        <v>2269.1799999999998</v>
      </c>
      <c r="AM129" s="905">
        <f t="shared" si="8"/>
        <v>519.36000000000013</v>
      </c>
      <c r="AN129" s="905">
        <f>INDEX(G129:R129,1,MATCH(Parametres!$B$3,G$1:R$1,0))*IF(OR(F129="L",F129="S",F129="I"),-1,1)</f>
        <v>2788.54</v>
      </c>
      <c r="AO129" s="487" t="str">
        <f>+VLOOKUP($AJ129,Data_Validation!$A:$D,1,0)</f>
        <v>G0586</v>
      </c>
      <c r="AP129" s="487" t="str">
        <f>+VLOOKUP($AJ129,Data_Validation!$A:$D,3,0)</f>
        <v>Pièces</v>
      </c>
      <c r="AQ129" s="487" t="str">
        <f>+VLOOKUP($AJ129,Data_Validation!$A:$D,4,0)</f>
        <v>Frais bancaires</v>
      </c>
      <c r="AR129" s="487" t="s">
        <v>299</v>
      </c>
      <c r="AS129" s="487">
        <f>+VLOOKUP($AJ129,Data_Validation!$A:$E,5,0)</f>
        <v>0</v>
      </c>
      <c r="AT129" s="904" t="str">
        <f t="shared" si="9"/>
        <v>G0586</v>
      </c>
      <c r="AU129" s="488" t="str">
        <f t="shared" si="10"/>
        <v>FRAIS DE BANQUE PIECES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customHeight="1">
      <c r="A130" s="706" t="s">
        <v>1148</v>
      </c>
      <c r="B130" s="706">
        <v>2026</v>
      </c>
      <c r="C130" s="706" t="s">
        <v>3150</v>
      </c>
      <c r="D130" s="706" t="s">
        <v>3151</v>
      </c>
      <c r="E130" s="706" t="s">
        <v>333</v>
      </c>
      <c r="F130" s="706" t="s">
        <v>1104</v>
      </c>
      <c r="G130" s="706">
        <v>0</v>
      </c>
      <c r="H130" s="706">
        <v>0</v>
      </c>
      <c r="I130" s="706">
        <v>0</v>
      </c>
      <c r="J130" s="706">
        <v>0</v>
      </c>
      <c r="K130" s="706">
        <v>0</v>
      </c>
      <c r="L130" s="706">
        <v>0</v>
      </c>
      <c r="M130" s="706">
        <v>0</v>
      </c>
      <c r="N130" s="706">
        <v>0</v>
      </c>
      <c r="O130" s="706">
        <v>0</v>
      </c>
      <c r="P130" s="706">
        <v>0</v>
      </c>
      <c r="Q130" s="706">
        <v>0</v>
      </c>
      <c r="R130" s="706">
        <v>0</v>
      </c>
      <c r="S130" s="706">
        <v>0</v>
      </c>
      <c r="T130" s="706">
        <v>0</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G0590</v>
      </c>
      <c r="AK130" s="905" t="str">
        <f t="shared" si="7"/>
        <v>UNIFORMES         GENERAL</v>
      </c>
      <c r="AL130" s="905">
        <f>IFERROR(INDEX(G130:R130,1,MATCH(Parametres!$B$3,G$1:R$1,0)-1)*IF(OR(F130="L",F130="S",F130="I"),-1,1),"")</f>
        <v>0</v>
      </c>
      <c r="AM130" s="905">
        <f t="shared" si="8"/>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t="str">
        <f t="shared" si="9"/>
        <v>G0590</v>
      </c>
      <c r="AU130" s="488" t="str">
        <f t="shared" si="10"/>
        <v>UNIFORMES         GENERAL</v>
      </c>
      <c r="AV130" s="899">
        <f>IFERROR(INDEX(V130:AG130,1,MATCH(Parametres!$B$3,V$1:AG$1,0)-1)*IF(OR(C130="L",C130="S",C130="I"),-1,1),"")</f>
        <v>0</v>
      </c>
      <c r="AW130" s="899">
        <f t="shared" si="11"/>
        <v>0</v>
      </c>
      <c r="AX130" s="899">
        <f>INDEX(V130:AG130,1,MATCH(Parametres!$B$3,V$1:AG$1,0))*IF(OR(C130="L",C130="S",C130="I"),-1,1)</f>
        <v>0</v>
      </c>
      <c r="AY130" s="487" t="s">
        <v>337</v>
      </c>
      <c r="AZ130" s="487" t="e">
        <f>+VLOOKUP($AJ130,Data_Validation!$A:$E,5,0)</f>
        <v>#N/A</v>
      </c>
    </row>
    <row r="131" spans="1:52" ht="15.75" customHeight="1">
      <c r="A131" s="706" t="s">
        <v>1148</v>
      </c>
      <c r="B131" s="706">
        <v>2026</v>
      </c>
      <c r="C131" s="706" t="s">
        <v>3152</v>
      </c>
      <c r="D131" s="706" t="s">
        <v>3153</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G0591</v>
      </c>
      <c r="AK131" s="905" t="str">
        <f t="shared" si="7"/>
        <v>UNIFORMES           NEUFS</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G0591</v>
      </c>
      <c r="AU131" s="488" t="str">
        <f t="shared" si="10"/>
        <v>UNIFORMES           NEUFS</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customHeight="1">
      <c r="A132" s="706" t="s">
        <v>1148</v>
      </c>
      <c r="B132" s="706">
        <v>2026</v>
      </c>
      <c r="C132" s="706" t="s">
        <v>3154</v>
      </c>
      <c r="D132" s="706" t="s">
        <v>3155</v>
      </c>
      <c r="E132" s="706" t="s">
        <v>333</v>
      </c>
      <c r="F132" s="706" t="s">
        <v>1104</v>
      </c>
      <c r="G132" s="706">
        <v>0</v>
      </c>
      <c r="H132" s="706">
        <v>0</v>
      </c>
      <c r="I132" s="706">
        <v>0</v>
      </c>
      <c r="J132" s="706">
        <v>0</v>
      </c>
      <c r="K132" s="706">
        <v>0</v>
      </c>
      <c r="L132" s="706">
        <v>0</v>
      </c>
      <c r="M132" s="706">
        <v>0</v>
      </c>
      <c r="N132" s="706">
        <v>0</v>
      </c>
      <c r="O132" s="706">
        <v>0</v>
      </c>
      <c r="P132" s="706">
        <v>0</v>
      </c>
      <c r="Q132" s="706">
        <v>0</v>
      </c>
      <c r="R132" s="706">
        <v>0</v>
      </c>
      <c r="S132" s="706">
        <v>0</v>
      </c>
      <c r="T132" s="706">
        <v>0</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G0592</v>
      </c>
      <c r="AK132" s="905" t="str">
        <f t="shared" ref="AK132:AK195" si="13">D132</f>
        <v>UNIFORMES           USAGE</v>
      </c>
      <c r="AL132" s="905">
        <f>IFERROR(INDEX(G132:R132,1,MATCH(Parametres!$B$3,G$1:R$1,0)-1)*IF(OR(F132="L",F132="S",F132="I"),-1,1),"")</f>
        <v>0</v>
      </c>
      <c r="AM132" s="905">
        <f t="shared" ref="AM132:AM195" si="14">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t="str">
        <f t="shared" ref="AT132:AT195" si="15">C132</f>
        <v>G0592</v>
      </c>
      <c r="AU132" s="488" t="str">
        <f t="shared" ref="AU132:AU195" si="16">D132</f>
        <v>UNIFORMES           USAGE</v>
      </c>
      <c r="AV132" s="899">
        <f>IFERROR(INDEX(V132:AG132,1,MATCH(Parametres!$B$3,V$1:AG$1,0)-1)*IF(OR(C132="L",C132="S",C132="I"),-1,1),"")</f>
        <v>0</v>
      </c>
      <c r="AW132" s="899">
        <f t="shared" ref="AW132:AW195" si="17">AX132-AV132</f>
        <v>0</v>
      </c>
      <c r="AX132" s="899">
        <f>INDEX(V132:AG132,1,MATCH(Parametres!$B$3,V$1:AG$1,0))*IF(OR(C132="L",C132="S",C132="I"),-1,1)</f>
        <v>0</v>
      </c>
      <c r="AY132" s="487" t="s">
        <v>337</v>
      </c>
      <c r="AZ132" s="487" t="e">
        <f>+VLOOKUP($AJ132,Data_Validation!$A:$E,5,0)</f>
        <v>#N/A</v>
      </c>
    </row>
    <row r="133" spans="1:52" ht="15" customHeight="1">
      <c r="A133" s="706" t="s">
        <v>1148</v>
      </c>
      <c r="B133" s="706">
        <v>2026</v>
      </c>
      <c r="C133" s="706" t="s">
        <v>3156</v>
      </c>
      <c r="D133" s="706" t="s">
        <v>3157</v>
      </c>
      <c r="E133" s="706" t="s">
        <v>333</v>
      </c>
      <c r="F133" s="706" t="s">
        <v>1104</v>
      </c>
      <c r="G133" s="706">
        <v>0</v>
      </c>
      <c r="H133" s="706">
        <v>0</v>
      </c>
      <c r="I133" s="706">
        <v>0</v>
      </c>
      <c r="J133" s="706">
        <v>0</v>
      </c>
      <c r="K133" s="706">
        <v>0</v>
      </c>
      <c r="L133" s="706">
        <v>0</v>
      </c>
      <c r="M133" s="706">
        <v>0</v>
      </c>
      <c r="N133" s="706">
        <v>0</v>
      </c>
      <c r="O133" s="706">
        <v>0</v>
      </c>
      <c r="P133" s="706">
        <v>0</v>
      </c>
      <c r="Q133" s="706">
        <v>0</v>
      </c>
      <c r="R133" s="706">
        <v>0</v>
      </c>
      <c r="S133" s="706">
        <v>0</v>
      </c>
      <c r="T133" s="706">
        <v>0</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G0593</v>
      </c>
      <c r="AK133" s="905" t="str">
        <f t="shared" si="13"/>
        <v>UNIFORMES             USA</v>
      </c>
      <c r="AL133" s="905">
        <f>IFERROR(INDEX(G133:R133,1,MATCH(Parametres!$B$3,G$1:R$1,0)-1)*IF(OR(F133="L",F133="S",F133="I"),-1,1),"")</f>
        <v>0</v>
      </c>
      <c r="AM133" s="905">
        <f t="shared" si="14"/>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t="str">
        <f t="shared" si="15"/>
        <v>G0593</v>
      </c>
      <c r="AU133" s="488" t="str">
        <f t="shared" si="16"/>
        <v>UNIFORMES             USA</v>
      </c>
      <c r="AV133" s="899">
        <f>IFERROR(INDEX(V133:AG133,1,MATCH(Parametres!$B$3,V$1:AG$1,0)-1)*IF(OR(C133="L",C133="S",C133="I"),-1,1),"")</f>
        <v>0</v>
      </c>
      <c r="AW133" s="899">
        <f t="shared" si="17"/>
        <v>0</v>
      </c>
      <c r="AX133" s="899">
        <f>INDEX(V133:AG133,1,MATCH(Parametres!$B$3,V$1:AG$1,0))*IF(OR(C133="L",C133="S",C133="I"),-1,1)</f>
        <v>0</v>
      </c>
      <c r="AY133" s="487" t="s">
        <v>337</v>
      </c>
      <c r="AZ133" s="487" t="e">
        <f>+VLOOKUP($AJ133,Data_Validation!$A:$E,5,0)</f>
        <v>#N/A</v>
      </c>
    </row>
    <row r="134" spans="1:52" ht="15" customHeight="1">
      <c r="A134" s="706" t="s">
        <v>1148</v>
      </c>
      <c r="B134" s="706">
        <v>2026</v>
      </c>
      <c r="C134" s="706" t="s">
        <v>3158</v>
      </c>
      <c r="D134" s="706" t="s">
        <v>3159</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G0594</v>
      </c>
      <c r="AK134" s="905" t="str">
        <f t="shared" si="13"/>
        <v>UNIFORMES             SRV</v>
      </c>
      <c r="AL134" s="905">
        <f>IFERROR(INDEX(G134:R134,1,MATCH(Parametres!$B$3,G$1:R$1,0)-1)*IF(OR(F134="L",F134="S",F134="I"),-1,1),"")</f>
        <v>0</v>
      </c>
      <c r="AM134" s="905">
        <f t="shared" si="14"/>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t="str">
        <f t="shared" si="15"/>
        <v>G0594</v>
      </c>
      <c r="AU134" s="488" t="str">
        <f t="shared" si="16"/>
        <v>UNIFORMES             SRV</v>
      </c>
      <c r="AV134" s="899">
        <f>IFERROR(INDEX(V134:AG134,1,MATCH(Parametres!$B$3,V$1:AG$1,0)-1)*IF(OR(C134="L",C134="S",C134="I"),-1,1),"")</f>
        <v>0</v>
      </c>
      <c r="AW134" s="899">
        <f t="shared" si="17"/>
        <v>0</v>
      </c>
      <c r="AX134" s="899">
        <f>INDEX(V134:AG134,1,MATCH(Parametres!$B$3,V$1:AG$1,0))*IF(OR(C134="L",C134="S",C134="I"),-1,1)</f>
        <v>0</v>
      </c>
      <c r="AY134" s="487" t="s">
        <v>337</v>
      </c>
      <c r="AZ134" s="487" t="e">
        <f>+VLOOKUP($AJ134,Data_Validation!$A:$E,5,0)</f>
        <v>#N/A</v>
      </c>
    </row>
    <row r="135" spans="1:52" ht="15.75" customHeight="1">
      <c r="A135" s="706" t="s">
        <v>1148</v>
      </c>
      <c r="B135" s="706">
        <v>2026</v>
      </c>
      <c r="C135" s="706" t="s">
        <v>3160</v>
      </c>
      <c r="D135" s="706" t="s">
        <v>3161</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G0595</v>
      </c>
      <c r="AK135" s="905" t="str">
        <f t="shared" si="13"/>
        <v>UNIFORMES            CARR</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G0595</v>
      </c>
      <c r="AU135" s="488" t="str">
        <f t="shared" si="16"/>
        <v>UNIFORMES            CARR</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customHeight="1">
      <c r="A136" s="706" t="s">
        <v>1148</v>
      </c>
      <c r="B136" s="706">
        <v>2026</v>
      </c>
      <c r="C136" s="706" t="s">
        <v>3162</v>
      </c>
      <c r="D136" s="706" t="s">
        <v>3163</v>
      </c>
      <c r="E136" s="706" t="s">
        <v>333</v>
      </c>
      <c r="F136" s="706" t="s">
        <v>1104</v>
      </c>
      <c r="G136" s="706">
        <v>0</v>
      </c>
      <c r="H136" s="706">
        <v>0</v>
      </c>
      <c r="I136" s="706">
        <v>0</v>
      </c>
      <c r="J136" s="706">
        <v>0</v>
      </c>
      <c r="K136" s="706">
        <v>0</v>
      </c>
      <c r="L136" s="706">
        <v>0</v>
      </c>
      <c r="M136" s="706">
        <v>0</v>
      </c>
      <c r="N136" s="706">
        <v>0</v>
      </c>
      <c r="O136" s="706">
        <v>0</v>
      </c>
      <c r="P136" s="706">
        <v>0</v>
      </c>
      <c r="Q136" s="706">
        <v>0</v>
      </c>
      <c r="R136" s="706">
        <v>0</v>
      </c>
      <c r="S136" s="706">
        <v>0</v>
      </c>
      <c r="T136" s="706">
        <v>0</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G0596</v>
      </c>
      <c r="AK136" s="905" t="str">
        <f t="shared" si="13"/>
        <v>UNIFORMES             PCS</v>
      </c>
      <c r="AL136" s="905">
        <f>IFERROR(INDEX(G136:R136,1,MATCH(Parametres!$B$3,G$1:R$1,0)-1)*IF(OR(F136="L",F136="S",F136="I"),-1,1),"")</f>
        <v>0</v>
      </c>
      <c r="AM136" s="905">
        <f t="shared" si="14"/>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t="str">
        <f t="shared" si="15"/>
        <v>G0596</v>
      </c>
      <c r="AU136" s="488" t="str">
        <f t="shared" si="16"/>
        <v>UNIFORMES             PCS</v>
      </c>
      <c r="AV136" s="899">
        <f>IFERROR(INDEX(V136:AG136,1,MATCH(Parametres!$B$3,V$1:AG$1,0)-1)*IF(OR(C136="L",C136="S",C136="I"),-1,1),"")</f>
        <v>0</v>
      </c>
      <c r="AW136" s="899">
        <f t="shared" si="17"/>
        <v>0</v>
      </c>
      <c r="AX136" s="899">
        <f>INDEX(V136:AG136,1,MATCH(Parametres!$B$3,V$1:AG$1,0))*IF(OR(C136="L",C136="S",C136="I"),-1,1)</f>
        <v>0</v>
      </c>
      <c r="AY136" s="487" t="s">
        <v>337</v>
      </c>
      <c r="AZ136" s="487" t="e">
        <f>+VLOOKUP($AJ136,Data_Validation!$A:$E,5,0)</f>
        <v>#N/A</v>
      </c>
    </row>
    <row r="137" spans="1:52" ht="15" customHeight="1">
      <c r="A137" s="706" t="s">
        <v>1148</v>
      </c>
      <c r="B137" s="706">
        <v>2026</v>
      </c>
      <c r="C137" s="706" t="s">
        <v>3164</v>
      </c>
      <c r="D137" s="706" t="s">
        <v>3165</v>
      </c>
      <c r="E137" s="706" t="s">
        <v>333</v>
      </c>
      <c r="F137" s="706" t="s">
        <v>1104</v>
      </c>
      <c r="G137" s="706">
        <v>0</v>
      </c>
      <c r="H137" s="706">
        <v>0</v>
      </c>
      <c r="I137" s="706">
        <v>0</v>
      </c>
      <c r="J137" s="706">
        <v>0</v>
      </c>
      <c r="K137" s="706">
        <v>0</v>
      </c>
      <c r="L137" s="706">
        <v>0</v>
      </c>
      <c r="M137" s="706">
        <v>0</v>
      </c>
      <c r="N137" s="706">
        <v>0</v>
      </c>
      <c r="O137" s="706">
        <v>0</v>
      </c>
      <c r="P137" s="706">
        <v>0</v>
      </c>
      <c r="Q137" s="706">
        <v>0</v>
      </c>
      <c r="R137" s="706">
        <v>0</v>
      </c>
      <c r="S137" s="706">
        <v>0</v>
      </c>
      <c r="T137" s="706">
        <v>0</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G0597</v>
      </c>
      <c r="AK137" s="905" t="str">
        <f t="shared" si="13"/>
        <v>UNIFORMES            SAAQ</v>
      </c>
      <c r="AL137" s="905">
        <f>IFERROR(INDEX(G137:R137,1,MATCH(Parametres!$B$3,G$1:R$1,0)-1)*IF(OR(F137="L",F137="S",F137="I"),-1,1),"")</f>
        <v>0</v>
      </c>
      <c r="AM137" s="905">
        <f t="shared" si="14"/>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t="str">
        <f t="shared" si="15"/>
        <v>G0597</v>
      </c>
      <c r="AU137" s="488" t="str">
        <f t="shared" si="16"/>
        <v>UNIFORMES            SAAQ</v>
      </c>
      <c r="AV137" s="899">
        <f>IFERROR(INDEX(V137:AG137,1,MATCH(Parametres!$B$3,V$1:AG$1,0)-1)*IF(OR(C137="L",C137="S",C137="I"),-1,1),"")</f>
        <v>0</v>
      </c>
      <c r="AW137" s="899">
        <f t="shared" si="17"/>
        <v>0</v>
      </c>
      <c r="AX137" s="899">
        <f>INDEX(V137:AG137,1,MATCH(Parametres!$B$3,V$1:AG$1,0))*IF(OR(C137="L",C137="S",C137="I"),-1,1)</f>
        <v>0</v>
      </c>
      <c r="AY137" s="487" t="s">
        <v>337</v>
      </c>
      <c r="AZ137" s="487" t="e">
        <f>+VLOOKUP($AJ137,Data_Validation!$A:$E,5,0)</f>
        <v>#N/A</v>
      </c>
    </row>
    <row r="138" spans="1:52" ht="15" customHeight="1">
      <c r="A138" s="706" t="s">
        <v>1148</v>
      </c>
      <c r="B138" s="706">
        <v>2026</v>
      </c>
      <c r="C138" s="706" t="s">
        <v>1384</v>
      </c>
      <c r="D138" s="706" t="s">
        <v>1385</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G0600</v>
      </c>
      <c r="AK138" s="905" t="str">
        <f t="shared" si="13"/>
        <v>FRAIS BUREAU REP.</v>
      </c>
      <c r="AL138" s="905">
        <f>IFERROR(INDEX(G138:R138,1,MATCH(Parametres!$B$3,G$1:R$1,0)-1)*IF(OR(F138="L",F138="S",F138="I"),-1,1),"")</f>
        <v>0</v>
      </c>
      <c r="AM138" s="905">
        <f t="shared" si="14"/>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t="str">
        <f t="shared" si="15"/>
        <v>G0600</v>
      </c>
      <c r="AU138" s="488" t="str">
        <f t="shared" si="16"/>
        <v>FRAIS BUREAU REP.</v>
      </c>
      <c r="AV138" s="899">
        <f>IFERROR(INDEX(V138:AG138,1,MATCH(Parametres!$B$3,V$1:AG$1,0)-1)*IF(OR(C138="L",C138="S",C138="I"),-1,1),"")</f>
        <v>0</v>
      </c>
      <c r="AW138" s="899">
        <f t="shared" si="17"/>
        <v>0</v>
      </c>
      <c r="AX138" s="899">
        <f>INDEX(V138:AG138,1,MATCH(Parametres!$B$3,V$1:AG$1,0))*IF(OR(C138="L",C138="S",C138="I"),-1,1)</f>
        <v>0</v>
      </c>
      <c r="AY138" s="487" t="s">
        <v>337</v>
      </c>
      <c r="AZ138" s="487" t="e">
        <f>+VLOOKUP($AJ138,Data_Validation!$A:$E,5,0)</f>
        <v>#N/A</v>
      </c>
    </row>
    <row r="139" spans="1:52" ht="15.75" customHeight="1">
      <c r="A139" s="706" t="s">
        <v>1148</v>
      </c>
      <c r="B139" s="706">
        <v>2026</v>
      </c>
      <c r="C139" s="706" t="s">
        <v>1386</v>
      </c>
      <c r="D139" s="706" t="s">
        <v>1387</v>
      </c>
      <c r="E139" s="706" t="s">
        <v>333</v>
      </c>
      <c r="F139" s="706" t="s">
        <v>1104</v>
      </c>
      <c r="G139" s="706">
        <v>2386.19</v>
      </c>
      <c r="H139" s="706">
        <v>4298.22</v>
      </c>
      <c r="I139" s="706">
        <v>7101.74</v>
      </c>
      <c r="J139" s="706">
        <v>10421.69</v>
      </c>
      <c r="K139" s="706">
        <v>11989.05</v>
      </c>
      <c r="L139" s="706">
        <v>13255.92</v>
      </c>
      <c r="M139" s="706">
        <v>13412.72</v>
      </c>
      <c r="N139" s="706">
        <v>0</v>
      </c>
      <c r="O139" s="706">
        <v>0</v>
      </c>
      <c r="P139" s="706">
        <v>0</v>
      </c>
      <c r="Q139" s="706">
        <v>0</v>
      </c>
      <c r="R139" s="706">
        <v>0</v>
      </c>
      <c r="S139" s="706">
        <v>2209.3200000000002</v>
      </c>
      <c r="T139" s="706">
        <v>2209.3200000000002</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G0601</v>
      </c>
      <c r="AK139" s="905" t="str">
        <f t="shared" si="13"/>
        <v>FRAIS BUREAU NEUFS</v>
      </c>
      <c r="AL139" s="905">
        <f>IFERROR(INDEX(G139:R139,1,MATCH(Parametres!$B$3,G$1:R$1,0)-1)*IF(OR(F139="L",F139="S",F139="I"),-1,1),"")</f>
        <v>11989.05</v>
      </c>
      <c r="AM139" s="905">
        <f t="shared" si="14"/>
        <v>1266.8700000000008</v>
      </c>
      <c r="AN139" s="905">
        <f>INDEX(G139:R139,1,MATCH(Parametres!$B$3,G$1:R$1,0))*IF(OR(F139="L",F139="S",F139="I"),-1,1)</f>
        <v>13255.92</v>
      </c>
      <c r="AO139" s="487" t="str">
        <f>+VLOOKUP($AJ139,Data_Validation!$A:$D,1,0)</f>
        <v>G0601</v>
      </c>
      <c r="AP139" s="487" t="str">
        <f>+VLOOKUP($AJ139,Data_Validation!$A:$D,3,0)</f>
        <v>Véhicules neufs</v>
      </c>
      <c r="AQ139" s="487" t="str">
        <f>+VLOOKUP($AJ139,Data_Validation!$A:$D,4,0)</f>
        <v>Papeterie</v>
      </c>
      <c r="AR139" s="487" t="s">
        <v>299</v>
      </c>
      <c r="AS139" s="487">
        <f>+VLOOKUP($AJ139,Data_Validation!$A:$E,5,0)</f>
        <v>0</v>
      </c>
      <c r="AT139" s="904" t="str">
        <f t="shared" si="15"/>
        <v>G0601</v>
      </c>
      <c r="AU139" s="488" t="str">
        <f t="shared" si="16"/>
        <v>FRAIS BUREAU NEUFS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customHeight="1">
      <c r="A140" s="706" t="s">
        <v>1148</v>
      </c>
      <c r="B140" s="706">
        <v>2026</v>
      </c>
      <c r="C140" s="706" t="s">
        <v>1388</v>
      </c>
      <c r="D140" s="706" t="s">
        <v>1389</v>
      </c>
      <c r="E140" s="706" t="s">
        <v>333</v>
      </c>
      <c r="F140" s="706" t="s">
        <v>1104</v>
      </c>
      <c r="G140" s="706">
        <v>721.91</v>
      </c>
      <c r="H140" s="706">
        <v>1264.5</v>
      </c>
      <c r="I140" s="706">
        <v>2525.5100000000002</v>
      </c>
      <c r="J140" s="706">
        <v>3175.06</v>
      </c>
      <c r="K140" s="706">
        <v>4081.11</v>
      </c>
      <c r="L140" s="706">
        <v>4876.28</v>
      </c>
      <c r="M140" s="706">
        <v>4980.83</v>
      </c>
      <c r="N140" s="706">
        <v>0</v>
      </c>
      <c r="O140" s="706">
        <v>0</v>
      </c>
      <c r="P140" s="706">
        <v>0</v>
      </c>
      <c r="Q140" s="706">
        <v>0</v>
      </c>
      <c r="R140" s="706">
        <v>0</v>
      </c>
      <c r="S140" s="706">
        <v>812.71</v>
      </c>
      <c r="T140" s="706">
        <v>812.71</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G0602</v>
      </c>
      <c r="AK140" s="905" t="str">
        <f t="shared" si="13"/>
        <v>FRAIS BUREAU USAGES</v>
      </c>
      <c r="AL140" s="905">
        <f>IFERROR(INDEX(G140:R140,1,MATCH(Parametres!$B$3,G$1:R$1,0)-1)*IF(OR(F140="L",F140="S",F140="I"),-1,1),"")</f>
        <v>4081.11</v>
      </c>
      <c r="AM140" s="905">
        <f t="shared" si="14"/>
        <v>795.16999999999962</v>
      </c>
      <c r="AN140" s="905">
        <f>INDEX(G140:R140,1,MATCH(Parametres!$B$3,G$1:R$1,0))*IF(OR(F140="L",F140="S",F140="I"),-1,1)</f>
        <v>4876.28</v>
      </c>
      <c r="AO140" s="487" t="str">
        <f>+VLOOKUP($AJ140,Data_Validation!$A:$D,1,0)</f>
        <v>G0602</v>
      </c>
      <c r="AP140" s="487" t="str">
        <f>+VLOOKUP($AJ140,Data_Validation!$A:$D,3,0)</f>
        <v>Véhicules usagés</v>
      </c>
      <c r="AQ140" s="487" t="str">
        <f>+VLOOKUP($AJ140,Data_Validation!$A:$D,4,0)</f>
        <v>Papeterie</v>
      </c>
      <c r="AR140" s="487" t="s">
        <v>299</v>
      </c>
      <c r="AS140" s="487">
        <f>+VLOOKUP($AJ140,Data_Validation!$A:$E,5,0)</f>
        <v>0</v>
      </c>
      <c r="AT140" s="904" t="str">
        <f t="shared" si="15"/>
        <v>G0602</v>
      </c>
      <c r="AU140" s="488" t="str">
        <f t="shared" si="16"/>
        <v>FRAIS BUREAU USAGES</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1390</v>
      </c>
      <c r="D141" s="706" t="s">
        <v>1391</v>
      </c>
      <c r="E141" s="706" t="s">
        <v>333</v>
      </c>
      <c r="F141" s="706" t="s">
        <v>1104</v>
      </c>
      <c r="G141" s="706">
        <v>118</v>
      </c>
      <c r="H141" s="706">
        <v>118</v>
      </c>
      <c r="I141" s="706">
        <v>513</v>
      </c>
      <c r="J141" s="706">
        <v>857</v>
      </c>
      <c r="K141" s="706">
        <v>1552</v>
      </c>
      <c r="L141" s="706">
        <v>2002</v>
      </c>
      <c r="M141" s="706">
        <v>2002</v>
      </c>
      <c r="N141" s="706">
        <v>0</v>
      </c>
      <c r="O141" s="706">
        <v>0</v>
      </c>
      <c r="P141" s="706">
        <v>0</v>
      </c>
      <c r="Q141" s="706">
        <v>0</v>
      </c>
      <c r="R141" s="706">
        <v>0</v>
      </c>
      <c r="S141" s="706">
        <v>333.67</v>
      </c>
      <c r="T141" s="706">
        <v>333.67</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G0603</v>
      </c>
      <c r="AK141" s="905" t="str">
        <f t="shared" si="13"/>
        <v>FRAIS BUREAU U.S.A</v>
      </c>
      <c r="AL141" s="905">
        <f>IFERROR(INDEX(G141:R141,1,MATCH(Parametres!$B$3,G$1:R$1,0)-1)*IF(OR(F141="L",F141="S",F141="I"),-1,1),"")</f>
        <v>1552</v>
      </c>
      <c r="AM141" s="905">
        <f t="shared" si="14"/>
        <v>450</v>
      </c>
      <c r="AN141" s="905">
        <f>INDEX(G141:R141,1,MATCH(Parametres!$B$3,G$1:R$1,0))*IF(OR(F141="L",F141="S",F141="I"),-1,1)</f>
        <v>2002</v>
      </c>
      <c r="AO141" s="487" t="str">
        <f>+VLOOKUP($AJ141,Data_Validation!$A:$D,1,0)</f>
        <v>G0603</v>
      </c>
      <c r="AP141" s="487" t="str">
        <f>+VLOOKUP($AJ141,Data_Validation!$A:$D,3,0)</f>
        <v>Wholesale autres</v>
      </c>
      <c r="AQ141" s="487" t="str">
        <f>+VLOOKUP($AJ141,Data_Validation!$A:$D,4,0)</f>
        <v>Papeterie</v>
      </c>
      <c r="AR141" s="487" t="s">
        <v>299</v>
      </c>
      <c r="AS141" s="487">
        <f>+VLOOKUP($AJ141,Data_Validation!$A:$E,5,0)</f>
        <v>0</v>
      </c>
      <c r="AT141" s="904" t="str">
        <f t="shared" si="15"/>
        <v>G0603</v>
      </c>
      <c r="AU141" s="488" t="str">
        <f t="shared" si="16"/>
        <v>FRAIS BUREAU U.S.A</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1392</v>
      </c>
      <c r="D142" s="706" t="s">
        <v>1393</v>
      </c>
      <c r="E142" s="706" t="s">
        <v>333</v>
      </c>
      <c r="F142" s="706" t="s">
        <v>1104</v>
      </c>
      <c r="G142" s="706">
        <v>1052.1600000000001</v>
      </c>
      <c r="H142" s="706">
        <v>1960.99</v>
      </c>
      <c r="I142" s="706">
        <v>4204.47</v>
      </c>
      <c r="J142" s="706">
        <v>5318.95</v>
      </c>
      <c r="K142" s="706">
        <v>7805.23</v>
      </c>
      <c r="L142" s="706">
        <v>8998.02</v>
      </c>
      <c r="M142" s="706">
        <v>9154.82</v>
      </c>
      <c r="N142" s="706">
        <v>0</v>
      </c>
      <c r="O142" s="706">
        <v>0</v>
      </c>
      <c r="P142" s="706">
        <v>0</v>
      </c>
      <c r="Q142" s="706">
        <v>0</v>
      </c>
      <c r="R142" s="706">
        <v>0</v>
      </c>
      <c r="S142" s="706">
        <v>1499.67</v>
      </c>
      <c r="T142" s="706">
        <v>1499.67</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G0604</v>
      </c>
      <c r="AK142" s="905" t="str">
        <f t="shared" si="13"/>
        <v>FRAIS BUREAU SERVICE</v>
      </c>
      <c r="AL142" s="905">
        <f>IFERROR(INDEX(G142:R142,1,MATCH(Parametres!$B$3,G$1:R$1,0)-1)*IF(OR(F142="L",F142="S",F142="I"),-1,1),"")</f>
        <v>7805.23</v>
      </c>
      <c r="AM142" s="905">
        <f t="shared" si="14"/>
        <v>1192.7900000000009</v>
      </c>
      <c r="AN142" s="905">
        <f>INDEX(G142:R142,1,MATCH(Parametres!$B$3,G$1:R$1,0))*IF(OR(F142="L",F142="S",F142="I"),-1,1)</f>
        <v>8998.02</v>
      </c>
      <c r="AO142" s="487" t="str">
        <f>+VLOOKUP($AJ142,Data_Validation!$A:$D,1,0)</f>
        <v>G0604</v>
      </c>
      <c r="AP142" s="487" t="str">
        <f>+VLOOKUP($AJ142,Data_Validation!$A:$D,3,0)</f>
        <v>Service</v>
      </c>
      <c r="AQ142" s="487" t="str">
        <f>+VLOOKUP($AJ142,Data_Validation!$A:$D,4,0)</f>
        <v>Papeterie</v>
      </c>
      <c r="AR142" s="487" t="s">
        <v>299</v>
      </c>
      <c r="AS142" s="487">
        <f>+VLOOKUP($AJ142,Data_Validation!$A:$E,5,0)</f>
        <v>0</v>
      </c>
      <c r="AT142" s="904" t="str">
        <f t="shared" si="15"/>
        <v>G0604</v>
      </c>
      <c r="AU142" s="488" t="str">
        <f t="shared" si="16"/>
        <v>FRAIS BUREAU SERVICE</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1394</v>
      </c>
      <c r="D143" s="706" t="s">
        <v>1395</v>
      </c>
      <c r="E143" s="706" t="s">
        <v>333</v>
      </c>
      <c r="F143" s="706" t="s">
        <v>1104</v>
      </c>
      <c r="G143" s="706">
        <v>329.75</v>
      </c>
      <c r="H143" s="706">
        <v>601.04</v>
      </c>
      <c r="I143" s="706">
        <v>1231.55</v>
      </c>
      <c r="J143" s="706">
        <v>1763.31</v>
      </c>
      <c r="K143" s="706">
        <v>2216.35</v>
      </c>
      <c r="L143" s="706">
        <v>2793.96</v>
      </c>
      <c r="M143" s="706">
        <v>2846.23</v>
      </c>
      <c r="N143" s="706">
        <v>0</v>
      </c>
      <c r="O143" s="706">
        <v>0</v>
      </c>
      <c r="P143" s="706">
        <v>0</v>
      </c>
      <c r="Q143" s="706">
        <v>0</v>
      </c>
      <c r="R143" s="706">
        <v>0</v>
      </c>
      <c r="S143" s="706">
        <v>465.66</v>
      </c>
      <c r="T143" s="706">
        <v>465.66</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G0605</v>
      </c>
      <c r="AK143" s="905" t="str">
        <f t="shared" si="13"/>
        <v>FRAIS BUREAU CARROSS.</v>
      </c>
      <c r="AL143" s="905">
        <f>IFERROR(INDEX(G143:R143,1,MATCH(Parametres!$B$3,G$1:R$1,0)-1)*IF(OR(F143="L",F143="S",F143="I"),-1,1),"")</f>
        <v>2216.35</v>
      </c>
      <c r="AM143" s="905">
        <f t="shared" si="14"/>
        <v>577.61000000000013</v>
      </c>
      <c r="AN143" s="905">
        <f>INDEX(G143:R143,1,MATCH(Parametres!$B$3,G$1:R$1,0))*IF(OR(F143="L",F143="S",F143="I"),-1,1)</f>
        <v>2793.96</v>
      </c>
      <c r="AO143" s="487" t="str">
        <f>+VLOOKUP($AJ143,Data_Validation!$A:$D,1,0)</f>
        <v>G0605</v>
      </c>
      <c r="AP143" s="487" t="str">
        <f>+VLOOKUP($AJ143,Data_Validation!$A:$D,3,0)</f>
        <v>Carrosserie</v>
      </c>
      <c r="AQ143" s="487" t="str">
        <f>+VLOOKUP($AJ143,Data_Validation!$A:$D,4,0)</f>
        <v>Papeterie</v>
      </c>
      <c r="AR143" s="487" t="s">
        <v>299</v>
      </c>
      <c r="AS143" s="487">
        <f>+VLOOKUP($AJ143,Data_Validation!$A:$E,5,0)</f>
        <v>0</v>
      </c>
      <c r="AT143" s="904" t="str">
        <f t="shared" si="15"/>
        <v>G0605</v>
      </c>
      <c r="AU143" s="488" t="str">
        <f t="shared" si="16"/>
        <v>FRAIS BUREAU CARROSS.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1396</v>
      </c>
      <c r="D144" s="706" t="s">
        <v>1397</v>
      </c>
      <c r="E144" s="706" t="s">
        <v>333</v>
      </c>
      <c r="F144" s="706" t="s">
        <v>1104</v>
      </c>
      <c r="G144" s="706">
        <v>545</v>
      </c>
      <c r="H144" s="706">
        <v>822.28</v>
      </c>
      <c r="I144" s="706">
        <v>1662.62</v>
      </c>
      <c r="J144" s="706">
        <v>1987.37</v>
      </c>
      <c r="K144" s="706">
        <v>2440.29</v>
      </c>
      <c r="L144" s="706">
        <v>2872.38</v>
      </c>
      <c r="M144" s="706">
        <v>2924.64</v>
      </c>
      <c r="N144" s="706">
        <v>0</v>
      </c>
      <c r="O144" s="706">
        <v>0</v>
      </c>
      <c r="P144" s="706">
        <v>0</v>
      </c>
      <c r="Q144" s="706">
        <v>0</v>
      </c>
      <c r="R144" s="706">
        <v>0</v>
      </c>
      <c r="S144" s="706">
        <v>478.73</v>
      </c>
      <c r="T144" s="706">
        <v>478.73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G0606</v>
      </c>
      <c r="AK144" s="905" t="str">
        <f t="shared" si="13"/>
        <v>FRAIS BUREAU PIECES</v>
      </c>
      <c r="AL144" s="905">
        <f>IFERROR(INDEX(G144:R144,1,MATCH(Parametres!$B$3,G$1:R$1,0)-1)*IF(OR(F144="L",F144="S",F144="I"),-1,1),"")</f>
        <v>2440.29</v>
      </c>
      <c r="AM144" s="905">
        <f t="shared" si="14"/>
        <v>432.09000000000015</v>
      </c>
      <c r="AN144" s="905">
        <f>INDEX(G144:R144,1,MATCH(Parametres!$B$3,G$1:R$1,0))*IF(OR(F144="L",F144="S",F144="I"),-1,1)</f>
        <v>2872.38</v>
      </c>
      <c r="AO144" s="487" t="str">
        <f>+VLOOKUP($AJ144,Data_Validation!$A:$D,1,0)</f>
        <v>G0606</v>
      </c>
      <c r="AP144" s="487" t="str">
        <f>+VLOOKUP($AJ144,Data_Validation!$A:$D,3,0)</f>
        <v>Pièces</v>
      </c>
      <c r="AQ144" s="487" t="str">
        <f>+VLOOKUP($AJ144,Data_Validation!$A:$D,4,0)</f>
        <v>Papeterie</v>
      </c>
      <c r="AR144" s="487" t="s">
        <v>299</v>
      </c>
      <c r="AS144" s="487">
        <f>+VLOOKUP($AJ144,Data_Validation!$A:$E,5,0)</f>
        <v>0</v>
      </c>
      <c r="AT144" s="904" t="str">
        <f t="shared" si="15"/>
        <v>G0606</v>
      </c>
      <c r="AU144" s="488" t="str">
        <f t="shared" si="16"/>
        <v>FRAIS BUREAU PIECES</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customHeight="1">
      <c r="A145" s="706" t="s">
        <v>1148</v>
      </c>
      <c r="B145" s="706">
        <v>2026</v>
      </c>
      <c r="C145" s="706" t="s">
        <v>1398</v>
      </c>
      <c r="D145" s="706" t="s">
        <v>1399</v>
      </c>
      <c r="E145" s="706" t="s">
        <v>333</v>
      </c>
      <c r="F145" s="706" t="s">
        <v>1104</v>
      </c>
      <c r="G145" s="706">
        <v>0</v>
      </c>
      <c r="H145" s="706">
        <v>0</v>
      </c>
      <c r="I145" s="706">
        <v>0</v>
      </c>
      <c r="J145" s="706">
        <v>0</v>
      </c>
      <c r="K145" s="706">
        <v>0</v>
      </c>
      <c r="L145" s="706">
        <v>0</v>
      </c>
      <c r="M145" s="706">
        <v>0</v>
      </c>
      <c r="N145" s="706">
        <v>0</v>
      </c>
      <c r="O145" s="706">
        <v>0</v>
      </c>
      <c r="P145" s="706">
        <v>0</v>
      </c>
      <c r="Q145" s="706">
        <v>0</v>
      </c>
      <c r="R145" s="706">
        <v>0</v>
      </c>
      <c r="S145" s="706">
        <v>0</v>
      </c>
      <c r="T145" s="706">
        <v>0</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G0610</v>
      </c>
      <c r="AK145" s="905" t="str">
        <f t="shared" si="13"/>
        <v>AUTRES FOURNITURES REP.</v>
      </c>
      <c r="AL145" s="905">
        <f>IFERROR(INDEX(G145:R145,1,MATCH(Parametres!$B$3,G$1:R$1,0)-1)*IF(OR(F145="L",F145="S",F145="I"),-1,1),"")</f>
        <v>0</v>
      </c>
      <c r="AM145" s="905">
        <f t="shared" si="14"/>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t="str">
        <f t="shared" si="15"/>
        <v>G0610</v>
      </c>
      <c r="AU145" s="488" t="str">
        <f t="shared" si="16"/>
        <v>AUTRES FOURNITURES REP.</v>
      </c>
      <c r="AV145" s="899">
        <f>IFERROR(INDEX(V145:AG145,1,MATCH(Parametres!$B$3,V$1:AG$1,0)-1)*IF(OR(C145="L",C145="S",C145="I"),-1,1),"")</f>
        <v>0</v>
      </c>
      <c r="AW145" s="899">
        <f t="shared" si="17"/>
        <v>0</v>
      </c>
      <c r="AX145" s="899">
        <f>INDEX(V145:AG145,1,MATCH(Parametres!$B$3,V$1:AG$1,0))*IF(OR(C145="L",C145="S",C145="I"),-1,1)</f>
        <v>0</v>
      </c>
      <c r="AY145" s="487" t="s">
        <v>337</v>
      </c>
      <c r="AZ145" s="487" t="e">
        <f>+VLOOKUP($AJ145,Data_Validation!$A:$E,5,0)</f>
        <v>#N/A</v>
      </c>
    </row>
    <row r="146" spans="1:52" ht="15" customHeight="1">
      <c r="A146" s="706" t="s">
        <v>1148</v>
      </c>
      <c r="B146" s="706">
        <v>2026</v>
      </c>
      <c r="C146" s="706" t="s">
        <v>1400</v>
      </c>
      <c r="D146" s="706" t="s">
        <v>1401</v>
      </c>
      <c r="E146" s="706" t="s">
        <v>333</v>
      </c>
      <c r="F146" s="706" t="s">
        <v>1104</v>
      </c>
      <c r="G146" s="706">
        <v>1191.47</v>
      </c>
      <c r="H146" s="706">
        <v>1592.55</v>
      </c>
      <c r="I146" s="706">
        <v>1743.21</v>
      </c>
      <c r="J146" s="706">
        <v>2123.29</v>
      </c>
      <c r="K146" s="706">
        <v>2387.65</v>
      </c>
      <c r="L146" s="706">
        <v>3190.95</v>
      </c>
      <c r="M146" s="706">
        <v>3369.89</v>
      </c>
      <c r="N146" s="706">
        <v>0</v>
      </c>
      <c r="O146" s="706">
        <v>0</v>
      </c>
      <c r="P146" s="706">
        <v>0</v>
      </c>
      <c r="Q146" s="706">
        <v>0</v>
      </c>
      <c r="R146" s="706">
        <v>0</v>
      </c>
      <c r="S146" s="706">
        <v>531.83000000000004</v>
      </c>
      <c r="T146" s="706">
        <v>531.83000000000004</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G0611</v>
      </c>
      <c r="AK146" s="905" t="str">
        <f t="shared" si="13"/>
        <v>AUTRES FOURNITURES-NEUF</v>
      </c>
      <c r="AL146" s="905">
        <f>IFERROR(INDEX(G146:R146,1,MATCH(Parametres!$B$3,G$1:R$1,0)-1)*IF(OR(F146="L",F146="S",F146="I"),-1,1),"")</f>
        <v>2387.65</v>
      </c>
      <c r="AM146" s="905">
        <f t="shared" si="14"/>
        <v>803.29999999999973</v>
      </c>
      <c r="AN146" s="905">
        <f>INDEX(G146:R146,1,MATCH(Parametres!$B$3,G$1:R$1,0))*IF(OR(F146="L",F146="S",F146="I"),-1,1)</f>
        <v>3190.95</v>
      </c>
      <c r="AO146" s="487" t="str">
        <f>+VLOOKUP($AJ146,Data_Validation!$A:$D,1,0)</f>
        <v>G0611</v>
      </c>
      <c r="AP146" s="487" t="str">
        <f>+VLOOKUP($AJ146,Data_Validation!$A:$D,3,0)</f>
        <v>Véhicules neufs</v>
      </c>
      <c r="AQ146" s="487" t="str">
        <f>+VLOOKUP($AJ146,Data_Validation!$A:$D,4,0)</f>
        <v>Fournitures autres</v>
      </c>
      <c r="AR146" s="487" t="s">
        <v>299</v>
      </c>
      <c r="AS146" s="487">
        <f>+VLOOKUP($AJ146,Data_Validation!$A:$E,5,0)</f>
        <v>0</v>
      </c>
      <c r="AT146" s="904" t="str">
        <f t="shared" si="15"/>
        <v>G0611</v>
      </c>
      <c r="AU146" s="488" t="str">
        <f t="shared" si="16"/>
        <v>AUTRES FOURNITURES-NEUF</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1402</v>
      </c>
      <c r="D147" s="706" t="s">
        <v>1403</v>
      </c>
      <c r="E147" s="706" t="s">
        <v>333</v>
      </c>
      <c r="F147" s="706" t="s">
        <v>1104</v>
      </c>
      <c r="G147" s="706">
        <v>173.91</v>
      </c>
      <c r="H147" s="706">
        <v>368.54</v>
      </c>
      <c r="I147" s="706">
        <v>399.48</v>
      </c>
      <c r="J147" s="706">
        <v>539.80999999999995</v>
      </c>
      <c r="K147" s="706">
        <v>688.06</v>
      </c>
      <c r="L147" s="706">
        <v>962.95</v>
      </c>
      <c r="M147" s="706">
        <v>1010.73</v>
      </c>
      <c r="N147" s="706">
        <v>0</v>
      </c>
      <c r="O147" s="706">
        <v>0</v>
      </c>
      <c r="P147" s="706">
        <v>0</v>
      </c>
      <c r="Q147" s="706">
        <v>0</v>
      </c>
      <c r="R147" s="706">
        <v>0</v>
      </c>
      <c r="S147" s="706">
        <v>160.49</v>
      </c>
      <c r="T147" s="706">
        <v>160.49</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G0612</v>
      </c>
      <c r="AK147" s="905" t="str">
        <f t="shared" si="13"/>
        <v>AUTRES FOURNITURES-USAG</v>
      </c>
      <c r="AL147" s="905">
        <f>IFERROR(INDEX(G147:R147,1,MATCH(Parametres!$B$3,G$1:R$1,0)-1)*IF(OR(F147="L",F147="S",F147="I"),-1,1),"")</f>
        <v>688.06</v>
      </c>
      <c r="AM147" s="905">
        <f t="shared" si="14"/>
        <v>274.8900000000001</v>
      </c>
      <c r="AN147" s="905">
        <f>INDEX(G147:R147,1,MATCH(Parametres!$B$3,G$1:R$1,0))*IF(OR(F147="L",F147="S",F147="I"),-1,1)</f>
        <v>962.95</v>
      </c>
      <c r="AO147" s="487" t="str">
        <f>+VLOOKUP($AJ147,Data_Validation!$A:$D,1,0)</f>
        <v>G0612</v>
      </c>
      <c r="AP147" s="487" t="str">
        <f>+VLOOKUP($AJ147,Data_Validation!$A:$D,3,0)</f>
        <v>Véhicules usagés</v>
      </c>
      <c r="AQ147" s="487" t="str">
        <f>+VLOOKUP($AJ147,Data_Validation!$A:$D,4,0)</f>
        <v>Fournitures autres</v>
      </c>
      <c r="AR147" s="487" t="s">
        <v>299</v>
      </c>
      <c r="AS147" s="487">
        <f>+VLOOKUP($AJ147,Data_Validation!$A:$E,5,0)</f>
        <v>0</v>
      </c>
      <c r="AT147" s="904" t="str">
        <f t="shared" si="15"/>
        <v>G0612</v>
      </c>
      <c r="AU147" s="488" t="str">
        <f t="shared" si="16"/>
        <v>AUTRES FOURNITURES-USAG</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1404</v>
      </c>
      <c r="D148" s="706" t="s">
        <v>1405</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G0613</v>
      </c>
      <c r="AK148" s="905" t="str">
        <f t="shared" si="13"/>
        <v>AUTRES FOURNITURES U.S.A</v>
      </c>
      <c r="AL148" s="905">
        <f>IFERROR(INDEX(G148:R148,1,MATCH(Parametres!$B$3,G$1:R$1,0)-1)*IF(OR(F148="L",F148="S",F148="I"),-1,1),"")</f>
        <v>0</v>
      </c>
      <c r="AM148" s="905">
        <f t="shared" si="14"/>
        <v>0</v>
      </c>
      <c r="AN148" s="905">
        <f>INDEX(G148:R148,1,MATCH(Parametres!$B$3,G$1:R$1,0))*IF(OR(F148="L",F148="S",F148="I"),-1,1)</f>
        <v>0</v>
      </c>
      <c r="AO148" s="487" t="str">
        <f>+VLOOKUP($AJ148,Data_Validation!$A:$D,1,0)</f>
        <v>G0613</v>
      </c>
      <c r="AP148" s="487" t="str">
        <f>+VLOOKUP($AJ148,Data_Validation!$A:$D,3,0)</f>
        <v>Wholesale autres</v>
      </c>
      <c r="AQ148" s="487" t="str">
        <f>+VLOOKUP($AJ148,Data_Validation!$A:$D,4,0)</f>
        <v>Fournitures autres</v>
      </c>
      <c r="AR148" s="487" t="s">
        <v>299</v>
      </c>
      <c r="AS148" s="487">
        <f>+VLOOKUP($AJ148,Data_Validation!$A:$E,5,0)</f>
        <v>0</v>
      </c>
      <c r="AT148" s="904" t="str">
        <f t="shared" si="15"/>
        <v>G0613</v>
      </c>
      <c r="AU148" s="488" t="str">
        <f t="shared" si="16"/>
        <v>AUTRES FOURNITURES U.S.A</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1406</v>
      </c>
      <c r="D149" s="706" t="s">
        <v>1407</v>
      </c>
      <c r="E149" s="706" t="s">
        <v>333</v>
      </c>
      <c r="F149" s="706" t="s">
        <v>1104</v>
      </c>
      <c r="G149" s="706">
        <v>4259.66</v>
      </c>
      <c r="H149" s="706">
        <v>12404.23</v>
      </c>
      <c r="I149" s="706">
        <v>19270.73</v>
      </c>
      <c r="J149" s="706">
        <v>24008.9</v>
      </c>
      <c r="K149" s="706">
        <v>29666.06</v>
      </c>
      <c r="L149" s="706">
        <v>33544.379999999997</v>
      </c>
      <c r="M149" s="706">
        <v>34408.589999999997</v>
      </c>
      <c r="N149" s="706">
        <v>0</v>
      </c>
      <c r="O149" s="706">
        <v>0</v>
      </c>
      <c r="P149" s="706">
        <v>0</v>
      </c>
      <c r="Q149" s="706">
        <v>0</v>
      </c>
      <c r="R149" s="706">
        <v>0</v>
      </c>
      <c r="S149" s="706">
        <v>5590.73</v>
      </c>
      <c r="T149" s="706">
        <v>5590.73</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G0614</v>
      </c>
      <c r="AK149" s="905" t="str">
        <f t="shared" si="13"/>
        <v>AUTRES FOURNITURES SERV.</v>
      </c>
      <c r="AL149" s="905">
        <f>IFERROR(INDEX(G149:R149,1,MATCH(Parametres!$B$3,G$1:R$1,0)-1)*IF(OR(F149="L",F149="S",F149="I"),-1,1),"")</f>
        <v>29666.06</v>
      </c>
      <c r="AM149" s="905">
        <f t="shared" si="14"/>
        <v>3878.3199999999961</v>
      </c>
      <c r="AN149" s="905">
        <f>INDEX(G149:R149,1,MATCH(Parametres!$B$3,G$1:R$1,0))*IF(OR(F149="L",F149="S",F149="I"),-1,1)</f>
        <v>33544.379999999997</v>
      </c>
      <c r="AO149" s="487" t="str">
        <f>+VLOOKUP($AJ149,Data_Validation!$A:$D,1,0)</f>
        <v>G0614</v>
      </c>
      <c r="AP149" s="487" t="str">
        <f>+VLOOKUP($AJ149,Data_Validation!$A:$D,3,0)</f>
        <v>Service</v>
      </c>
      <c r="AQ149" s="487" t="str">
        <f>+VLOOKUP($AJ149,Data_Validation!$A:$D,4,0)</f>
        <v>Fournitures autres</v>
      </c>
      <c r="AR149" s="487" t="s">
        <v>299</v>
      </c>
      <c r="AS149" s="487">
        <f>+VLOOKUP($AJ149,Data_Validation!$A:$E,5,0)</f>
        <v>0</v>
      </c>
      <c r="AT149" s="904" t="str">
        <f t="shared" si="15"/>
        <v>G0614</v>
      </c>
      <c r="AU149" s="488" t="str">
        <f t="shared" si="16"/>
        <v>AUTRES FOURNITURES SERV.</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1408</v>
      </c>
      <c r="D150" s="706" t="s">
        <v>1409</v>
      </c>
      <c r="E150" s="706" t="s">
        <v>333</v>
      </c>
      <c r="F150" s="706" t="s">
        <v>1104</v>
      </c>
      <c r="G150" s="706">
        <v>11921.31</v>
      </c>
      <c r="H150" s="706">
        <v>19204.52</v>
      </c>
      <c r="I150" s="706">
        <v>27922.29</v>
      </c>
      <c r="J150" s="706">
        <v>39897.15</v>
      </c>
      <c r="K150" s="706">
        <v>55174.64</v>
      </c>
      <c r="L150" s="706">
        <v>72580.490000000005</v>
      </c>
      <c r="M150" s="706">
        <v>73843.600000000006</v>
      </c>
      <c r="N150" s="706">
        <v>0</v>
      </c>
      <c r="O150" s="706">
        <v>0</v>
      </c>
      <c r="P150" s="706">
        <v>0</v>
      </c>
      <c r="Q150" s="706">
        <v>0</v>
      </c>
      <c r="R150" s="706">
        <v>0</v>
      </c>
      <c r="S150" s="706">
        <v>12096.75</v>
      </c>
      <c r="T150" s="706">
        <v>12096.75</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G0615</v>
      </c>
      <c r="AK150" s="905" t="str">
        <f t="shared" si="13"/>
        <v>AUTRES FOURNITURES-CARR.</v>
      </c>
      <c r="AL150" s="905">
        <f>IFERROR(INDEX(G150:R150,1,MATCH(Parametres!$B$3,G$1:R$1,0)-1)*IF(OR(F150="L",F150="S",F150="I"),-1,1),"")</f>
        <v>55174.64</v>
      </c>
      <c r="AM150" s="905">
        <f t="shared" si="14"/>
        <v>17405.850000000006</v>
      </c>
      <c r="AN150" s="905">
        <f>INDEX(G150:R150,1,MATCH(Parametres!$B$3,G$1:R$1,0))*IF(OR(F150="L",F150="S",F150="I"),-1,1)</f>
        <v>72580.490000000005</v>
      </c>
      <c r="AO150" s="487" t="str">
        <f>+VLOOKUP($AJ150,Data_Validation!$A:$D,1,0)</f>
        <v>G0615</v>
      </c>
      <c r="AP150" s="487" t="str">
        <f>+VLOOKUP($AJ150,Data_Validation!$A:$D,3,0)</f>
        <v>Carrosserie</v>
      </c>
      <c r="AQ150" s="487" t="str">
        <f>+VLOOKUP($AJ150,Data_Validation!$A:$D,4,0)</f>
        <v>Fournitures autres</v>
      </c>
      <c r="AR150" s="487" t="s">
        <v>299</v>
      </c>
      <c r="AS150" s="487">
        <f>+VLOOKUP($AJ150,Data_Validation!$A:$E,5,0)</f>
        <v>0</v>
      </c>
      <c r="AT150" s="904" t="str">
        <f t="shared" si="15"/>
        <v>G0615</v>
      </c>
      <c r="AU150" s="488" t="str">
        <f t="shared" si="16"/>
        <v>AUTRES FOURNITURES-CARR.</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1410</v>
      </c>
      <c r="D151" s="706" t="s">
        <v>1411</v>
      </c>
      <c r="E151" s="706" t="s">
        <v>333</v>
      </c>
      <c r="F151" s="706" t="s">
        <v>1104</v>
      </c>
      <c r="G151" s="706">
        <v>49.59</v>
      </c>
      <c r="H151" s="706">
        <v>168.25</v>
      </c>
      <c r="I151" s="706">
        <v>784.04</v>
      </c>
      <c r="J151" s="706">
        <v>971.87</v>
      </c>
      <c r="K151" s="706">
        <v>1052</v>
      </c>
      <c r="L151" s="706">
        <v>1197</v>
      </c>
      <c r="M151" s="706">
        <v>1224.79</v>
      </c>
      <c r="N151" s="706">
        <v>0</v>
      </c>
      <c r="O151" s="706">
        <v>0</v>
      </c>
      <c r="P151" s="706">
        <v>0</v>
      </c>
      <c r="Q151" s="706">
        <v>0</v>
      </c>
      <c r="R151" s="706">
        <v>0</v>
      </c>
      <c r="S151" s="706">
        <v>199.5</v>
      </c>
      <c r="T151" s="706">
        <v>199.5</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G0616</v>
      </c>
      <c r="AK151" s="905" t="str">
        <f t="shared" si="13"/>
        <v>AUTRES FOURNITURES-PCES</v>
      </c>
      <c r="AL151" s="905">
        <f>IFERROR(INDEX(G151:R151,1,MATCH(Parametres!$B$3,G$1:R$1,0)-1)*IF(OR(F151="L",F151="S",F151="I"),-1,1),"")</f>
        <v>1052</v>
      </c>
      <c r="AM151" s="905">
        <f t="shared" si="14"/>
        <v>145</v>
      </c>
      <c r="AN151" s="905">
        <f>INDEX(G151:R151,1,MATCH(Parametres!$B$3,G$1:R$1,0))*IF(OR(F151="L",F151="S",F151="I"),-1,1)</f>
        <v>1197</v>
      </c>
      <c r="AO151" s="487" t="str">
        <f>+VLOOKUP($AJ151,Data_Validation!$A:$D,1,0)</f>
        <v>G0616</v>
      </c>
      <c r="AP151" s="487" t="str">
        <f>+VLOOKUP($AJ151,Data_Validation!$A:$D,3,0)</f>
        <v>Pièces</v>
      </c>
      <c r="AQ151" s="487" t="str">
        <f>+VLOOKUP($AJ151,Data_Validation!$A:$D,4,0)</f>
        <v>Fournitures autres</v>
      </c>
      <c r="AR151" s="487" t="s">
        <v>299</v>
      </c>
      <c r="AS151" s="487">
        <f>+VLOOKUP($AJ151,Data_Validation!$A:$E,5,0)</f>
        <v>0</v>
      </c>
      <c r="AT151" s="904" t="str">
        <f t="shared" si="15"/>
        <v>G0616</v>
      </c>
      <c r="AU151" s="488" t="str">
        <f t="shared" si="16"/>
        <v>AUTRES FOURNITURES-PCES</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1412</v>
      </c>
      <c r="D152" s="706" t="s">
        <v>1413</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G0624</v>
      </c>
      <c r="AK152" s="905" t="str">
        <f t="shared" si="13"/>
        <v>PETIT OUTILLAGE</v>
      </c>
      <c r="AL152" s="905">
        <f>IFERROR(INDEX(G152:R152,1,MATCH(Parametres!$B$3,G$1:R$1,0)-1)*IF(OR(F152="L",F152="S",F152="I"),-1,1),"")</f>
        <v>0</v>
      </c>
      <c r="AM152" s="905">
        <f t="shared" si="14"/>
        <v>0</v>
      </c>
      <c r="AN152" s="905">
        <f>INDEX(G152:R152,1,MATCH(Parametres!$B$3,G$1:R$1,0))*IF(OR(F152="L",F152="S",F152="I"),-1,1)</f>
        <v>0</v>
      </c>
      <c r="AO152" s="487" t="str">
        <f>+VLOOKUP($AJ152,Data_Validation!$A:$D,1,0)</f>
        <v>G0624</v>
      </c>
      <c r="AP152" s="487" t="str">
        <f>+VLOOKUP($AJ152,Data_Validation!$A:$D,3,0)</f>
        <v>Service</v>
      </c>
      <c r="AQ152" s="487" t="str">
        <f>+VLOOKUP($AJ152,Data_Validation!$A:$D,4,0)</f>
        <v>Fournitures autres</v>
      </c>
      <c r="AR152" s="487" t="s">
        <v>299</v>
      </c>
      <c r="AS152" s="487">
        <f>+VLOOKUP($AJ152,Data_Validation!$A:$E,5,0)</f>
        <v>0</v>
      </c>
      <c r="AT152" s="904" t="str">
        <f t="shared" si="15"/>
        <v>G0624</v>
      </c>
      <c r="AU152" s="488" t="str">
        <f t="shared" si="16"/>
        <v>PETIT OUTILLAGE</v>
      </c>
      <c r="AV152" s="899">
        <f>IFERROR(INDEX(V152:AG152,1,MATCH(Parametres!$B$3,V$1:AG$1,0)-1)*IF(OR(C152="L",C152="S",C152="I"),-1,1),"")</f>
        <v>0</v>
      </c>
      <c r="AW152" s="899">
        <f t="shared" si="17"/>
        <v>0</v>
      </c>
      <c r="AX152" s="899">
        <f>INDEX(V152:AG152,1,MATCH(Parametres!$B$3,V$1:AG$1,0))*IF(OR(C152="L",C152="S",C152="I"),-1,1)</f>
        <v>0</v>
      </c>
      <c r="AY152" s="487" t="s">
        <v>337</v>
      </c>
      <c r="AZ152" s="487">
        <f>+VLOOKUP($AJ152,Data_Validation!$A:$E,5,0)</f>
        <v>0</v>
      </c>
    </row>
    <row r="153" spans="1:52" ht="15" customHeight="1">
      <c r="A153" s="706" t="s">
        <v>1148</v>
      </c>
      <c r="B153" s="706">
        <v>2026</v>
      </c>
      <c r="C153" s="706" t="s">
        <v>1414</v>
      </c>
      <c r="D153" s="706" t="s">
        <v>1415</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G0630</v>
      </c>
      <c r="AK153" s="905" t="str">
        <f t="shared" si="13"/>
        <v>COMMERCE ELECTRON.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G0630</v>
      </c>
      <c r="AU153" s="488" t="str">
        <f t="shared" si="16"/>
        <v>COMMERCE ELECTRON.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customHeight="1">
      <c r="A154" s="706" t="s">
        <v>1148</v>
      </c>
      <c r="B154" s="706">
        <v>2026</v>
      </c>
      <c r="C154" s="706" t="s">
        <v>1416</v>
      </c>
      <c r="D154" s="706" t="s">
        <v>1417</v>
      </c>
      <c r="E154" s="706" t="s">
        <v>333</v>
      </c>
      <c r="F154" s="706" t="s">
        <v>1104</v>
      </c>
      <c r="G154" s="706">
        <v>1768.19</v>
      </c>
      <c r="H154" s="706">
        <v>3536.37</v>
      </c>
      <c r="I154" s="706">
        <v>5304.56</v>
      </c>
      <c r="J154" s="706">
        <v>6964.11</v>
      </c>
      <c r="K154" s="706">
        <v>7645.96</v>
      </c>
      <c r="L154" s="706">
        <v>9414.15</v>
      </c>
      <c r="M154" s="706">
        <v>9414.15</v>
      </c>
      <c r="N154" s="706">
        <v>0</v>
      </c>
      <c r="O154" s="706">
        <v>0</v>
      </c>
      <c r="P154" s="706">
        <v>0</v>
      </c>
      <c r="Q154" s="706">
        <v>0</v>
      </c>
      <c r="R154" s="706">
        <v>0</v>
      </c>
      <c r="S154" s="706">
        <v>1569.03</v>
      </c>
      <c r="T154" s="706">
        <v>1569.03</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G0631</v>
      </c>
      <c r="AK154" s="905" t="str">
        <f t="shared" si="13"/>
        <v>COMMERCE ELECTRONIQUE-PUB</v>
      </c>
      <c r="AL154" s="905">
        <f>IFERROR(INDEX(G154:R154,1,MATCH(Parametres!$B$3,G$1:R$1,0)-1)*IF(OR(F154="L",F154="S",F154="I"),-1,1),"")</f>
        <v>7645.96</v>
      </c>
      <c r="AM154" s="905">
        <f t="shared" si="14"/>
        <v>1768.1899999999996</v>
      </c>
      <c r="AN154" s="905">
        <f>INDEX(G154:R154,1,MATCH(Parametres!$B$3,G$1:R$1,0))*IF(OR(F154="L",F154="S",F154="I"),-1,1)</f>
        <v>9414.15</v>
      </c>
      <c r="AO154" s="487" t="str">
        <f>+VLOOKUP($AJ154,Data_Validation!$A:$D,1,0)</f>
        <v>G0631</v>
      </c>
      <c r="AP154" s="487" t="str">
        <f>+VLOOKUP($AJ154,Data_Validation!$A:$D,3,0)</f>
        <v>Véhicules neufs</v>
      </c>
      <c r="AQ154" s="487" t="str">
        <f>+VLOOKUP($AJ154,Data_Validation!$A:$D,4,0)</f>
        <v>Publicité 1</v>
      </c>
      <c r="AR154" s="487" t="s">
        <v>299</v>
      </c>
      <c r="AS154" s="487">
        <f>+VLOOKUP($AJ154,Data_Validation!$A:$E,5,0)</f>
        <v>0</v>
      </c>
      <c r="AT154" s="904" t="str">
        <f t="shared" si="15"/>
        <v>G0631</v>
      </c>
      <c r="AU154" s="488" t="str">
        <f t="shared" si="16"/>
        <v>COMMERCE ELECTRONIQUE-PUB</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1418</v>
      </c>
      <c r="D155" s="706" t="s">
        <v>1417</v>
      </c>
      <c r="E155" s="706" t="s">
        <v>333</v>
      </c>
      <c r="F155" s="706" t="s">
        <v>1104</v>
      </c>
      <c r="G155" s="706">
        <v>209.8</v>
      </c>
      <c r="H155" s="706">
        <v>1505.93</v>
      </c>
      <c r="I155" s="706">
        <v>1715.73</v>
      </c>
      <c r="J155" s="706">
        <v>2577.33</v>
      </c>
      <c r="K155" s="706">
        <v>2787.13</v>
      </c>
      <c r="L155" s="706">
        <v>2996.93</v>
      </c>
      <c r="M155" s="706">
        <v>2996.93</v>
      </c>
      <c r="N155" s="706">
        <v>0</v>
      </c>
      <c r="O155" s="706">
        <v>0</v>
      </c>
      <c r="P155" s="706">
        <v>0</v>
      </c>
      <c r="Q155" s="706">
        <v>0</v>
      </c>
      <c r="R155" s="706">
        <v>0</v>
      </c>
      <c r="S155" s="706">
        <v>499.49</v>
      </c>
      <c r="T155" s="706">
        <v>499.49</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G0632</v>
      </c>
      <c r="AK155" s="905" t="str">
        <f t="shared" si="13"/>
        <v>COMMERCE ELECTRONIQUE-PUB</v>
      </c>
      <c r="AL155" s="905">
        <f>IFERROR(INDEX(G155:R155,1,MATCH(Parametres!$B$3,G$1:R$1,0)-1)*IF(OR(F155="L",F155="S",F155="I"),-1,1),"")</f>
        <v>2787.13</v>
      </c>
      <c r="AM155" s="905">
        <f t="shared" si="14"/>
        <v>209.79999999999973</v>
      </c>
      <c r="AN155" s="905">
        <f>INDEX(G155:R155,1,MATCH(Parametres!$B$3,G$1:R$1,0))*IF(OR(F155="L",F155="S",F155="I"),-1,1)</f>
        <v>2996.93</v>
      </c>
      <c r="AO155" s="487" t="str">
        <f>+VLOOKUP($AJ155,Data_Validation!$A:$D,1,0)</f>
        <v>G0632</v>
      </c>
      <c r="AP155" s="487" t="str">
        <f>+VLOOKUP($AJ155,Data_Validation!$A:$D,3,0)</f>
        <v>Véhicules usagés</v>
      </c>
      <c r="AQ155" s="487" t="str">
        <f>+VLOOKUP($AJ155,Data_Validation!$A:$D,4,0)</f>
        <v>Publicité 1</v>
      </c>
      <c r="AR155" s="487" t="s">
        <v>299</v>
      </c>
      <c r="AS155" s="487">
        <f>+VLOOKUP($AJ155,Data_Validation!$A:$E,5,0)</f>
        <v>0</v>
      </c>
      <c r="AT155" s="904" t="str">
        <f t="shared" si="15"/>
        <v>G0632</v>
      </c>
      <c r="AU155" s="488" t="str">
        <f t="shared" si="16"/>
        <v>COMMERCE ELECTRONIQUE-PUB</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1419</v>
      </c>
      <c r="D156" s="706" t="s">
        <v>1420</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G0633</v>
      </c>
      <c r="AK156" s="905" t="str">
        <f t="shared" si="13"/>
        <v>COMMERCE ELECTRONIQ U.S.A</v>
      </c>
      <c r="AL156" s="905">
        <f>IFERROR(INDEX(G156:R156,1,MATCH(Parametres!$B$3,G$1:R$1,0)-1)*IF(OR(F156="L",F156="S",F156="I"),-1,1),"")</f>
        <v>0</v>
      </c>
      <c r="AM156" s="905">
        <f t="shared" si="14"/>
        <v>0</v>
      </c>
      <c r="AN156" s="905">
        <f>INDEX(G156:R156,1,MATCH(Parametres!$B$3,G$1:R$1,0))*IF(OR(F156="L",F156="S",F156="I"),-1,1)</f>
        <v>0</v>
      </c>
      <c r="AO156" s="487" t="str">
        <f>+VLOOKUP($AJ156,Data_Validation!$A:$D,1,0)</f>
        <v>G0633</v>
      </c>
      <c r="AP156" s="487" t="str">
        <f>+VLOOKUP($AJ156,Data_Validation!$A:$D,3,0)</f>
        <v>Wholesale autres</v>
      </c>
      <c r="AQ156" s="487" t="str">
        <f>+VLOOKUP($AJ156,Data_Validation!$A:$D,4,0)</f>
        <v>Publicité 1</v>
      </c>
      <c r="AR156" s="487" t="s">
        <v>299</v>
      </c>
      <c r="AS156" s="487">
        <f>+VLOOKUP($AJ156,Data_Validation!$A:$E,5,0)</f>
        <v>0</v>
      </c>
      <c r="AT156" s="904" t="str">
        <f t="shared" si="15"/>
        <v>G0633</v>
      </c>
      <c r="AU156" s="488" t="str">
        <f t="shared" si="16"/>
        <v>COMMERCE ELECTRONIQ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1421</v>
      </c>
      <c r="D157" s="706" t="s">
        <v>1417</v>
      </c>
      <c r="E157" s="706" t="s">
        <v>333</v>
      </c>
      <c r="F157" s="706" t="s">
        <v>1104</v>
      </c>
      <c r="G157" s="706">
        <v>1138.78</v>
      </c>
      <c r="H157" s="706">
        <v>2277.5700000000002</v>
      </c>
      <c r="I157" s="706">
        <v>3416.36</v>
      </c>
      <c r="J157" s="706">
        <v>4446.51</v>
      </c>
      <c r="K157" s="706">
        <v>4498.96</v>
      </c>
      <c r="L157" s="706">
        <v>5637.74</v>
      </c>
      <c r="M157" s="706">
        <v>5637.74</v>
      </c>
      <c r="N157" s="706">
        <v>0</v>
      </c>
      <c r="O157" s="706">
        <v>0</v>
      </c>
      <c r="P157" s="706">
        <v>0</v>
      </c>
      <c r="Q157" s="706">
        <v>0</v>
      </c>
      <c r="R157" s="706">
        <v>0</v>
      </c>
      <c r="S157" s="706">
        <v>939.62</v>
      </c>
      <c r="T157" s="706">
        <v>939.62</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G0634</v>
      </c>
      <c r="AK157" s="905" t="str">
        <f t="shared" si="13"/>
        <v>COMMERCE ELECTRONIQUE-PUB</v>
      </c>
      <c r="AL157" s="905">
        <f>IFERROR(INDEX(G157:R157,1,MATCH(Parametres!$B$3,G$1:R$1,0)-1)*IF(OR(F157="L",F157="S",F157="I"),-1,1),"")</f>
        <v>4498.96</v>
      </c>
      <c r="AM157" s="905">
        <f t="shared" si="14"/>
        <v>1138.7799999999997</v>
      </c>
      <c r="AN157" s="905">
        <f>INDEX(G157:R157,1,MATCH(Parametres!$B$3,G$1:R$1,0))*IF(OR(F157="L",F157="S",F157="I"),-1,1)</f>
        <v>5637.74</v>
      </c>
      <c r="AO157" s="487" t="str">
        <f>+VLOOKUP($AJ157,Data_Validation!$A:$D,1,0)</f>
        <v>G0634</v>
      </c>
      <c r="AP157" s="487" t="str">
        <f>+VLOOKUP($AJ157,Data_Validation!$A:$D,3,0)</f>
        <v>Service</v>
      </c>
      <c r="AQ157" s="487" t="str">
        <f>+VLOOKUP($AJ157,Data_Validation!$A:$D,4,0)</f>
        <v>Publicité 2</v>
      </c>
      <c r="AR157" s="487" t="s">
        <v>299</v>
      </c>
      <c r="AS157" s="487">
        <f>+VLOOKUP($AJ157,Data_Validation!$A:$E,5,0)</f>
        <v>0</v>
      </c>
      <c r="AT157" s="904" t="str">
        <f t="shared" si="15"/>
        <v>G0634</v>
      </c>
      <c r="AU157" s="488" t="str">
        <f t="shared" si="16"/>
        <v>COMMERCE ELECTRONIQUE-PUB</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customHeight="1">
      <c r="A158" s="706" t="s">
        <v>1148</v>
      </c>
      <c r="B158" s="706">
        <v>2026</v>
      </c>
      <c r="C158" s="706" t="s">
        <v>1422</v>
      </c>
      <c r="D158" s="706" t="s">
        <v>1417</v>
      </c>
      <c r="E158" s="706" t="s">
        <v>333</v>
      </c>
      <c r="F158" s="706" t="s">
        <v>1104</v>
      </c>
      <c r="G158" s="706">
        <v>52.45</v>
      </c>
      <c r="H158" s="706">
        <v>104.9</v>
      </c>
      <c r="I158" s="706">
        <v>157.35</v>
      </c>
      <c r="J158" s="706">
        <v>535.70000000000005</v>
      </c>
      <c r="K158" s="706">
        <v>588.15</v>
      </c>
      <c r="L158" s="706">
        <v>640.6</v>
      </c>
      <c r="M158" s="706">
        <v>640.6</v>
      </c>
      <c r="N158" s="706">
        <v>0</v>
      </c>
      <c r="O158" s="706">
        <v>0</v>
      </c>
      <c r="P158" s="706">
        <v>0</v>
      </c>
      <c r="Q158" s="706">
        <v>0</v>
      </c>
      <c r="R158" s="706">
        <v>0</v>
      </c>
      <c r="S158" s="706">
        <v>106.77</v>
      </c>
      <c r="T158" s="706">
        <v>106.77</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G0635</v>
      </c>
      <c r="AK158" s="905" t="str">
        <f t="shared" si="13"/>
        <v>COMMERCE ELECTRONIQUE-PUB</v>
      </c>
      <c r="AL158" s="905">
        <f>IFERROR(INDEX(G158:R158,1,MATCH(Parametres!$B$3,G$1:R$1,0)-1)*IF(OR(F158="L",F158="S",F158="I"),-1,1),"")</f>
        <v>588.15</v>
      </c>
      <c r="AM158" s="905">
        <f t="shared" si="14"/>
        <v>52.450000000000045</v>
      </c>
      <c r="AN158" s="905">
        <f>INDEX(G158:R158,1,MATCH(Parametres!$B$3,G$1:R$1,0))*IF(OR(F158="L",F158="S",F158="I"),-1,1)</f>
        <v>640.6</v>
      </c>
      <c r="AO158" s="487" t="str">
        <f>+VLOOKUP($AJ158,Data_Validation!$A:$D,1,0)</f>
        <v>G0635</v>
      </c>
      <c r="AP158" s="487" t="str">
        <f>+VLOOKUP($AJ158,Data_Validation!$A:$D,3,0)</f>
        <v>Carrosserie</v>
      </c>
      <c r="AQ158" s="487" t="str">
        <f>+VLOOKUP($AJ158,Data_Validation!$A:$D,4,0)</f>
        <v>Publicité 2</v>
      </c>
      <c r="AR158" s="487" t="s">
        <v>299</v>
      </c>
      <c r="AS158" s="487">
        <f>+VLOOKUP($AJ158,Data_Validation!$A:$E,5,0)</f>
        <v>0</v>
      </c>
      <c r="AT158" s="904" t="str">
        <f t="shared" si="15"/>
        <v>G0635</v>
      </c>
      <c r="AU158" s="488" t="str">
        <f t="shared" si="16"/>
        <v>COMMERCE ELECTRONIQUE-PUB</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customHeight="1">
      <c r="A159" s="706" t="s">
        <v>1148</v>
      </c>
      <c r="B159" s="706">
        <v>2026</v>
      </c>
      <c r="C159" s="706" t="s">
        <v>1423</v>
      </c>
      <c r="D159" s="706" t="s">
        <v>1417</v>
      </c>
      <c r="E159" s="706" t="s">
        <v>333</v>
      </c>
      <c r="F159" s="706" t="s">
        <v>1104</v>
      </c>
      <c r="G159" s="706">
        <v>1138.78</v>
      </c>
      <c r="H159" s="706">
        <v>1191.23</v>
      </c>
      <c r="I159" s="706">
        <v>2330</v>
      </c>
      <c r="J159" s="706">
        <v>2708.35</v>
      </c>
      <c r="K159" s="706">
        <v>2760.8</v>
      </c>
      <c r="L159" s="706">
        <v>3899.58</v>
      </c>
      <c r="M159" s="706">
        <v>3899.58</v>
      </c>
      <c r="N159" s="706">
        <v>0</v>
      </c>
      <c r="O159" s="706">
        <v>0</v>
      </c>
      <c r="P159" s="706">
        <v>0</v>
      </c>
      <c r="Q159" s="706">
        <v>0</v>
      </c>
      <c r="R159" s="706">
        <v>0</v>
      </c>
      <c r="S159" s="706">
        <v>649.92999999999995</v>
      </c>
      <c r="T159" s="706">
        <v>649.92999999999995</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G0636</v>
      </c>
      <c r="AK159" s="905" t="str">
        <f t="shared" si="13"/>
        <v>COMMERCE ELECTRONIQUE-PUB</v>
      </c>
      <c r="AL159" s="905">
        <f>IFERROR(INDEX(G159:R159,1,MATCH(Parametres!$B$3,G$1:R$1,0)-1)*IF(OR(F159="L",F159="S",F159="I"),-1,1),"")</f>
        <v>2760.8</v>
      </c>
      <c r="AM159" s="905">
        <f t="shared" si="14"/>
        <v>1138.7799999999997</v>
      </c>
      <c r="AN159" s="905">
        <f>INDEX(G159:R159,1,MATCH(Parametres!$B$3,G$1:R$1,0))*IF(OR(F159="L",F159="S",F159="I"),-1,1)</f>
        <v>3899.58</v>
      </c>
      <c r="AO159" s="487" t="str">
        <f>+VLOOKUP($AJ159,Data_Validation!$A:$D,1,0)</f>
        <v>G0636</v>
      </c>
      <c r="AP159" s="487" t="str">
        <f>+VLOOKUP($AJ159,Data_Validation!$A:$D,3,0)</f>
        <v>Pièces</v>
      </c>
      <c r="AQ159" s="487" t="str">
        <f>+VLOOKUP($AJ159,Data_Validation!$A:$D,4,0)</f>
        <v>Publicité 2</v>
      </c>
      <c r="AR159" s="487" t="s">
        <v>299</v>
      </c>
      <c r="AS159" s="487">
        <f>+VLOOKUP($AJ159,Data_Validation!$A:$E,5,0)</f>
        <v>0</v>
      </c>
      <c r="AT159" s="904" t="str">
        <f t="shared" si="15"/>
        <v>G0636</v>
      </c>
      <c r="AU159" s="488" t="str">
        <f t="shared" si="16"/>
        <v>COMMERCE ELECTRONIQUE-PUB</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1424</v>
      </c>
      <c r="D160" s="706" t="s">
        <v>1425</v>
      </c>
      <c r="E160" s="706" t="s">
        <v>333</v>
      </c>
      <c r="F160" s="706" t="s">
        <v>1104</v>
      </c>
      <c r="G160" s="706">
        <v>0</v>
      </c>
      <c r="H160" s="706">
        <v>0</v>
      </c>
      <c r="I160" s="706">
        <v>-66681</v>
      </c>
      <c r="J160" s="706">
        <v>-66681</v>
      </c>
      <c r="K160" s="706">
        <v>-66681</v>
      </c>
      <c r="L160" s="706">
        <v>-176074</v>
      </c>
      <c r="M160" s="706">
        <v>-176074</v>
      </c>
      <c r="N160" s="706">
        <v>0</v>
      </c>
      <c r="O160" s="706">
        <v>0</v>
      </c>
      <c r="P160" s="706">
        <v>0</v>
      </c>
      <c r="Q160" s="706">
        <v>0</v>
      </c>
      <c r="R160" s="706">
        <v>0</v>
      </c>
      <c r="S160" s="706">
        <v>-29345.67</v>
      </c>
      <c r="T160" s="706">
        <v>-29345.67</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G0641</v>
      </c>
      <c r="AK160" s="905" t="str">
        <f t="shared" si="13"/>
        <v>RISTOURNES DE PUBLICITE</v>
      </c>
      <c r="AL160" s="905">
        <f>IFERROR(INDEX(G160:R160,1,MATCH(Parametres!$B$3,G$1:R$1,0)-1)*IF(OR(F160="L",F160="S",F160="I"),-1,1),"")</f>
        <v>-66681</v>
      </c>
      <c r="AM160" s="905">
        <f t="shared" si="14"/>
        <v>-109393</v>
      </c>
      <c r="AN160" s="905">
        <f>INDEX(G160:R160,1,MATCH(Parametres!$B$3,G$1:R$1,0))*IF(OR(F160="L",F160="S",F160="I"),-1,1)</f>
        <v>-176074</v>
      </c>
      <c r="AO160" s="487" t="str">
        <f>+VLOOKUP($AJ160,Data_Validation!$A:$D,1,0)</f>
        <v>G0641</v>
      </c>
      <c r="AP160" s="487" t="str">
        <f>+VLOOKUP($AJ160,Data_Validation!$A:$D,3,0)</f>
        <v>Véhicules neufs</v>
      </c>
      <c r="AQ160" s="487" t="str">
        <f>+VLOOKUP($AJ160,Data_Validation!$A:$D,4,0)</f>
        <v>Publicité 1</v>
      </c>
      <c r="AR160" s="487" t="s">
        <v>299</v>
      </c>
      <c r="AS160" s="487">
        <f>+VLOOKUP($AJ160,Data_Validation!$A:$E,5,0)</f>
        <v>0</v>
      </c>
      <c r="AT160" s="904" t="str">
        <f t="shared" si="15"/>
        <v>G0641</v>
      </c>
      <c r="AU160" s="488" t="str">
        <f t="shared" si="16"/>
        <v>RISTOURNES DE PUBLICITE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2026</v>
      </c>
      <c r="C161" s="706" t="s">
        <v>1426</v>
      </c>
      <c r="D161" s="706" t="s">
        <v>1425</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G0642</v>
      </c>
      <c r="AK161" s="905" t="str">
        <f t="shared" si="13"/>
        <v>RISTOURNES DE PUBLICITE</v>
      </c>
      <c r="AL161" s="905">
        <f>IFERROR(INDEX(G161:R161,1,MATCH(Parametres!$B$3,G$1:R$1,0)-1)*IF(OR(F161="L",F161="S",F161="I"),-1,1),"")</f>
        <v>0</v>
      </c>
      <c r="AM161" s="905">
        <f t="shared" si="14"/>
        <v>0</v>
      </c>
      <c r="AN161" s="905">
        <f>INDEX(G161:R161,1,MATCH(Parametres!$B$3,G$1:R$1,0))*IF(OR(F161="L",F161="S",F161="I"),-1,1)</f>
        <v>0</v>
      </c>
      <c r="AO161" s="487" t="str">
        <f>+VLOOKUP($AJ161,Data_Validation!$A:$D,1,0)</f>
        <v>G0642</v>
      </c>
      <c r="AP161" s="487" t="str">
        <f>+VLOOKUP($AJ161,Data_Validation!$A:$D,3,0)</f>
        <v>Véhicules usagés</v>
      </c>
      <c r="AQ161" s="487" t="str">
        <f>+VLOOKUP($AJ161,Data_Validation!$A:$D,4,0)</f>
        <v>Publicité 1</v>
      </c>
      <c r="AR161" s="487" t="s">
        <v>299</v>
      </c>
      <c r="AS161" s="487">
        <f>+VLOOKUP($AJ161,Data_Validation!$A:$E,5,0)</f>
        <v>0</v>
      </c>
      <c r="AT161" s="904" t="str">
        <f t="shared" si="15"/>
        <v>G0642</v>
      </c>
      <c r="AU161" s="488" t="str">
        <f t="shared" si="16"/>
        <v>RISTOURNES DE PUBLICITE</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1427</v>
      </c>
      <c r="D162" s="706" t="s">
        <v>1425</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G0644</v>
      </c>
      <c r="AK162" s="905" t="str">
        <f t="shared" si="13"/>
        <v>RISTOURNES DE PUBLICITE</v>
      </c>
      <c r="AL162" s="905">
        <f>IFERROR(INDEX(G162:R162,1,MATCH(Parametres!$B$3,G$1:R$1,0)-1)*IF(OR(F162="L",F162="S",F162="I"),-1,1),"")</f>
        <v>0</v>
      </c>
      <c r="AM162" s="905">
        <f t="shared" si="14"/>
        <v>0</v>
      </c>
      <c r="AN162" s="905">
        <f>INDEX(G162:R162,1,MATCH(Parametres!$B$3,G$1:R$1,0))*IF(OR(F162="L",F162="S",F162="I"),-1,1)</f>
        <v>0</v>
      </c>
      <c r="AO162" s="487" t="str">
        <f>+VLOOKUP($AJ162,Data_Validation!$A:$D,1,0)</f>
        <v>G0644</v>
      </c>
      <c r="AP162" s="487" t="str">
        <f>+VLOOKUP($AJ162,Data_Validation!$A:$D,3,0)</f>
        <v>Service</v>
      </c>
      <c r="AQ162" s="487" t="str">
        <f>+VLOOKUP($AJ162,Data_Validation!$A:$D,4,0)</f>
        <v>Publicité 2</v>
      </c>
      <c r="AR162" s="487" t="s">
        <v>299</v>
      </c>
      <c r="AS162" s="487">
        <f>+VLOOKUP($AJ162,Data_Validation!$A:$E,5,0)</f>
        <v>0</v>
      </c>
      <c r="AT162" s="904" t="str">
        <f t="shared" si="15"/>
        <v>G0644</v>
      </c>
      <c r="AU162" s="488" t="str">
        <f t="shared" si="16"/>
        <v>RISTOURNES DE PUBLICITE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1428</v>
      </c>
      <c r="D163" s="706" t="s">
        <v>1429</v>
      </c>
      <c r="E163" s="706" t="s">
        <v>333</v>
      </c>
      <c r="F163" s="706" t="s">
        <v>1104</v>
      </c>
      <c r="G163" s="706">
        <v>0</v>
      </c>
      <c r="H163" s="706">
        <v>0</v>
      </c>
      <c r="I163" s="706">
        <v>0</v>
      </c>
      <c r="J163" s="706">
        <v>0</v>
      </c>
      <c r="K163" s="706">
        <v>0</v>
      </c>
      <c r="L163" s="706">
        <v>0</v>
      </c>
      <c r="M163" s="706">
        <v>0</v>
      </c>
      <c r="N163" s="706">
        <v>0</v>
      </c>
      <c r="O163" s="706">
        <v>0</v>
      </c>
      <c r="P163" s="706">
        <v>0</v>
      </c>
      <c r="Q163" s="706">
        <v>0</v>
      </c>
      <c r="R163" s="706">
        <v>0</v>
      </c>
      <c r="S163" s="706">
        <v>0</v>
      </c>
      <c r="T163" s="706">
        <v>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G0645</v>
      </c>
      <c r="AK163" s="905" t="str">
        <f t="shared" si="13"/>
        <v>RABAIS PUBLICITE-SERVIC</v>
      </c>
      <c r="AL163" s="905">
        <f>IFERROR(INDEX(G163:R163,1,MATCH(Parametres!$B$3,G$1:R$1,0)-1)*IF(OR(F163="L",F163="S",F163="I"),-1,1),"")</f>
        <v>0</v>
      </c>
      <c r="AM163" s="905">
        <f t="shared" si="14"/>
        <v>0</v>
      </c>
      <c r="AN163" s="905">
        <f>INDEX(G163:R163,1,MATCH(Parametres!$B$3,G$1:R$1,0))*IF(OR(F163="L",F163="S",F163="I"),-1,1)</f>
        <v>0</v>
      </c>
      <c r="AO163" s="487" t="str">
        <f>+VLOOKUP($AJ163,Data_Validation!$A:$D,1,0)</f>
        <v>G0645</v>
      </c>
      <c r="AP163" s="487" t="str">
        <f>+VLOOKUP($AJ163,Data_Validation!$A:$D,3,0)</f>
        <v>Carrosserie</v>
      </c>
      <c r="AQ163" s="487" t="str">
        <f>+VLOOKUP($AJ163,Data_Validation!$A:$D,4,0)</f>
        <v>Publicité 2</v>
      </c>
      <c r="AR163" s="487" t="s">
        <v>299</v>
      </c>
      <c r="AS163" s="487">
        <f>+VLOOKUP($AJ163,Data_Validation!$A:$E,5,0)</f>
        <v>0</v>
      </c>
      <c r="AT163" s="904" t="str">
        <f t="shared" si="15"/>
        <v>G0645</v>
      </c>
      <c r="AU163" s="488" t="str">
        <f t="shared" si="16"/>
        <v>RABAIS PUBLICITE-SERVIC</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1430</v>
      </c>
      <c r="D164" s="706" t="s">
        <v>1425</v>
      </c>
      <c r="E164" s="706" t="s">
        <v>333</v>
      </c>
      <c r="F164" s="706" t="s">
        <v>1104</v>
      </c>
      <c r="G164" s="706">
        <v>0</v>
      </c>
      <c r="H164" s="706">
        <v>0</v>
      </c>
      <c r="I164" s="706">
        <v>0</v>
      </c>
      <c r="J164" s="706">
        <v>0</v>
      </c>
      <c r="K164" s="706">
        <v>0</v>
      </c>
      <c r="L164" s="706">
        <v>0</v>
      </c>
      <c r="M164" s="706">
        <v>0</v>
      </c>
      <c r="N164" s="706">
        <v>0</v>
      </c>
      <c r="O164" s="706">
        <v>0</v>
      </c>
      <c r="P164" s="706">
        <v>0</v>
      </c>
      <c r="Q164" s="706">
        <v>0</v>
      </c>
      <c r="R164" s="706">
        <v>0</v>
      </c>
      <c r="S164" s="706">
        <v>0</v>
      </c>
      <c r="T164" s="706">
        <v>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G0646</v>
      </c>
      <c r="AK164" s="905" t="str">
        <f t="shared" si="13"/>
        <v>RISTOURNES DE PUBLICITE</v>
      </c>
      <c r="AL164" s="905">
        <f>IFERROR(INDEX(G164:R164,1,MATCH(Parametres!$B$3,G$1:R$1,0)-1)*IF(OR(F164="L",F164="S",F164="I"),-1,1),"")</f>
        <v>0</v>
      </c>
      <c r="AM164" s="905">
        <f t="shared" si="14"/>
        <v>0</v>
      </c>
      <c r="AN164" s="905">
        <f>INDEX(G164:R164,1,MATCH(Parametres!$B$3,G$1:R$1,0))*IF(OR(F164="L",F164="S",F164="I"),-1,1)</f>
        <v>0</v>
      </c>
      <c r="AO164" s="487" t="str">
        <f>+VLOOKUP($AJ164,Data_Validation!$A:$D,1,0)</f>
        <v>G0646</v>
      </c>
      <c r="AP164" s="487" t="str">
        <f>+VLOOKUP($AJ164,Data_Validation!$A:$D,3,0)</f>
        <v>Pièces</v>
      </c>
      <c r="AQ164" s="487" t="str">
        <f>+VLOOKUP($AJ164,Data_Validation!$A:$D,4,0)</f>
        <v>Publicité 2</v>
      </c>
      <c r="AR164" s="487" t="s">
        <v>299</v>
      </c>
      <c r="AS164" s="487">
        <f>+VLOOKUP($AJ164,Data_Validation!$A:$E,5,0)</f>
        <v>0</v>
      </c>
      <c r="AT164" s="904" t="str">
        <f t="shared" si="15"/>
        <v>G0646</v>
      </c>
      <c r="AU164" s="488" t="str">
        <f t="shared" si="16"/>
        <v>RISTOURNES DE PUBLICITE</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1431</v>
      </c>
      <c r="D165" s="706" t="s">
        <v>1432</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G0647</v>
      </c>
      <c r="AK165" s="905" t="str">
        <f t="shared" si="13"/>
        <v>RABAIS PUBLICITE-PIECE</v>
      </c>
      <c r="AL165" s="905">
        <f>IFERROR(INDEX(G165:R165,1,MATCH(Parametres!$B$3,G$1:R$1,0)-1)*IF(OR(F165="L",F165="S",F165="I"),-1,1),"")</f>
        <v>0</v>
      </c>
      <c r="AM165" s="905">
        <f t="shared" si="14"/>
        <v>0</v>
      </c>
      <c r="AN165" s="905">
        <f>INDEX(G165:R165,1,MATCH(Parametres!$B$3,G$1:R$1,0))*IF(OR(F165="L",F165="S",F165="I"),-1,1)</f>
        <v>0</v>
      </c>
      <c r="AO165" s="487" t="str">
        <f>+VLOOKUP($AJ165,Data_Validation!$A:$D,1,0)</f>
        <v>G0647</v>
      </c>
      <c r="AP165" s="487" t="str">
        <f>+VLOOKUP($AJ165,Data_Validation!$A:$D,3,0)</f>
        <v>SAAQ</v>
      </c>
      <c r="AQ165" s="487" t="str">
        <f>+VLOOKUP($AJ165,Data_Validation!$A:$D,4,0)</f>
        <v>Publicité 2</v>
      </c>
      <c r="AR165" s="487" t="s">
        <v>299</v>
      </c>
      <c r="AS165" s="487">
        <f>+VLOOKUP($AJ165,Data_Validation!$A:$E,5,0)</f>
        <v>0</v>
      </c>
      <c r="AT165" s="904" t="str">
        <f t="shared" si="15"/>
        <v>G0647</v>
      </c>
      <c r="AU165" s="488" t="str">
        <f t="shared" si="16"/>
        <v>RABAIS PUBLICITE-PIECE</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customHeight="1">
      <c r="A166" s="706" t="s">
        <v>1148</v>
      </c>
      <c r="B166" s="706">
        <v>2026</v>
      </c>
      <c r="C166" s="706" t="s">
        <v>1433</v>
      </c>
      <c r="D166" s="706" t="s">
        <v>1434</v>
      </c>
      <c r="E166" s="706" t="s">
        <v>333</v>
      </c>
      <c r="F166" s="706" t="s">
        <v>1104</v>
      </c>
      <c r="G166" s="706">
        <v>0</v>
      </c>
      <c r="H166" s="706">
        <v>0</v>
      </c>
      <c r="I166" s="706">
        <v>0</v>
      </c>
      <c r="J166" s="706">
        <v>0</v>
      </c>
      <c r="K166" s="706">
        <v>0</v>
      </c>
      <c r="L166" s="706">
        <v>0</v>
      </c>
      <c r="M166" s="706">
        <v>0</v>
      </c>
      <c r="N166" s="706">
        <v>0</v>
      </c>
      <c r="O166" s="706">
        <v>0</v>
      </c>
      <c r="P166" s="706">
        <v>0</v>
      </c>
      <c r="Q166" s="706">
        <v>0</v>
      </c>
      <c r="R166" s="706">
        <v>0</v>
      </c>
      <c r="S166" s="706">
        <v>0</v>
      </c>
      <c r="T166" s="706">
        <v>0</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G0649</v>
      </c>
      <c r="AK166" s="905" t="str">
        <f t="shared" si="13"/>
        <v>RABAIS PUBLICITE-ADMIN</v>
      </c>
      <c r="AL166" s="905">
        <f>IFERROR(INDEX(G166:R166,1,MATCH(Parametres!$B$3,G$1:R$1,0)-1)*IF(OR(F166="L",F166="S",F166="I"),-1,1),"")</f>
        <v>0</v>
      </c>
      <c r="AM166" s="905">
        <f t="shared" si="14"/>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t="str">
        <f t="shared" si="15"/>
        <v>G0649</v>
      </c>
      <c r="AU166" s="488" t="str">
        <f t="shared" si="16"/>
        <v>RABAIS PUBLICITE-ADMIN</v>
      </c>
      <c r="AV166" s="899">
        <f>IFERROR(INDEX(V166:AG166,1,MATCH(Parametres!$B$3,V$1:AG$1,0)-1)*IF(OR(C166="L",C166="S",C166="I"),-1,1),"")</f>
        <v>0</v>
      </c>
      <c r="AW166" s="899">
        <f t="shared" si="17"/>
        <v>0</v>
      </c>
      <c r="AX166" s="899">
        <f>INDEX(V166:AG166,1,MATCH(Parametres!$B$3,V$1:AG$1,0))*IF(OR(C166="L",C166="S",C166="I"),-1,1)</f>
        <v>0</v>
      </c>
      <c r="AY166" s="487" t="s">
        <v>337</v>
      </c>
      <c r="AZ166" s="487" t="e">
        <f>+VLOOKUP($AJ166,Data_Validation!$A:$E,5,0)</f>
        <v>#N/A</v>
      </c>
    </row>
    <row r="167" spans="1:52" ht="15" customHeight="1">
      <c r="A167" s="706" t="s">
        <v>1148</v>
      </c>
      <c r="B167" s="706">
        <v>2026</v>
      </c>
      <c r="C167" s="706" t="s">
        <v>1435</v>
      </c>
      <c r="D167" s="706" t="s">
        <v>1436</v>
      </c>
      <c r="E167" s="706" t="s">
        <v>333</v>
      </c>
      <c r="F167" s="706" t="s">
        <v>1104</v>
      </c>
      <c r="G167" s="706">
        <v>0</v>
      </c>
      <c r="H167" s="706">
        <v>0</v>
      </c>
      <c r="I167" s="706">
        <v>0</v>
      </c>
      <c r="J167" s="706">
        <v>0</v>
      </c>
      <c r="K167" s="706">
        <v>0</v>
      </c>
      <c r="L167" s="706">
        <v>0</v>
      </c>
      <c r="M167" s="706">
        <v>0</v>
      </c>
      <c r="N167" s="706">
        <v>0</v>
      </c>
      <c r="O167" s="706">
        <v>0</v>
      </c>
      <c r="P167" s="706">
        <v>0</v>
      </c>
      <c r="Q167" s="706">
        <v>0</v>
      </c>
      <c r="R167" s="706">
        <v>0</v>
      </c>
      <c r="S167" s="706">
        <v>0</v>
      </c>
      <c r="T167" s="706">
        <v>0</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G0650</v>
      </c>
      <c r="AK167" s="905" t="str">
        <f t="shared" si="13"/>
        <v>PUBLICITE REPRISE GENERAL</v>
      </c>
      <c r="AL167" s="905">
        <f>IFERROR(INDEX(G167:R167,1,MATCH(Parametres!$B$3,G$1:R$1,0)-1)*IF(OR(F167="L",F167="S",F167="I"),-1,1),"")</f>
        <v>0</v>
      </c>
      <c r="AM167" s="905">
        <f t="shared" si="14"/>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t="str">
        <f t="shared" si="15"/>
        <v>G0650</v>
      </c>
      <c r="AU167" s="488" t="str">
        <f t="shared" si="16"/>
        <v>PUBLICITE REPRISE GENERAL</v>
      </c>
      <c r="AV167" s="899">
        <f>IFERROR(INDEX(V167:AG167,1,MATCH(Parametres!$B$3,V$1:AG$1,0)-1)*IF(OR(C167="L",C167="S",C167="I"),-1,1),"")</f>
        <v>0</v>
      </c>
      <c r="AW167" s="899">
        <f t="shared" si="17"/>
        <v>0</v>
      </c>
      <c r="AX167" s="899">
        <f>INDEX(V167:AG167,1,MATCH(Parametres!$B$3,V$1:AG$1,0))*IF(OR(C167="L",C167="S",C167="I"),-1,1)</f>
        <v>0</v>
      </c>
      <c r="AY167" s="487" t="s">
        <v>337</v>
      </c>
      <c r="AZ167" s="487" t="e">
        <f>+VLOOKUP($AJ167,Data_Validation!$A:$E,5,0)</f>
        <v>#N/A</v>
      </c>
    </row>
    <row r="168" spans="1:52" ht="15.75" customHeight="1">
      <c r="A168" s="706" t="s">
        <v>1148</v>
      </c>
      <c r="B168" s="706">
        <v>2026</v>
      </c>
      <c r="C168" s="706" t="s">
        <v>1437</v>
      </c>
      <c r="D168" s="706" t="s">
        <v>1438</v>
      </c>
      <c r="E168" s="706" t="s">
        <v>333</v>
      </c>
      <c r="F168" s="706" t="s">
        <v>1104</v>
      </c>
      <c r="G168" s="706">
        <v>7012.85</v>
      </c>
      <c r="H168" s="706">
        <v>18237.23</v>
      </c>
      <c r="I168" s="706">
        <v>28310.51</v>
      </c>
      <c r="J168" s="706">
        <v>47251.08</v>
      </c>
      <c r="K168" s="706">
        <v>54559.51</v>
      </c>
      <c r="L168" s="706">
        <v>65961.289999999994</v>
      </c>
      <c r="M168" s="706">
        <v>77246.78</v>
      </c>
      <c r="N168" s="706">
        <v>0</v>
      </c>
      <c r="O168" s="706">
        <v>0</v>
      </c>
      <c r="P168" s="706">
        <v>0</v>
      </c>
      <c r="Q168" s="706">
        <v>0</v>
      </c>
      <c r="R168" s="706">
        <v>0</v>
      </c>
      <c r="S168" s="706">
        <v>10993.55</v>
      </c>
      <c r="T168" s="706">
        <v>10993.55</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G0651</v>
      </c>
      <c r="AK168" s="905" t="str">
        <f t="shared" si="13"/>
        <v>PUBLICITE-NEUFS</v>
      </c>
      <c r="AL168" s="905">
        <f>IFERROR(INDEX(G168:R168,1,MATCH(Parametres!$B$3,G$1:R$1,0)-1)*IF(OR(F168="L",F168="S",F168="I"),-1,1),"")</f>
        <v>54559.51</v>
      </c>
      <c r="AM168" s="905">
        <f t="shared" si="14"/>
        <v>11401.779999999992</v>
      </c>
      <c r="AN168" s="905">
        <f>INDEX(G168:R168,1,MATCH(Parametres!$B$3,G$1:R$1,0))*IF(OR(F168="L",F168="S",F168="I"),-1,1)</f>
        <v>65961.289999999994</v>
      </c>
      <c r="AO168" s="487" t="str">
        <f>+VLOOKUP($AJ168,Data_Validation!$A:$D,1,0)</f>
        <v>G0651</v>
      </c>
      <c r="AP168" s="487" t="str">
        <f>+VLOOKUP($AJ168,Data_Validation!$A:$D,3,0)</f>
        <v>Véhicules neufs</v>
      </c>
      <c r="AQ168" s="487" t="str">
        <f>+VLOOKUP($AJ168,Data_Validation!$A:$D,4,0)</f>
        <v>Publicité 1</v>
      </c>
      <c r="AR168" s="487" t="s">
        <v>299</v>
      </c>
      <c r="AS168" s="487">
        <f>+VLOOKUP($AJ168,Data_Validation!$A:$E,5,0)</f>
        <v>0</v>
      </c>
      <c r="AT168" s="904" t="str">
        <f t="shared" si="15"/>
        <v>G0651</v>
      </c>
      <c r="AU168" s="488" t="str">
        <f t="shared" si="16"/>
        <v>PUBLICITE-NEUFS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1439</v>
      </c>
      <c r="D169" s="706" t="s">
        <v>1440</v>
      </c>
      <c r="E169" s="706" t="s">
        <v>333</v>
      </c>
      <c r="F169" s="706" t="s">
        <v>1104</v>
      </c>
      <c r="G169" s="706">
        <v>7043.93</v>
      </c>
      <c r="H169" s="706">
        <v>14433.46</v>
      </c>
      <c r="I169" s="706">
        <v>25079.68</v>
      </c>
      <c r="J169" s="706">
        <v>34295.58</v>
      </c>
      <c r="K169" s="706">
        <v>38135.97</v>
      </c>
      <c r="L169" s="706">
        <v>50383.05</v>
      </c>
      <c r="M169" s="706">
        <v>52325.05</v>
      </c>
      <c r="N169" s="706">
        <v>0</v>
      </c>
      <c r="O169" s="706">
        <v>0</v>
      </c>
      <c r="P169" s="706">
        <v>0</v>
      </c>
      <c r="Q169" s="706">
        <v>0</v>
      </c>
      <c r="R169" s="706">
        <v>0</v>
      </c>
      <c r="S169" s="706">
        <v>8397.18</v>
      </c>
      <c r="T169" s="706">
        <v>8397.18</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G0652</v>
      </c>
      <c r="AK169" s="905" t="str">
        <f t="shared" si="13"/>
        <v>PUBLICITE-USAGE</v>
      </c>
      <c r="AL169" s="905">
        <f>IFERROR(INDEX(G169:R169,1,MATCH(Parametres!$B$3,G$1:R$1,0)-1)*IF(OR(F169="L",F169="S",F169="I"),-1,1),"")</f>
        <v>38135.97</v>
      </c>
      <c r="AM169" s="905">
        <f t="shared" si="14"/>
        <v>12247.080000000002</v>
      </c>
      <c r="AN169" s="905">
        <f>INDEX(G169:R169,1,MATCH(Parametres!$B$3,G$1:R$1,0))*IF(OR(F169="L",F169="S",F169="I"),-1,1)</f>
        <v>50383.05</v>
      </c>
      <c r="AO169" s="487" t="str">
        <f>+VLOOKUP($AJ169,Data_Validation!$A:$D,1,0)</f>
        <v>G0652</v>
      </c>
      <c r="AP169" s="487" t="str">
        <f>+VLOOKUP($AJ169,Data_Validation!$A:$D,3,0)</f>
        <v>Véhicules usagés</v>
      </c>
      <c r="AQ169" s="487" t="str">
        <f>+VLOOKUP($AJ169,Data_Validation!$A:$D,4,0)</f>
        <v>Publicité 1</v>
      </c>
      <c r="AR169" s="487" t="s">
        <v>299</v>
      </c>
      <c r="AS169" s="487">
        <f>+VLOOKUP($AJ169,Data_Validation!$A:$E,5,0)</f>
        <v>0</v>
      </c>
      <c r="AT169" s="904" t="str">
        <f t="shared" si="15"/>
        <v>G0652</v>
      </c>
      <c r="AU169" s="488" t="str">
        <f t="shared" si="16"/>
        <v>PUBLICITE-USAGE</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customHeight="1">
      <c r="A170" s="706" t="s">
        <v>1148</v>
      </c>
      <c r="B170" s="706">
        <v>2026</v>
      </c>
      <c r="C170" s="706" t="s">
        <v>1441</v>
      </c>
      <c r="D170" s="706" t="s">
        <v>1442</v>
      </c>
      <c r="E170" s="706" t="s">
        <v>333</v>
      </c>
      <c r="F170" s="706" t="s">
        <v>1104</v>
      </c>
      <c r="G170" s="706">
        <v>0</v>
      </c>
      <c r="H170" s="706">
        <v>0</v>
      </c>
      <c r="I170" s="706">
        <v>0</v>
      </c>
      <c r="J170" s="706">
        <v>0</v>
      </c>
      <c r="K170" s="706">
        <v>0</v>
      </c>
      <c r="L170" s="706">
        <v>0</v>
      </c>
      <c r="M170" s="706">
        <v>0</v>
      </c>
      <c r="N170" s="706">
        <v>0</v>
      </c>
      <c r="O170" s="706">
        <v>0</v>
      </c>
      <c r="P170" s="706">
        <v>0</v>
      </c>
      <c r="Q170" s="706">
        <v>0</v>
      </c>
      <c r="R170" s="706">
        <v>0</v>
      </c>
      <c r="S170" s="706">
        <v>0</v>
      </c>
      <c r="T170" s="706">
        <v>0</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G0653</v>
      </c>
      <c r="AK170" s="905" t="str">
        <f t="shared" si="13"/>
        <v>PUBLICITE U.S.A</v>
      </c>
      <c r="AL170" s="905">
        <f>IFERROR(INDEX(G170:R170,1,MATCH(Parametres!$B$3,G$1:R$1,0)-1)*IF(OR(F170="L",F170="S",F170="I"),-1,1),"")</f>
        <v>0</v>
      </c>
      <c r="AM170" s="905">
        <f t="shared" si="14"/>
        <v>0</v>
      </c>
      <c r="AN170" s="905">
        <f>INDEX(G170:R170,1,MATCH(Parametres!$B$3,G$1:R$1,0))*IF(OR(F170="L",F170="S",F170="I"),-1,1)</f>
        <v>0</v>
      </c>
      <c r="AO170" s="487" t="str">
        <f>+VLOOKUP($AJ170,Data_Validation!$A:$D,1,0)</f>
        <v>G0653</v>
      </c>
      <c r="AP170" s="487" t="str">
        <f>+VLOOKUP($AJ170,Data_Validation!$A:$D,3,0)</f>
        <v>Wholesale autres</v>
      </c>
      <c r="AQ170" s="487" t="str">
        <f>+VLOOKUP($AJ170,Data_Validation!$A:$D,4,0)</f>
        <v>Publicité 1</v>
      </c>
      <c r="AR170" s="487" t="s">
        <v>299</v>
      </c>
      <c r="AS170" s="487">
        <f>+VLOOKUP($AJ170,Data_Validation!$A:$E,5,0)</f>
        <v>0</v>
      </c>
      <c r="AT170" s="904" t="str">
        <f t="shared" si="15"/>
        <v>G0653</v>
      </c>
      <c r="AU170" s="488" t="str">
        <f t="shared" si="16"/>
        <v>PUBLICITE U.S.A</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1443</v>
      </c>
      <c r="D171" s="706" t="s">
        <v>1444</v>
      </c>
      <c r="E171" s="706" t="s">
        <v>333</v>
      </c>
      <c r="F171" s="706" t="s">
        <v>1104</v>
      </c>
      <c r="G171" s="706">
        <v>637.4</v>
      </c>
      <c r="H171" s="706">
        <v>1832.32</v>
      </c>
      <c r="I171" s="706">
        <v>3330.84</v>
      </c>
      <c r="J171" s="706">
        <v>5498.1</v>
      </c>
      <c r="K171" s="706">
        <v>6912.86</v>
      </c>
      <c r="L171" s="706">
        <v>10051.69</v>
      </c>
      <c r="M171" s="706">
        <v>10636.9</v>
      </c>
      <c r="N171" s="706">
        <v>0</v>
      </c>
      <c r="O171" s="706">
        <v>0</v>
      </c>
      <c r="P171" s="706">
        <v>0</v>
      </c>
      <c r="Q171" s="706">
        <v>0</v>
      </c>
      <c r="R171" s="706">
        <v>0</v>
      </c>
      <c r="S171" s="706">
        <v>1675.28</v>
      </c>
      <c r="T171" s="706">
        <v>1675.28</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G0654</v>
      </c>
      <c r="AK171" s="905" t="str">
        <f t="shared" si="13"/>
        <v>PUBLICITE-SERVICE</v>
      </c>
      <c r="AL171" s="905">
        <f>IFERROR(INDEX(G171:R171,1,MATCH(Parametres!$B$3,G$1:R$1,0)-1)*IF(OR(F171="L",F171="S",F171="I"),-1,1),"")</f>
        <v>6912.86</v>
      </c>
      <c r="AM171" s="905">
        <f t="shared" si="14"/>
        <v>3138.8300000000008</v>
      </c>
      <c r="AN171" s="905">
        <f>INDEX(G171:R171,1,MATCH(Parametres!$B$3,G$1:R$1,0))*IF(OR(F171="L",F171="S",F171="I"),-1,1)</f>
        <v>10051.69</v>
      </c>
      <c r="AO171" s="487" t="str">
        <f>+VLOOKUP($AJ171,Data_Validation!$A:$D,1,0)</f>
        <v>G0654</v>
      </c>
      <c r="AP171" s="487" t="str">
        <f>+VLOOKUP($AJ171,Data_Validation!$A:$D,3,0)</f>
        <v>Service</v>
      </c>
      <c r="AQ171" s="487" t="str">
        <f>+VLOOKUP($AJ171,Data_Validation!$A:$D,4,0)</f>
        <v>Publicité 2</v>
      </c>
      <c r="AR171" s="487" t="s">
        <v>299</v>
      </c>
      <c r="AS171" s="487">
        <f>+VLOOKUP($AJ171,Data_Validation!$A:$E,5,0)</f>
        <v>0</v>
      </c>
      <c r="AT171" s="904" t="str">
        <f t="shared" si="15"/>
        <v>G0654</v>
      </c>
      <c r="AU171" s="488" t="str">
        <f t="shared" si="16"/>
        <v>PUBLICITE-SERVICE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1445</v>
      </c>
      <c r="D172" s="706" t="s">
        <v>1446</v>
      </c>
      <c r="E172" s="706" t="s">
        <v>333</v>
      </c>
      <c r="F172" s="706" t="s">
        <v>1104</v>
      </c>
      <c r="G172" s="706">
        <v>1072</v>
      </c>
      <c r="H172" s="706">
        <v>2279.52</v>
      </c>
      <c r="I172" s="706">
        <v>2668.92</v>
      </c>
      <c r="J172" s="706">
        <v>4619.3599999999997</v>
      </c>
      <c r="K172" s="706">
        <v>7031.39</v>
      </c>
      <c r="L172" s="706">
        <v>7734.39</v>
      </c>
      <c r="M172" s="706">
        <v>7834.39</v>
      </c>
      <c r="N172" s="706">
        <v>0</v>
      </c>
      <c r="O172" s="706">
        <v>0</v>
      </c>
      <c r="P172" s="706">
        <v>0</v>
      </c>
      <c r="Q172" s="706">
        <v>0</v>
      </c>
      <c r="R172" s="706">
        <v>0</v>
      </c>
      <c r="S172" s="706">
        <v>1289.07</v>
      </c>
      <c r="T172" s="706">
        <v>1289.07</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G0655</v>
      </c>
      <c r="AK172" s="905" t="str">
        <f t="shared" si="13"/>
        <v>PUBLICITE-CARROSSERIE</v>
      </c>
      <c r="AL172" s="905">
        <f>IFERROR(INDEX(G172:R172,1,MATCH(Parametres!$B$3,G$1:R$1,0)-1)*IF(OR(F172="L",F172="S",F172="I"),-1,1),"")</f>
        <v>7031.39</v>
      </c>
      <c r="AM172" s="905">
        <f t="shared" si="14"/>
        <v>703</v>
      </c>
      <c r="AN172" s="905">
        <f>INDEX(G172:R172,1,MATCH(Parametres!$B$3,G$1:R$1,0))*IF(OR(F172="L",F172="S",F172="I"),-1,1)</f>
        <v>7734.39</v>
      </c>
      <c r="AO172" s="487" t="str">
        <f>+VLOOKUP($AJ172,Data_Validation!$A:$D,1,0)</f>
        <v>G0655</v>
      </c>
      <c r="AP172" s="487" t="str">
        <f>+VLOOKUP($AJ172,Data_Validation!$A:$D,3,0)</f>
        <v>Carrosserie</v>
      </c>
      <c r="AQ172" s="487" t="str">
        <f>+VLOOKUP($AJ172,Data_Validation!$A:$D,4,0)</f>
        <v>Publicité 2</v>
      </c>
      <c r="AR172" s="487" t="s">
        <v>299</v>
      </c>
      <c r="AS172" s="487">
        <f>+VLOOKUP($AJ172,Data_Validation!$A:$E,5,0)</f>
        <v>0</v>
      </c>
      <c r="AT172" s="904" t="str">
        <f t="shared" si="15"/>
        <v>G0655</v>
      </c>
      <c r="AU172" s="488" t="str">
        <f t="shared" si="16"/>
        <v>PUBLICITE-CARROSSERIE</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1447</v>
      </c>
      <c r="D173" s="706" t="s">
        <v>1448</v>
      </c>
      <c r="E173" s="706" t="s">
        <v>333</v>
      </c>
      <c r="F173" s="706" t="s">
        <v>1104</v>
      </c>
      <c r="G173" s="706">
        <v>100</v>
      </c>
      <c r="H173" s="706">
        <v>215.52</v>
      </c>
      <c r="I173" s="706">
        <v>604.9</v>
      </c>
      <c r="J173" s="706">
        <v>1241.33</v>
      </c>
      <c r="K173" s="706">
        <v>1565.27</v>
      </c>
      <c r="L173" s="706">
        <v>1665.27</v>
      </c>
      <c r="M173" s="706">
        <v>1765.27</v>
      </c>
      <c r="N173" s="706">
        <v>0</v>
      </c>
      <c r="O173" s="706">
        <v>0</v>
      </c>
      <c r="P173" s="706">
        <v>0</v>
      </c>
      <c r="Q173" s="706">
        <v>0</v>
      </c>
      <c r="R173" s="706">
        <v>0</v>
      </c>
      <c r="S173" s="706">
        <v>277.55</v>
      </c>
      <c r="T173" s="706">
        <v>277.55</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G0656</v>
      </c>
      <c r="AK173" s="905" t="str">
        <f t="shared" si="13"/>
        <v>PUBLICITE-PIECES</v>
      </c>
      <c r="AL173" s="905">
        <f>IFERROR(INDEX(G173:R173,1,MATCH(Parametres!$B$3,G$1:R$1,0)-1)*IF(OR(F173="L",F173="S",F173="I"),-1,1),"")</f>
        <v>1565.27</v>
      </c>
      <c r="AM173" s="905">
        <f t="shared" si="14"/>
        <v>100</v>
      </c>
      <c r="AN173" s="905">
        <f>INDEX(G173:R173,1,MATCH(Parametres!$B$3,G$1:R$1,0))*IF(OR(F173="L",F173="S",F173="I"),-1,1)</f>
        <v>1665.27</v>
      </c>
      <c r="AO173" s="487" t="str">
        <f>+VLOOKUP($AJ173,Data_Validation!$A:$D,1,0)</f>
        <v>G0656</v>
      </c>
      <c r="AP173" s="487" t="str">
        <f>+VLOOKUP($AJ173,Data_Validation!$A:$D,3,0)</f>
        <v>Pièces</v>
      </c>
      <c r="AQ173" s="487" t="str">
        <f>+VLOOKUP($AJ173,Data_Validation!$A:$D,4,0)</f>
        <v>Publicité 2</v>
      </c>
      <c r="AR173" s="487" t="s">
        <v>299</v>
      </c>
      <c r="AS173" s="487">
        <f>+VLOOKUP($AJ173,Data_Validation!$A:$E,5,0)</f>
        <v>0</v>
      </c>
      <c r="AT173" s="904" t="str">
        <f t="shared" si="15"/>
        <v>G0656</v>
      </c>
      <c r="AU173" s="488" t="str">
        <f t="shared" si="16"/>
        <v>PUBLICITE-PIECES</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1449</v>
      </c>
      <c r="D174" s="706" t="s">
        <v>1450</v>
      </c>
      <c r="E174" s="706" t="s">
        <v>333</v>
      </c>
      <c r="F174" s="706" t="s">
        <v>1104</v>
      </c>
      <c r="G174" s="706">
        <v>0</v>
      </c>
      <c r="H174" s="706">
        <v>0</v>
      </c>
      <c r="I174" s="706">
        <v>0</v>
      </c>
      <c r="J174" s="706">
        <v>0</v>
      </c>
      <c r="K174" s="706">
        <v>0</v>
      </c>
      <c r="L174" s="706">
        <v>0</v>
      </c>
      <c r="M174" s="706">
        <v>0</v>
      </c>
      <c r="N174" s="706">
        <v>0</v>
      </c>
      <c r="O174" s="706">
        <v>0</v>
      </c>
      <c r="P174" s="706">
        <v>0</v>
      </c>
      <c r="Q174" s="706">
        <v>0</v>
      </c>
      <c r="R174" s="706">
        <v>0</v>
      </c>
      <c r="S174" s="706">
        <v>0</v>
      </c>
      <c r="T174" s="706">
        <v>0</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G0660</v>
      </c>
      <c r="AK174" s="905" t="str">
        <f t="shared" si="13"/>
        <v>CONTRIBUTION - DONS</v>
      </c>
      <c r="AL174" s="905">
        <f>IFERROR(INDEX(G174:R174,1,MATCH(Parametres!$B$3,G$1:R$1,0)-1)*IF(OR(F174="L",F174="S",F174="I"),-1,1),"")</f>
        <v>0</v>
      </c>
      <c r="AM174" s="905">
        <f t="shared" si="14"/>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t="str">
        <f t="shared" si="15"/>
        <v>G0660</v>
      </c>
      <c r="AU174" s="488" t="str">
        <f t="shared" si="16"/>
        <v>CONTRIBUTION - DONS</v>
      </c>
      <c r="AV174" s="899">
        <f>IFERROR(INDEX(V174:AG174,1,MATCH(Parametres!$B$3,V$1:AG$1,0)-1)*IF(OR(C174="L",C174="S",C174="I"),-1,1),"")</f>
        <v>0</v>
      </c>
      <c r="AW174" s="899">
        <f t="shared" si="17"/>
        <v>0</v>
      </c>
      <c r="AX174" s="899">
        <f>INDEX(V174:AG174,1,MATCH(Parametres!$B$3,V$1:AG$1,0))*IF(OR(C174="L",C174="S",C174="I"),-1,1)</f>
        <v>0</v>
      </c>
      <c r="AY174" s="487" t="s">
        <v>337</v>
      </c>
      <c r="AZ174" s="487" t="e">
        <f>+VLOOKUP($AJ174,Data_Validation!$A:$E,5,0)</f>
        <v>#N/A</v>
      </c>
    </row>
    <row r="175" spans="1:52" ht="15" customHeight="1">
      <c r="A175" s="706" t="s">
        <v>1148</v>
      </c>
      <c r="B175" s="706">
        <v>2026</v>
      </c>
      <c r="C175" s="706" t="s">
        <v>1451</v>
      </c>
      <c r="D175" s="706" t="s">
        <v>1452</v>
      </c>
      <c r="E175" s="706" t="s">
        <v>333</v>
      </c>
      <c r="F175" s="706" t="s">
        <v>1104</v>
      </c>
      <c r="G175" s="706">
        <v>0</v>
      </c>
      <c r="H175" s="706">
        <v>200</v>
      </c>
      <c r="I175" s="706">
        <v>200</v>
      </c>
      <c r="J175" s="706">
        <v>200</v>
      </c>
      <c r="K175" s="706">
        <v>200</v>
      </c>
      <c r="L175" s="706">
        <v>200</v>
      </c>
      <c r="M175" s="706">
        <v>200</v>
      </c>
      <c r="N175" s="706">
        <v>0</v>
      </c>
      <c r="O175" s="706">
        <v>0</v>
      </c>
      <c r="P175" s="706">
        <v>0</v>
      </c>
      <c r="Q175" s="706">
        <v>0</v>
      </c>
      <c r="R175" s="706">
        <v>0</v>
      </c>
      <c r="S175" s="706">
        <v>33.33</v>
      </c>
      <c r="T175" s="706">
        <v>33.33</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G0661</v>
      </c>
      <c r="AK175" s="905" t="str">
        <f t="shared" si="13"/>
        <v>CONTRIBUTIONS-NEUF</v>
      </c>
      <c r="AL175" s="905">
        <f>IFERROR(INDEX(G175:R175,1,MATCH(Parametres!$B$3,G$1:R$1,0)-1)*IF(OR(F175="L",F175="S",F175="I"),-1,1),"")</f>
        <v>200</v>
      </c>
      <c r="AM175" s="905">
        <f t="shared" si="14"/>
        <v>0</v>
      </c>
      <c r="AN175" s="905">
        <f>INDEX(G175:R175,1,MATCH(Parametres!$B$3,G$1:R$1,0))*IF(OR(F175="L",F175="S",F175="I"),-1,1)</f>
        <v>200</v>
      </c>
      <c r="AO175" s="487" t="str">
        <f>+VLOOKUP($AJ175,Data_Validation!$A:$D,1,0)</f>
        <v>G0661</v>
      </c>
      <c r="AP175" s="487" t="str">
        <f>+VLOOKUP($AJ175,Data_Validation!$A:$D,3,0)</f>
        <v>Véhicules neufs</v>
      </c>
      <c r="AQ175" s="487" t="str">
        <f>+VLOOKUP($AJ175,Data_Validation!$A:$D,4,0)</f>
        <v>Publicité 1</v>
      </c>
      <c r="AR175" s="487" t="s">
        <v>299</v>
      </c>
      <c r="AS175" s="487">
        <f>+VLOOKUP($AJ175,Data_Validation!$A:$E,5,0)</f>
        <v>0</v>
      </c>
      <c r="AT175" s="904" t="str">
        <f t="shared" si="15"/>
        <v>G0661</v>
      </c>
      <c r="AU175" s="488" t="str">
        <f t="shared" si="16"/>
        <v>CONTRIBUTIONS-NEUF</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2026</v>
      </c>
      <c r="C176" s="706" t="s">
        <v>1453</v>
      </c>
      <c r="D176" s="706" t="s">
        <v>1454</v>
      </c>
      <c r="E176" s="706" t="s">
        <v>333</v>
      </c>
      <c r="F176" s="706" t="s">
        <v>1104</v>
      </c>
      <c r="G176" s="706">
        <v>0</v>
      </c>
      <c r="H176" s="706">
        <v>100</v>
      </c>
      <c r="I176" s="706">
        <v>100</v>
      </c>
      <c r="J176" s="706">
        <v>100</v>
      </c>
      <c r="K176" s="706">
        <v>100</v>
      </c>
      <c r="L176" s="706">
        <v>100</v>
      </c>
      <c r="M176" s="706">
        <v>100</v>
      </c>
      <c r="N176" s="706">
        <v>0</v>
      </c>
      <c r="O176" s="706">
        <v>0</v>
      </c>
      <c r="P176" s="706">
        <v>0</v>
      </c>
      <c r="Q176" s="706">
        <v>0</v>
      </c>
      <c r="R176" s="706">
        <v>0</v>
      </c>
      <c r="S176" s="706">
        <v>16.670000000000002</v>
      </c>
      <c r="T176" s="706">
        <v>16.670000000000002</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G0662</v>
      </c>
      <c r="AK176" s="905" t="str">
        <f t="shared" si="13"/>
        <v>CONTRIBUTIONS-USAGE</v>
      </c>
      <c r="AL176" s="905">
        <f>IFERROR(INDEX(G176:R176,1,MATCH(Parametres!$B$3,G$1:R$1,0)-1)*IF(OR(F176="L",F176="S",F176="I"),-1,1),"")</f>
        <v>100</v>
      </c>
      <c r="AM176" s="905">
        <f t="shared" si="14"/>
        <v>0</v>
      </c>
      <c r="AN176" s="905">
        <f>INDEX(G176:R176,1,MATCH(Parametres!$B$3,G$1:R$1,0))*IF(OR(F176="L",F176="S",F176="I"),-1,1)</f>
        <v>100</v>
      </c>
      <c r="AO176" s="487" t="str">
        <f>+VLOOKUP($AJ176,Data_Validation!$A:$D,1,0)</f>
        <v>G0662</v>
      </c>
      <c r="AP176" s="487" t="str">
        <f>+VLOOKUP($AJ176,Data_Validation!$A:$D,3,0)</f>
        <v>Véhicules usagés</v>
      </c>
      <c r="AQ176" s="487" t="str">
        <f>+VLOOKUP($AJ176,Data_Validation!$A:$D,4,0)</f>
        <v>Publicité 1</v>
      </c>
      <c r="AR176" s="487" t="s">
        <v>299</v>
      </c>
      <c r="AS176" s="487">
        <f>+VLOOKUP($AJ176,Data_Validation!$A:$E,5,0)</f>
        <v>0</v>
      </c>
      <c r="AT176" s="904" t="str">
        <f t="shared" si="15"/>
        <v>G0662</v>
      </c>
      <c r="AU176" s="488" t="str">
        <f t="shared" si="16"/>
        <v>CONTRIBUTIONS-USAGE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1455</v>
      </c>
      <c r="D177" s="706" t="s">
        <v>1456</v>
      </c>
      <c r="E177" s="706" t="s">
        <v>333</v>
      </c>
      <c r="F177" s="706" t="s">
        <v>1104</v>
      </c>
      <c r="G177" s="706">
        <v>0</v>
      </c>
      <c r="H177" s="706">
        <v>150</v>
      </c>
      <c r="I177" s="706">
        <v>150</v>
      </c>
      <c r="J177" s="706">
        <v>150</v>
      </c>
      <c r="K177" s="706">
        <v>150</v>
      </c>
      <c r="L177" s="706">
        <v>150</v>
      </c>
      <c r="M177" s="706">
        <v>150</v>
      </c>
      <c r="N177" s="706">
        <v>0</v>
      </c>
      <c r="O177" s="706">
        <v>0</v>
      </c>
      <c r="P177" s="706">
        <v>0</v>
      </c>
      <c r="Q177" s="706">
        <v>0</v>
      </c>
      <c r="R177" s="706">
        <v>0</v>
      </c>
      <c r="S177" s="706">
        <v>25</v>
      </c>
      <c r="T177" s="706">
        <v>25</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G0664</v>
      </c>
      <c r="AK177" s="905" t="str">
        <f t="shared" si="13"/>
        <v>CONTRIBUTIONS-SERVICE</v>
      </c>
      <c r="AL177" s="905">
        <f>IFERROR(INDEX(G177:R177,1,MATCH(Parametres!$B$3,G$1:R$1,0)-1)*IF(OR(F177="L",F177="S",F177="I"),-1,1),"")</f>
        <v>150</v>
      </c>
      <c r="AM177" s="905">
        <f t="shared" si="14"/>
        <v>0</v>
      </c>
      <c r="AN177" s="905">
        <f>INDEX(G177:R177,1,MATCH(Parametres!$B$3,G$1:R$1,0))*IF(OR(F177="L",F177="S",F177="I"),-1,1)</f>
        <v>150</v>
      </c>
      <c r="AO177" s="487" t="str">
        <f>+VLOOKUP($AJ177,Data_Validation!$A:$D,1,0)</f>
        <v>G0664</v>
      </c>
      <c r="AP177" s="487" t="str">
        <f>+VLOOKUP($AJ177,Data_Validation!$A:$D,3,0)</f>
        <v>Service</v>
      </c>
      <c r="AQ177" s="487" t="str">
        <f>+VLOOKUP($AJ177,Data_Validation!$A:$D,4,0)</f>
        <v>Publicité 2</v>
      </c>
      <c r="AR177" s="487" t="s">
        <v>299</v>
      </c>
      <c r="AS177" s="487">
        <f>+VLOOKUP($AJ177,Data_Validation!$A:$E,5,0)</f>
        <v>0</v>
      </c>
      <c r="AT177" s="904" t="str">
        <f t="shared" si="15"/>
        <v>G0664</v>
      </c>
      <c r="AU177" s="488" t="str">
        <f t="shared" si="16"/>
        <v>CONTRIBUTIONS-SERVICE</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customHeight="1">
      <c r="A178" s="706" t="s">
        <v>1148</v>
      </c>
      <c r="B178" s="706">
        <v>2026</v>
      </c>
      <c r="C178" s="706" t="s">
        <v>1457</v>
      </c>
      <c r="D178" s="706" t="s">
        <v>1458</v>
      </c>
      <c r="E178" s="706" t="s">
        <v>333</v>
      </c>
      <c r="F178" s="706" t="s">
        <v>1104</v>
      </c>
      <c r="G178" s="706">
        <v>0</v>
      </c>
      <c r="H178" s="706">
        <v>50</v>
      </c>
      <c r="I178" s="706">
        <v>50</v>
      </c>
      <c r="J178" s="706">
        <v>50</v>
      </c>
      <c r="K178" s="706">
        <v>50</v>
      </c>
      <c r="L178" s="706">
        <v>50</v>
      </c>
      <c r="M178" s="706">
        <v>50</v>
      </c>
      <c r="N178" s="706">
        <v>0</v>
      </c>
      <c r="O178" s="706">
        <v>0</v>
      </c>
      <c r="P178" s="706">
        <v>0</v>
      </c>
      <c r="Q178" s="706">
        <v>0</v>
      </c>
      <c r="R178" s="706">
        <v>0</v>
      </c>
      <c r="S178" s="706">
        <v>8.33</v>
      </c>
      <c r="T178" s="706">
        <v>8.33</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G0665</v>
      </c>
      <c r="AK178" s="905" t="str">
        <f t="shared" si="13"/>
        <v>CONTRIBUTIONS-B/S</v>
      </c>
      <c r="AL178" s="905">
        <f>IFERROR(INDEX(G178:R178,1,MATCH(Parametres!$B$3,G$1:R$1,0)-1)*IF(OR(F178="L",F178="S",F178="I"),-1,1),"")</f>
        <v>50</v>
      </c>
      <c r="AM178" s="905">
        <f t="shared" si="14"/>
        <v>0</v>
      </c>
      <c r="AN178" s="905">
        <f>INDEX(G178:R178,1,MATCH(Parametres!$B$3,G$1:R$1,0))*IF(OR(F178="L",F178="S",F178="I"),-1,1)</f>
        <v>50</v>
      </c>
      <c r="AO178" s="487" t="str">
        <f>+VLOOKUP($AJ178,Data_Validation!$A:$D,1,0)</f>
        <v>G0665</v>
      </c>
      <c r="AP178" s="487" t="str">
        <f>+VLOOKUP($AJ178,Data_Validation!$A:$D,3,0)</f>
        <v>Carrosserie</v>
      </c>
      <c r="AQ178" s="487" t="str">
        <f>+VLOOKUP($AJ178,Data_Validation!$A:$D,4,0)</f>
        <v>Publicité 2</v>
      </c>
      <c r="AR178" s="487" t="s">
        <v>299</v>
      </c>
      <c r="AS178" s="487">
        <f>+VLOOKUP($AJ178,Data_Validation!$A:$E,5,0)</f>
        <v>0</v>
      </c>
      <c r="AT178" s="904" t="str">
        <f t="shared" si="15"/>
        <v>G0665</v>
      </c>
      <c r="AU178" s="488" t="str">
        <f t="shared" si="16"/>
        <v>CONTRIBUTIONS-B/S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customHeight="1">
      <c r="A179" s="706" t="s">
        <v>1148</v>
      </c>
      <c r="B179" s="706">
        <v>2026</v>
      </c>
      <c r="C179" s="706" t="s">
        <v>1459</v>
      </c>
      <c r="D179" s="706" t="s">
        <v>1460</v>
      </c>
      <c r="E179" s="706" t="s">
        <v>333</v>
      </c>
      <c r="F179" s="706" t="s">
        <v>1104</v>
      </c>
      <c r="G179" s="706">
        <v>0</v>
      </c>
      <c r="H179" s="706">
        <v>0</v>
      </c>
      <c r="I179" s="706">
        <v>0</v>
      </c>
      <c r="J179" s="706">
        <v>0</v>
      </c>
      <c r="K179" s="706">
        <v>0</v>
      </c>
      <c r="L179" s="706">
        <v>0</v>
      </c>
      <c r="M179" s="706">
        <v>0</v>
      </c>
      <c r="N179" s="706">
        <v>0</v>
      </c>
      <c r="O179" s="706">
        <v>0</v>
      </c>
      <c r="P179" s="706">
        <v>0</v>
      </c>
      <c r="Q179" s="706">
        <v>0</v>
      </c>
      <c r="R179" s="706">
        <v>0</v>
      </c>
      <c r="S179" s="706">
        <v>0</v>
      </c>
      <c r="T179" s="706">
        <v>0</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G0666</v>
      </c>
      <c r="AK179" s="905" t="str">
        <f t="shared" si="13"/>
        <v>PROFIT PIECES VOLVO BODY</v>
      </c>
      <c r="AL179" s="905">
        <f>IFERROR(INDEX(G179:R179,1,MATCH(Parametres!$B$3,G$1:R$1,0)-1)*IF(OR(F179="L",F179="S",F179="I"),-1,1),"")</f>
        <v>0</v>
      </c>
      <c r="AM179" s="905">
        <f t="shared" si="14"/>
        <v>0</v>
      </c>
      <c r="AN179" s="905">
        <f>INDEX(G179:R179,1,MATCH(Parametres!$B$3,G$1:R$1,0))*IF(OR(F179="L",F179="S",F179="I"),-1,1)</f>
        <v>0</v>
      </c>
      <c r="AO179" s="487" t="str">
        <f>+VLOOKUP($AJ179,Data_Validation!$A:$D,1,0)</f>
        <v>G0666</v>
      </c>
      <c r="AP179" s="487" t="str">
        <f>+VLOOKUP($AJ179,Data_Validation!$A:$D,3,0)</f>
        <v>Pièces</v>
      </c>
      <c r="AQ179" s="487" t="str">
        <f>+VLOOKUP($AJ179,Data_Validation!$A:$D,4,0)</f>
        <v>Publicité 2</v>
      </c>
      <c r="AR179" s="487" t="s">
        <v>299</v>
      </c>
      <c r="AS179" s="487">
        <f>+VLOOKUP($AJ179,Data_Validation!$A:$E,5,0)</f>
        <v>0</v>
      </c>
      <c r="AT179" s="904" t="str">
        <f t="shared" si="15"/>
        <v>G0666</v>
      </c>
      <c r="AU179" s="488" t="str">
        <f t="shared" si="16"/>
        <v>PROFIT PIECES VOLVO BODY</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1461</v>
      </c>
      <c r="D180" s="706" t="s">
        <v>1462</v>
      </c>
      <c r="E180" s="706" t="s">
        <v>333</v>
      </c>
      <c r="F180" s="706" t="s">
        <v>1104</v>
      </c>
      <c r="G180" s="706">
        <v>497.55</v>
      </c>
      <c r="H180" s="706">
        <v>1427.49</v>
      </c>
      <c r="I180" s="706">
        <v>3542.16</v>
      </c>
      <c r="J180" s="706">
        <v>5077.13</v>
      </c>
      <c r="K180" s="706">
        <v>6931.14</v>
      </c>
      <c r="L180" s="706">
        <v>16847.89</v>
      </c>
      <c r="M180" s="706">
        <v>18518.68</v>
      </c>
      <c r="N180" s="706">
        <v>0</v>
      </c>
      <c r="O180" s="706">
        <v>0</v>
      </c>
      <c r="P180" s="706">
        <v>0</v>
      </c>
      <c r="Q180" s="706">
        <v>0</v>
      </c>
      <c r="R180" s="706">
        <v>0</v>
      </c>
      <c r="S180" s="706">
        <v>2807.98</v>
      </c>
      <c r="T180" s="706">
        <v>2807.98</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G0674</v>
      </c>
      <c r="AK180" s="905" t="str">
        <f t="shared" si="13"/>
        <v>REPRISE TRAVAIL SERVICE</v>
      </c>
      <c r="AL180" s="905">
        <f>IFERROR(INDEX(G180:R180,1,MATCH(Parametres!$B$3,G$1:R$1,0)-1)*IF(OR(F180="L",F180="S",F180="I"),-1,1),"")</f>
        <v>6931.14</v>
      </c>
      <c r="AM180" s="905">
        <f t="shared" si="14"/>
        <v>9916.75</v>
      </c>
      <c r="AN180" s="905">
        <f>INDEX(G180:R180,1,MATCH(Parametres!$B$3,G$1:R$1,0))*IF(OR(F180="L",F180="S",F180="I"),-1,1)</f>
        <v>16847.89</v>
      </c>
      <c r="AO180" s="487" t="str">
        <f>+VLOOKUP($AJ180,Data_Validation!$A:$D,1,0)</f>
        <v>G0674</v>
      </c>
      <c r="AP180" s="487" t="str">
        <f>+VLOOKUP($AJ180,Data_Validation!$A:$D,3,0)</f>
        <v>Service</v>
      </c>
      <c r="AQ180" s="487" t="str">
        <f>+VLOOKUP($AJ180,Data_Validation!$A:$D,4,0)</f>
        <v>Service gratuit 2</v>
      </c>
      <c r="AR180" s="487" t="s">
        <v>299</v>
      </c>
      <c r="AS180" s="487">
        <f>+VLOOKUP($AJ180,Data_Validation!$A:$E,5,0)</f>
        <v>0</v>
      </c>
      <c r="AT180" s="904" t="str">
        <f t="shared" si="15"/>
        <v>G0674</v>
      </c>
      <c r="AU180" s="488" t="str">
        <f t="shared" si="16"/>
        <v>REPRISE TRAVAIL SERVICE</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1463</v>
      </c>
      <c r="D181" s="706" t="s">
        <v>1464</v>
      </c>
      <c r="E181" s="706" t="s">
        <v>333</v>
      </c>
      <c r="F181" s="706" t="s">
        <v>1104</v>
      </c>
      <c r="G181" s="706">
        <v>380</v>
      </c>
      <c r="H181" s="706">
        <v>1440.25</v>
      </c>
      <c r="I181" s="706">
        <v>5113.63</v>
      </c>
      <c r="J181" s="706">
        <v>5196.08</v>
      </c>
      <c r="K181" s="706">
        <v>5371.08</v>
      </c>
      <c r="L181" s="706">
        <v>6226.7</v>
      </c>
      <c r="M181" s="706">
        <v>8782.7000000000007</v>
      </c>
      <c r="N181" s="706">
        <v>0</v>
      </c>
      <c r="O181" s="706">
        <v>0</v>
      </c>
      <c r="P181" s="706">
        <v>0</v>
      </c>
      <c r="Q181" s="706">
        <v>0</v>
      </c>
      <c r="R181" s="706">
        <v>0</v>
      </c>
      <c r="S181" s="706">
        <v>1037.78</v>
      </c>
      <c r="T181" s="706">
        <v>1037.78</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G0675</v>
      </c>
      <c r="AK181" s="905" t="str">
        <f t="shared" si="13"/>
        <v>REPRISE TRAVAIL-CARROSS.</v>
      </c>
      <c r="AL181" s="905">
        <f>IFERROR(INDEX(G181:R181,1,MATCH(Parametres!$B$3,G$1:R$1,0)-1)*IF(OR(F181="L",F181="S",F181="I"),-1,1),"")</f>
        <v>5371.08</v>
      </c>
      <c r="AM181" s="905">
        <f t="shared" si="14"/>
        <v>855.61999999999989</v>
      </c>
      <c r="AN181" s="905">
        <f>INDEX(G181:R181,1,MATCH(Parametres!$B$3,G$1:R$1,0))*IF(OR(F181="L",F181="S",F181="I"),-1,1)</f>
        <v>6226.7</v>
      </c>
      <c r="AO181" s="487" t="str">
        <f>+VLOOKUP($AJ181,Data_Validation!$A:$D,1,0)</f>
        <v>G0675</v>
      </c>
      <c r="AP181" s="487" t="str">
        <f>+VLOOKUP($AJ181,Data_Validation!$A:$D,3,0)</f>
        <v>Carrosserie</v>
      </c>
      <c r="AQ181" s="487" t="str">
        <f>+VLOOKUP($AJ181,Data_Validation!$A:$D,4,0)</f>
        <v>Service gratuit 2</v>
      </c>
      <c r="AR181" s="487" t="s">
        <v>299</v>
      </c>
      <c r="AS181" s="487">
        <f>+VLOOKUP($AJ181,Data_Validation!$A:$E,5,0)</f>
        <v>0</v>
      </c>
      <c r="AT181" s="904" t="str">
        <f t="shared" si="15"/>
        <v>G0675</v>
      </c>
      <c r="AU181" s="488" t="str">
        <f t="shared" si="16"/>
        <v>REPRISE TRAVAIL-CARROSS.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1465</v>
      </c>
      <c r="D182" s="706" t="s">
        <v>1466</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G0676</v>
      </c>
      <c r="AK182" s="905" t="str">
        <f t="shared" si="13"/>
        <v>REPRISE TRAVAIL-PIECES</v>
      </c>
      <c r="AL182" s="905">
        <f>IFERROR(INDEX(G182:R182,1,MATCH(Parametres!$B$3,G$1:R$1,0)-1)*IF(OR(F182="L",F182="S",F182="I"),-1,1),"")</f>
        <v>0</v>
      </c>
      <c r="AM182" s="905">
        <f t="shared" si="14"/>
        <v>0</v>
      </c>
      <c r="AN182" s="905">
        <f>INDEX(G182:R182,1,MATCH(Parametres!$B$3,G$1:R$1,0))*IF(OR(F182="L",F182="S",F182="I"),-1,1)</f>
        <v>0</v>
      </c>
      <c r="AO182" s="487" t="str">
        <f>+VLOOKUP($AJ182,Data_Validation!$A:$D,1,0)</f>
        <v>G0676</v>
      </c>
      <c r="AP182" s="487" t="str">
        <f>+VLOOKUP($AJ182,Data_Validation!$A:$D,3,0)</f>
        <v>Pièces</v>
      </c>
      <c r="AQ182" s="487" t="str">
        <f>+VLOOKUP($AJ182,Data_Validation!$A:$D,4,0)</f>
        <v>Service gratuit 2</v>
      </c>
      <c r="AR182" s="487" t="s">
        <v>299</v>
      </c>
      <c r="AS182" s="487">
        <f>+VLOOKUP($AJ182,Data_Validation!$A:$E,5,0)</f>
        <v>0</v>
      </c>
      <c r="AT182" s="904" t="str">
        <f t="shared" si="15"/>
        <v>G0676</v>
      </c>
      <c r="AU182" s="488" t="str">
        <f t="shared" si="16"/>
        <v>REPRISE TRAVAIL-PIECES</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3206</v>
      </c>
      <c r="D183" s="706" t="s">
        <v>3207</v>
      </c>
      <c r="E183" s="706" t="s">
        <v>333</v>
      </c>
      <c r="F183" s="706" t="s">
        <v>1104</v>
      </c>
      <c r="G183" s="706">
        <v>0</v>
      </c>
      <c r="H183" s="706">
        <v>0</v>
      </c>
      <c r="I183" s="706">
        <v>0</v>
      </c>
      <c r="J183" s="706">
        <v>0</v>
      </c>
      <c r="K183" s="706">
        <v>0</v>
      </c>
      <c r="L183" s="706">
        <v>80.48</v>
      </c>
      <c r="M183" s="706">
        <v>80.48</v>
      </c>
      <c r="N183" s="706">
        <v>0</v>
      </c>
      <c r="O183" s="706">
        <v>0</v>
      </c>
      <c r="P183" s="706">
        <v>0</v>
      </c>
      <c r="Q183" s="706">
        <v>0</v>
      </c>
      <c r="R183" s="706">
        <v>0</v>
      </c>
      <c r="S183" s="706">
        <v>13.41</v>
      </c>
      <c r="T183" s="706">
        <v>13.41</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G0677</v>
      </c>
      <c r="AK183" s="905" t="str">
        <f t="shared" si="13"/>
        <v>REPRISE TRAVAIL SAAQ</v>
      </c>
      <c r="AL183" s="905">
        <f>IFERROR(INDEX(G183:R183,1,MATCH(Parametres!$B$3,G$1:R$1,0)-1)*IF(OR(F183="L",F183="S",F183="I"),-1,1),"")</f>
        <v>0</v>
      </c>
      <c r="AM183" s="905">
        <f t="shared" si="14"/>
        <v>80.48</v>
      </c>
      <c r="AN183" s="905">
        <f>INDEX(G183:R183,1,MATCH(Parametres!$B$3,G$1:R$1,0))*IF(OR(F183="L",F183="S",F183="I"),-1,1)</f>
        <v>80.48</v>
      </c>
      <c r="AO183" s="487" t="str">
        <f>+VLOOKUP($AJ183,Data_Validation!$A:$D,1,0)</f>
        <v>G0677</v>
      </c>
      <c r="AP183" s="487" t="str">
        <f>+VLOOKUP($AJ183,Data_Validation!$A:$D,3,0)</f>
        <v>SAAQ</v>
      </c>
      <c r="AQ183" s="487" t="str">
        <f>+VLOOKUP($AJ183,Data_Validation!$A:$D,4,0)</f>
        <v>Service gratuit 2</v>
      </c>
      <c r="AR183" s="487" t="s">
        <v>299</v>
      </c>
      <c r="AS183" s="487">
        <f>+VLOOKUP($AJ183,Data_Validation!$A:$E,5,0)</f>
        <v>0</v>
      </c>
      <c r="AT183" s="904" t="str">
        <f t="shared" si="15"/>
        <v>G0677</v>
      </c>
      <c r="AU183" s="488" t="str">
        <f t="shared" si="16"/>
        <v>REPRISE TRAVAIL SAAQ</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customHeight="1">
      <c r="A184" s="706" t="s">
        <v>1148</v>
      </c>
      <c r="B184" s="706">
        <v>2026</v>
      </c>
      <c r="C184" s="706" t="s">
        <v>1467</v>
      </c>
      <c r="D184" s="706" t="s">
        <v>1468</v>
      </c>
      <c r="E184" s="706" t="s">
        <v>333</v>
      </c>
      <c r="F184" s="706" t="s">
        <v>1104</v>
      </c>
      <c r="G184" s="706">
        <v>0</v>
      </c>
      <c r="H184" s="706">
        <v>0</v>
      </c>
      <c r="I184" s="706">
        <v>0</v>
      </c>
      <c r="J184" s="706">
        <v>0</v>
      </c>
      <c r="K184" s="706">
        <v>0</v>
      </c>
      <c r="L184" s="706">
        <v>0</v>
      </c>
      <c r="M184" s="706">
        <v>0</v>
      </c>
      <c r="N184" s="706">
        <v>0</v>
      </c>
      <c r="O184" s="706">
        <v>0</v>
      </c>
      <c r="P184" s="706">
        <v>0</v>
      </c>
      <c r="Q184" s="706">
        <v>0</v>
      </c>
      <c r="R184" s="706">
        <v>0</v>
      </c>
      <c r="S184" s="706">
        <v>0</v>
      </c>
      <c r="T184" s="706">
        <v>0</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G0680</v>
      </c>
      <c r="AK184" s="905" t="str">
        <f t="shared" si="13"/>
        <v>SERV INFORMATIQUE REP</v>
      </c>
      <c r="AL184" s="905">
        <f>IFERROR(INDEX(G184:R184,1,MATCH(Parametres!$B$3,G$1:R$1,0)-1)*IF(OR(F184="L",F184="S",F184="I"),-1,1),"")</f>
        <v>0</v>
      </c>
      <c r="AM184" s="905">
        <f t="shared" si="14"/>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t="str">
        <f t="shared" si="15"/>
        <v>G0680</v>
      </c>
      <c r="AU184" s="488" t="str">
        <f t="shared" si="16"/>
        <v>SERV INFORMATIQUE REP</v>
      </c>
      <c r="AV184" s="899">
        <f>IFERROR(INDEX(V184:AG184,1,MATCH(Parametres!$B$3,V$1:AG$1,0)-1)*IF(OR(C184="L",C184="S",C184="I"),-1,1),"")</f>
        <v>0</v>
      </c>
      <c r="AW184" s="899">
        <f t="shared" si="17"/>
        <v>0</v>
      </c>
      <c r="AX184" s="899">
        <f>INDEX(V184:AG184,1,MATCH(Parametres!$B$3,V$1:AG$1,0))*IF(OR(C184="L",C184="S",C184="I"),-1,1)</f>
        <v>0</v>
      </c>
      <c r="AY184" s="487" t="s">
        <v>337</v>
      </c>
      <c r="AZ184" s="487" t="e">
        <f>+VLOOKUP($AJ184,Data_Validation!$A:$E,5,0)</f>
        <v>#N/A</v>
      </c>
    </row>
    <row r="185" spans="1:52" ht="15.75" customHeight="1">
      <c r="A185" s="706" t="s">
        <v>1148</v>
      </c>
      <c r="B185" s="706">
        <v>2026</v>
      </c>
      <c r="C185" s="706" t="s">
        <v>1469</v>
      </c>
      <c r="D185" s="706" t="s">
        <v>1470</v>
      </c>
      <c r="E185" s="706" t="s">
        <v>333</v>
      </c>
      <c r="F185" s="706" t="s">
        <v>1104</v>
      </c>
      <c r="G185" s="706">
        <v>3568.38</v>
      </c>
      <c r="H185" s="706">
        <v>6502.59</v>
      </c>
      <c r="I185" s="706">
        <v>8672.77</v>
      </c>
      <c r="J185" s="706">
        <v>11508.67</v>
      </c>
      <c r="K185" s="706">
        <v>15510.35</v>
      </c>
      <c r="L185" s="706">
        <v>18177.32</v>
      </c>
      <c r="M185" s="706">
        <v>19474.61</v>
      </c>
      <c r="N185" s="706">
        <v>0</v>
      </c>
      <c r="O185" s="706">
        <v>0</v>
      </c>
      <c r="P185" s="706">
        <v>0</v>
      </c>
      <c r="Q185" s="706">
        <v>0</v>
      </c>
      <c r="R185" s="706">
        <v>0</v>
      </c>
      <c r="S185" s="706">
        <v>3029.55</v>
      </c>
      <c r="T185" s="706">
        <v>3029.55</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G0681</v>
      </c>
      <c r="AK185" s="905" t="str">
        <f t="shared" si="13"/>
        <v>SERV.INFORMATIQUE-NEUF</v>
      </c>
      <c r="AL185" s="905">
        <f>IFERROR(INDEX(G185:R185,1,MATCH(Parametres!$B$3,G$1:R$1,0)-1)*IF(OR(F185="L",F185="S",F185="I"),-1,1),"")</f>
        <v>15510.35</v>
      </c>
      <c r="AM185" s="905">
        <f t="shared" si="14"/>
        <v>2666.9699999999993</v>
      </c>
      <c r="AN185" s="905">
        <f>INDEX(G185:R185,1,MATCH(Parametres!$B$3,G$1:R$1,0))*IF(OR(F185="L",F185="S",F185="I"),-1,1)</f>
        <v>18177.32</v>
      </c>
      <c r="AO185" s="487" t="str">
        <f>+VLOOKUP($AJ185,Data_Validation!$A:$D,1,0)</f>
        <v>G0681</v>
      </c>
      <c r="AP185" s="487" t="str">
        <f>+VLOOKUP($AJ185,Data_Validation!$A:$D,3,0)</f>
        <v>Véhicules neufs</v>
      </c>
      <c r="AQ185" s="487" t="str">
        <f>+VLOOKUP($AJ185,Data_Validation!$A:$D,4,0)</f>
        <v>Informatique</v>
      </c>
      <c r="AR185" s="487" t="s">
        <v>299</v>
      </c>
      <c r="AS185" s="487">
        <f>+VLOOKUP($AJ185,Data_Validation!$A:$E,5,0)</f>
        <v>0</v>
      </c>
      <c r="AT185" s="904" t="str">
        <f t="shared" si="15"/>
        <v>G0681</v>
      </c>
      <c r="AU185" s="488" t="str">
        <f t="shared" si="16"/>
        <v>SERV.INFORMATIQUE-NEUF</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1471</v>
      </c>
      <c r="D186" s="706" t="s">
        <v>1472</v>
      </c>
      <c r="E186" s="706" t="s">
        <v>333</v>
      </c>
      <c r="F186" s="706" t="s">
        <v>1104</v>
      </c>
      <c r="G186" s="706">
        <v>1895.86</v>
      </c>
      <c r="H186" s="706">
        <v>2775.23</v>
      </c>
      <c r="I186" s="706">
        <v>3760.92</v>
      </c>
      <c r="J186" s="706">
        <v>5156.92</v>
      </c>
      <c r="K186" s="706">
        <v>6829.61</v>
      </c>
      <c r="L186" s="706">
        <v>8077.16</v>
      </c>
      <c r="M186" s="706">
        <v>8856.69</v>
      </c>
      <c r="N186" s="706">
        <v>0</v>
      </c>
      <c r="O186" s="706">
        <v>0</v>
      </c>
      <c r="P186" s="706">
        <v>0</v>
      </c>
      <c r="Q186" s="706">
        <v>0</v>
      </c>
      <c r="R186" s="706">
        <v>0</v>
      </c>
      <c r="S186" s="706">
        <v>1346.19</v>
      </c>
      <c r="T186" s="706">
        <v>1346.19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G0682</v>
      </c>
      <c r="AK186" s="905" t="str">
        <f t="shared" si="13"/>
        <v>SERV.INFORMATIQUE-USAGE</v>
      </c>
      <c r="AL186" s="905">
        <f>IFERROR(INDEX(G186:R186,1,MATCH(Parametres!$B$3,G$1:R$1,0)-1)*IF(OR(F186="L",F186="S",F186="I"),-1,1),"")</f>
        <v>6829.61</v>
      </c>
      <c r="AM186" s="905">
        <f t="shared" si="14"/>
        <v>1247.5500000000002</v>
      </c>
      <c r="AN186" s="905">
        <f>INDEX(G186:R186,1,MATCH(Parametres!$B$3,G$1:R$1,0))*IF(OR(F186="L",F186="S",F186="I"),-1,1)</f>
        <v>8077.16</v>
      </c>
      <c r="AO186" s="487" t="str">
        <f>+VLOOKUP($AJ186,Data_Validation!$A:$D,1,0)</f>
        <v>G0682</v>
      </c>
      <c r="AP186" s="487" t="str">
        <f>+VLOOKUP($AJ186,Data_Validation!$A:$D,3,0)</f>
        <v>Véhicules usagés</v>
      </c>
      <c r="AQ186" s="487" t="str">
        <f>+VLOOKUP($AJ186,Data_Validation!$A:$D,4,0)</f>
        <v>Informatique</v>
      </c>
      <c r="AR186" s="487" t="s">
        <v>299</v>
      </c>
      <c r="AS186" s="487">
        <f>+VLOOKUP($AJ186,Data_Validation!$A:$E,5,0)</f>
        <v>0</v>
      </c>
      <c r="AT186" s="904" t="str">
        <f t="shared" si="15"/>
        <v>G0682</v>
      </c>
      <c r="AU186" s="488" t="str">
        <f t="shared" si="16"/>
        <v>SERV.INFORMATIQUE-USAGE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customHeight="1">
      <c r="A187" s="706" t="s">
        <v>1148</v>
      </c>
      <c r="B187" s="706">
        <v>2026</v>
      </c>
      <c r="C187" s="706" t="s">
        <v>1473</v>
      </c>
      <c r="D187" s="706" t="s">
        <v>1474</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G0683</v>
      </c>
      <c r="AK187" s="905" t="str">
        <f t="shared" si="13"/>
        <v>SERV. INFORMAT. U.S.A</v>
      </c>
      <c r="AL187" s="905">
        <f>IFERROR(INDEX(G187:R187,1,MATCH(Parametres!$B$3,G$1:R$1,0)-1)*IF(OR(F187="L",F187="S",F187="I"),-1,1),"")</f>
        <v>0</v>
      </c>
      <c r="AM187" s="905">
        <f t="shared" si="14"/>
        <v>0</v>
      </c>
      <c r="AN187" s="905">
        <f>INDEX(G187:R187,1,MATCH(Parametres!$B$3,G$1:R$1,0))*IF(OR(F187="L",F187="S",F187="I"),-1,1)</f>
        <v>0</v>
      </c>
      <c r="AO187" s="487" t="str">
        <f>+VLOOKUP($AJ187,Data_Validation!$A:$D,1,0)</f>
        <v>G0683</v>
      </c>
      <c r="AP187" s="487" t="str">
        <f>+VLOOKUP($AJ187,Data_Validation!$A:$D,3,0)</f>
        <v>Wholesale autres</v>
      </c>
      <c r="AQ187" s="487" t="str">
        <f>+VLOOKUP($AJ187,Data_Validation!$A:$D,4,0)</f>
        <v>Informatique</v>
      </c>
      <c r="AR187" s="487" t="s">
        <v>299</v>
      </c>
      <c r="AS187" s="487">
        <f>+VLOOKUP($AJ187,Data_Validation!$A:$E,5,0)</f>
        <v>0</v>
      </c>
      <c r="AT187" s="904" t="str">
        <f t="shared" si="15"/>
        <v>G0683</v>
      </c>
      <c r="AU187" s="488" t="str">
        <f t="shared" si="16"/>
        <v>SERV. INFORMAT. U.S.A</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customHeight="1">
      <c r="A188" s="706" t="s">
        <v>1148</v>
      </c>
      <c r="B188" s="706">
        <v>2026</v>
      </c>
      <c r="C188" s="706" t="s">
        <v>1475</v>
      </c>
      <c r="D188" s="706" t="s">
        <v>1476</v>
      </c>
      <c r="E188" s="706" t="s">
        <v>333</v>
      </c>
      <c r="F188" s="706" t="s">
        <v>1104</v>
      </c>
      <c r="G188" s="706">
        <v>3715.02</v>
      </c>
      <c r="H188" s="706">
        <v>5108.2299999999996</v>
      </c>
      <c r="I188" s="706">
        <v>7457.99</v>
      </c>
      <c r="J188" s="706">
        <v>10406.549999999999</v>
      </c>
      <c r="K188" s="706">
        <v>13191.94</v>
      </c>
      <c r="L188" s="706">
        <v>16679.64</v>
      </c>
      <c r="M188" s="706">
        <v>18684.64</v>
      </c>
      <c r="N188" s="706">
        <v>0</v>
      </c>
      <c r="O188" s="706">
        <v>0</v>
      </c>
      <c r="P188" s="706">
        <v>0</v>
      </c>
      <c r="Q188" s="706">
        <v>0</v>
      </c>
      <c r="R188" s="706">
        <v>0</v>
      </c>
      <c r="S188" s="706">
        <v>2779.94</v>
      </c>
      <c r="T188" s="706">
        <v>2779.94</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G0684</v>
      </c>
      <c r="AK188" s="905" t="str">
        <f t="shared" si="13"/>
        <v>SERV.INFORMATIQUE-SERV.</v>
      </c>
      <c r="AL188" s="905">
        <f>IFERROR(INDEX(G188:R188,1,MATCH(Parametres!$B$3,G$1:R$1,0)-1)*IF(OR(F188="L",F188="S",F188="I"),-1,1),"")</f>
        <v>13191.94</v>
      </c>
      <c r="AM188" s="905">
        <f t="shared" si="14"/>
        <v>3487.6999999999989</v>
      </c>
      <c r="AN188" s="905">
        <f>INDEX(G188:R188,1,MATCH(Parametres!$B$3,G$1:R$1,0))*IF(OR(F188="L",F188="S",F188="I"),-1,1)</f>
        <v>16679.64</v>
      </c>
      <c r="AO188" s="487" t="str">
        <f>+VLOOKUP($AJ188,Data_Validation!$A:$D,1,0)</f>
        <v>G0684</v>
      </c>
      <c r="AP188" s="487" t="str">
        <f>+VLOOKUP($AJ188,Data_Validation!$A:$D,3,0)</f>
        <v>Service</v>
      </c>
      <c r="AQ188" s="487" t="str">
        <f>+VLOOKUP($AJ188,Data_Validation!$A:$D,4,0)</f>
        <v>Informatique</v>
      </c>
      <c r="AR188" s="487" t="s">
        <v>299</v>
      </c>
      <c r="AS188" s="487">
        <f>+VLOOKUP($AJ188,Data_Validation!$A:$E,5,0)</f>
        <v>0</v>
      </c>
      <c r="AT188" s="904" t="str">
        <f t="shared" si="15"/>
        <v>G0684</v>
      </c>
      <c r="AU188" s="488" t="str">
        <f t="shared" si="16"/>
        <v>SERV.INFORMATIQUE-SERV.</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1477</v>
      </c>
      <c r="D189" s="706" t="s">
        <v>1478</v>
      </c>
      <c r="E189" s="706" t="s">
        <v>333</v>
      </c>
      <c r="F189" s="706" t="s">
        <v>1104</v>
      </c>
      <c r="G189" s="706">
        <v>2525.29</v>
      </c>
      <c r="H189" s="706">
        <v>3650.5</v>
      </c>
      <c r="I189" s="706">
        <v>6449.36</v>
      </c>
      <c r="J189" s="706">
        <v>8975.31</v>
      </c>
      <c r="K189" s="706">
        <v>10509.68</v>
      </c>
      <c r="L189" s="706">
        <v>12710.82</v>
      </c>
      <c r="M189" s="706">
        <v>14184.15</v>
      </c>
      <c r="N189" s="706">
        <v>0</v>
      </c>
      <c r="O189" s="706">
        <v>0</v>
      </c>
      <c r="P189" s="706">
        <v>0</v>
      </c>
      <c r="Q189" s="706">
        <v>0</v>
      </c>
      <c r="R189" s="706">
        <v>0</v>
      </c>
      <c r="S189" s="706">
        <v>2118.4699999999998</v>
      </c>
      <c r="T189" s="706">
        <v>2118.4699999999998</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G0685</v>
      </c>
      <c r="AK189" s="905" t="str">
        <f t="shared" si="13"/>
        <v>SERV.INFORMATIQUE-CARR.</v>
      </c>
      <c r="AL189" s="905">
        <f>IFERROR(INDEX(G189:R189,1,MATCH(Parametres!$B$3,G$1:R$1,0)-1)*IF(OR(F189="L",F189="S",F189="I"),-1,1),"")</f>
        <v>10509.68</v>
      </c>
      <c r="AM189" s="905">
        <f t="shared" si="14"/>
        <v>2201.1399999999994</v>
      </c>
      <c r="AN189" s="905">
        <f>INDEX(G189:R189,1,MATCH(Parametres!$B$3,G$1:R$1,0))*IF(OR(F189="L",F189="S",F189="I"),-1,1)</f>
        <v>12710.82</v>
      </c>
      <c r="AO189" s="487" t="str">
        <f>+VLOOKUP($AJ189,Data_Validation!$A:$D,1,0)</f>
        <v>G0685</v>
      </c>
      <c r="AP189" s="487" t="str">
        <f>+VLOOKUP($AJ189,Data_Validation!$A:$D,3,0)</f>
        <v>Carrosserie</v>
      </c>
      <c r="AQ189" s="487" t="str">
        <f>+VLOOKUP($AJ189,Data_Validation!$A:$D,4,0)</f>
        <v>Informatique</v>
      </c>
      <c r="AR189" s="487" t="s">
        <v>299</v>
      </c>
      <c r="AS189" s="487">
        <f>+VLOOKUP($AJ189,Data_Validation!$A:$E,5,0)</f>
        <v>0</v>
      </c>
      <c r="AT189" s="904" t="str">
        <f t="shared" si="15"/>
        <v>G0685</v>
      </c>
      <c r="AU189" s="488" t="str">
        <f t="shared" si="16"/>
        <v>SERV.INFORMATIQUE-CARR.</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1479</v>
      </c>
      <c r="D190" s="706" t="s">
        <v>1480</v>
      </c>
      <c r="E190" s="706" t="s">
        <v>333</v>
      </c>
      <c r="F190" s="706" t="s">
        <v>1104</v>
      </c>
      <c r="G190" s="706">
        <v>2388.42</v>
      </c>
      <c r="H190" s="706">
        <v>3037.25</v>
      </c>
      <c r="I190" s="706">
        <v>4970.59</v>
      </c>
      <c r="J190" s="706">
        <v>7368.99</v>
      </c>
      <c r="K190" s="706">
        <v>9201.9599999999991</v>
      </c>
      <c r="L190" s="706">
        <v>11089.38</v>
      </c>
      <c r="M190" s="706">
        <v>12473.28</v>
      </c>
      <c r="N190" s="706">
        <v>0</v>
      </c>
      <c r="O190" s="706">
        <v>0</v>
      </c>
      <c r="P190" s="706">
        <v>0</v>
      </c>
      <c r="Q190" s="706">
        <v>0</v>
      </c>
      <c r="R190" s="706">
        <v>0</v>
      </c>
      <c r="S190" s="706">
        <v>1848.23</v>
      </c>
      <c r="T190" s="706">
        <v>1848.23</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G0686</v>
      </c>
      <c r="AK190" s="905" t="str">
        <f t="shared" si="13"/>
        <v>SERV.INFORMATIQUE-PIECES</v>
      </c>
      <c r="AL190" s="905">
        <f>IFERROR(INDEX(G190:R190,1,MATCH(Parametres!$B$3,G$1:R$1,0)-1)*IF(OR(F190="L",F190="S",F190="I"),-1,1),"")</f>
        <v>9201.9599999999991</v>
      </c>
      <c r="AM190" s="905">
        <f t="shared" si="14"/>
        <v>1887.42</v>
      </c>
      <c r="AN190" s="905">
        <f>INDEX(G190:R190,1,MATCH(Parametres!$B$3,G$1:R$1,0))*IF(OR(F190="L",F190="S",F190="I"),-1,1)</f>
        <v>11089.38</v>
      </c>
      <c r="AO190" s="487" t="str">
        <f>+VLOOKUP($AJ190,Data_Validation!$A:$D,1,0)</f>
        <v>G0686</v>
      </c>
      <c r="AP190" s="487" t="str">
        <f>+VLOOKUP($AJ190,Data_Validation!$A:$D,3,0)</f>
        <v>Pièces</v>
      </c>
      <c r="AQ190" s="487" t="str">
        <f>+VLOOKUP($AJ190,Data_Validation!$A:$D,4,0)</f>
        <v>Informatique</v>
      </c>
      <c r="AR190" s="487" t="s">
        <v>299</v>
      </c>
      <c r="AS190" s="487">
        <f>+VLOOKUP($AJ190,Data_Validation!$A:$E,5,0)</f>
        <v>0</v>
      </c>
      <c r="AT190" s="904" t="str">
        <f t="shared" si="15"/>
        <v>G0686</v>
      </c>
      <c r="AU190" s="488" t="str">
        <f t="shared" si="16"/>
        <v>SERV.INFORMATIQUE-PIECES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1481</v>
      </c>
      <c r="D191" s="706" t="s">
        <v>1482</v>
      </c>
      <c r="E191" s="706" t="s">
        <v>333</v>
      </c>
      <c r="F191" s="706" t="s">
        <v>1104</v>
      </c>
      <c r="G191" s="706">
        <v>0</v>
      </c>
      <c r="H191" s="706">
        <v>0</v>
      </c>
      <c r="I191" s="706">
        <v>0</v>
      </c>
      <c r="J191" s="706">
        <v>0</v>
      </c>
      <c r="K191" s="706">
        <v>0</v>
      </c>
      <c r="L191" s="706">
        <v>0</v>
      </c>
      <c r="M191" s="706">
        <v>0</v>
      </c>
      <c r="N191" s="706">
        <v>0</v>
      </c>
      <c r="O191" s="706">
        <v>0</v>
      </c>
      <c r="P191" s="706">
        <v>0</v>
      </c>
      <c r="Q191" s="706">
        <v>0</v>
      </c>
      <c r="R191" s="706">
        <v>0</v>
      </c>
      <c r="S191" s="706">
        <v>0</v>
      </c>
      <c r="T191" s="706">
        <v>0</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G0687</v>
      </c>
      <c r="AK191" s="905" t="str">
        <f t="shared" si="13"/>
        <v>SERV.INFORMATIQUE-PIECE</v>
      </c>
      <c r="AL191" s="905">
        <f>IFERROR(INDEX(G191:R191,1,MATCH(Parametres!$B$3,G$1:R$1,0)-1)*IF(OR(F191="L",F191="S",F191="I"),-1,1),"")</f>
        <v>0</v>
      </c>
      <c r="AM191" s="905">
        <f t="shared" si="14"/>
        <v>0</v>
      </c>
      <c r="AN191" s="905">
        <f>INDEX(G191:R191,1,MATCH(Parametres!$B$3,G$1:R$1,0))*IF(OR(F191="L",F191="S",F191="I"),-1,1)</f>
        <v>0</v>
      </c>
      <c r="AO191" s="487" t="str">
        <f>+VLOOKUP($AJ191,Data_Validation!$A:$D,1,0)</f>
        <v>G0687</v>
      </c>
      <c r="AP191" s="487" t="str">
        <f>+VLOOKUP($AJ191,Data_Validation!$A:$D,3,0)</f>
        <v>SAAQ</v>
      </c>
      <c r="AQ191" s="487" t="str">
        <f>+VLOOKUP($AJ191,Data_Validation!$A:$D,4,0)</f>
        <v>Informatique</v>
      </c>
      <c r="AR191" s="487" t="s">
        <v>299</v>
      </c>
      <c r="AS191" s="487">
        <f>+VLOOKUP($AJ191,Data_Validation!$A:$E,5,0)</f>
        <v>0</v>
      </c>
      <c r="AT191" s="904" t="str">
        <f t="shared" si="15"/>
        <v>G0687</v>
      </c>
      <c r="AU191" s="488" t="str">
        <f t="shared" si="16"/>
        <v>SERV.INFORMATIQUE-PIECE</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1483</v>
      </c>
      <c r="D192" s="706" t="s">
        <v>1484</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G0689</v>
      </c>
      <c r="AK192" s="905" t="str">
        <f t="shared" si="13"/>
        <v>SERV.INFORMATIQUE-ADMIN</v>
      </c>
      <c r="AL192" s="905">
        <f>IFERROR(INDEX(G192:R192,1,MATCH(Parametres!$B$3,G$1:R$1,0)-1)*IF(OR(F192="L",F192="S",F192="I"),-1,1),"")</f>
        <v>0</v>
      </c>
      <c r="AM192" s="905">
        <f t="shared" si="14"/>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t="str">
        <f t="shared" si="15"/>
        <v>G0689</v>
      </c>
      <c r="AU192" s="488" t="str">
        <f t="shared" si="16"/>
        <v>SERV.INFORMATIQUE-ADMIN</v>
      </c>
      <c r="AV192" s="899">
        <f>IFERROR(INDEX(V192:AG192,1,MATCH(Parametres!$B$3,V$1:AG$1,0)-1)*IF(OR(C192="L",C192="S",C192="I"),-1,1),"")</f>
        <v>0</v>
      </c>
      <c r="AW192" s="899">
        <f t="shared" si="17"/>
        <v>0</v>
      </c>
      <c r="AX192" s="899">
        <f>INDEX(V192:AG192,1,MATCH(Parametres!$B$3,V$1:AG$1,0))*IF(OR(C192="L",C192="S",C192="I"),-1,1)</f>
        <v>0</v>
      </c>
      <c r="AY192" s="487" t="s">
        <v>337</v>
      </c>
      <c r="AZ192" s="487" t="e">
        <f>+VLOOKUP($AJ192,Data_Validation!$A:$E,5,0)</f>
        <v>#N/A</v>
      </c>
    </row>
    <row r="193" spans="1:52" ht="15" customHeight="1">
      <c r="A193" s="706" t="s">
        <v>1148</v>
      </c>
      <c r="B193" s="706">
        <v>2026</v>
      </c>
      <c r="C193" s="706" t="s">
        <v>1485</v>
      </c>
      <c r="D193" s="706" t="s">
        <v>1486</v>
      </c>
      <c r="E193" s="706" t="s">
        <v>333</v>
      </c>
      <c r="F193" s="706" t="s">
        <v>1104</v>
      </c>
      <c r="G193" s="706">
        <v>0</v>
      </c>
      <c r="H193" s="706">
        <v>0</v>
      </c>
      <c r="I193" s="706">
        <v>0</v>
      </c>
      <c r="J193" s="706">
        <v>0</v>
      </c>
      <c r="K193" s="706">
        <v>0</v>
      </c>
      <c r="L193" s="706">
        <v>0</v>
      </c>
      <c r="M193" s="706">
        <v>0</v>
      </c>
      <c r="N193" s="706">
        <v>0</v>
      </c>
      <c r="O193" s="706">
        <v>0</v>
      </c>
      <c r="P193" s="706">
        <v>0</v>
      </c>
      <c r="Q193" s="706">
        <v>0</v>
      </c>
      <c r="R193" s="706">
        <v>0</v>
      </c>
      <c r="S193" s="706">
        <v>0</v>
      </c>
      <c r="T193" s="706">
        <v>0</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G0690</v>
      </c>
      <c r="AK193" s="905" t="str">
        <f t="shared" si="13"/>
        <v>SERV EXTERIEUR REP</v>
      </c>
      <c r="AL193" s="905">
        <f>IFERROR(INDEX(G193:R193,1,MATCH(Parametres!$B$3,G$1:R$1,0)-1)*IF(OR(F193="L",F193="S",F193="I"),-1,1),"")</f>
        <v>0</v>
      </c>
      <c r="AM193" s="905">
        <f t="shared" si="14"/>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t="str">
        <f t="shared" si="15"/>
        <v>G0690</v>
      </c>
      <c r="AU193" s="488" t="str">
        <f t="shared" si="16"/>
        <v>SERV EXTERIEUR REP</v>
      </c>
      <c r="AV193" s="899">
        <f>IFERROR(INDEX(V193:AG193,1,MATCH(Parametres!$B$3,V$1:AG$1,0)-1)*IF(OR(C193="L",C193="S",C193="I"),-1,1),"")</f>
        <v>0</v>
      </c>
      <c r="AW193" s="899">
        <f t="shared" si="17"/>
        <v>0</v>
      </c>
      <c r="AX193" s="899">
        <f>INDEX(V193:AG193,1,MATCH(Parametres!$B$3,V$1:AG$1,0))*IF(OR(C193="L",C193="S",C193="I"),-1,1)</f>
        <v>0</v>
      </c>
      <c r="AY193" s="487" t="s">
        <v>337</v>
      </c>
      <c r="AZ193" s="487" t="e">
        <f>+VLOOKUP($AJ193,Data_Validation!$A:$E,5,0)</f>
        <v>#N/A</v>
      </c>
    </row>
    <row r="194" spans="1:52" ht="15.75" customHeight="1">
      <c r="A194" s="706" t="s">
        <v>1148</v>
      </c>
      <c r="B194" s="706">
        <v>2026</v>
      </c>
      <c r="C194" s="706" t="s">
        <v>1487</v>
      </c>
      <c r="D194" s="706" t="s">
        <v>1488</v>
      </c>
      <c r="E194" s="706" t="s">
        <v>333</v>
      </c>
      <c r="F194" s="706" t="s">
        <v>1104</v>
      </c>
      <c r="G194" s="706">
        <v>4259.8500000000004</v>
      </c>
      <c r="H194" s="706">
        <v>8088.27</v>
      </c>
      <c r="I194" s="706">
        <v>12538.47</v>
      </c>
      <c r="J194" s="706">
        <v>15739.26</v>
      </c>
      <c r="K194" s="706">
        <v>20058.32</v>
      </c>
      <c r="L194" s="706">
        <v>25168.14</v>
      </c>
      <c r="M194" s="706">
        <v>27169.66</v>
      </c>
      <c r="N194" s="706">
        <v>0</v>
      </c>
      <c r="O194" s="706">
        <v>0</v>
      </c>
      <c r="P194" s="706">
        <v>0</v>
      </c>
      <c r="Q194" s="706">
        <v>0</v>
      </c>
      <c r="R194" s="706">
        <v>0</v>
      </c>
      <c r="S194" s="706">
        <v>4194.6899999999996</v>
      </c>
      <c r="T194" s="706">
        <v>4194.6899999999996</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G0691</v>
      </c>
      <c r="AK194" s="905" t="str">
        <f t="shared" si="13"/>
        <v>SERV. EXTERIEUR-NEUF</v>
      </c>
      <c r="AL194" s="905">
        <f>IFERROR(INDEX(G194:R194,1,MATCH(Parametres!$B$3,G$1:R$1,0)-1)*IF(OR(F194="L",F194="S",F194="I"),-1,1),"")</f>
        <v>20058.32</v>
      </c>
      <c r="AM194" s="905">
        <f t="shared" si="14"/>
        <v>5109.82</v>
      </c>
      <c r="AN194" s="905">
        <f>INDEX(G194:R194,1,MATCH(Parametres!$B$3,G$1:R$1,0))*IF(OR(F194="L",F194="S",F194="I"),-1,1)</f>
        <v>25168.14</v>
      </c>
      <c r="AO194" s="487" t="str">
        <f>+VLOOKUP($AJ194,Data_Validation!$A:$D,1,0)</f>
        <v>G0691</v>
      </c>
      <c r="AP194" s="487" t="str">
        <f>+VLOOKUP($AJ194,Data_Validation!$A:$D,3,0)</f>
        <v>Véhicules neufs</v>
      </c>
      <c r="AQ194" s="487" t="str">
        <f>+VLOOKUP($AJ194,Data_Validation!$A:$D,4,0)</f>
        <v>Services extérieurs</v>
      </c>
      <c r="AR194" s="487" t="s">
        <v>299</v>
      </c>
      <c r="AS194" s="487">
        <f>+VLOOKUP($AJ194,Data_Validation!$A:$E,5,0)</f>
        <v>0</v>
      </c>
      <c r="AT194" s="904" t="str">
        <f t="shared" si="15"/>
        <v>G0691</v>
      </c>
      <c r="AU194" s="488" t="str">
        <f t="shared" si="16"/>
        <v>SERV. EXTERIEUR-NEUF</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1489</v>
      </c>
      <c r="D195" s="706" t="s">
        <v>1490</v>
      </c>
      <c r="E195" s="706" t="s">
        <v>333</v>
      </c>
      <c r="F195" s="706" t="s">
        <v>1104</v>
      </c>
      <c r="G195" s="706">
        <v>2314.34</v>
      </c>
      <c r="H195" s="706">
        <v>4474.75</v>
      </c>
      <c r="I195" s="706">
        <v>7112.24</v>
      </c>
      <c r="J195" s="706">
        <v>8607.73</v>
      </c>
      <c r="K195" s="706">
        <v>10117.93</v>
      </c>
      <c r="L195" s="706">
        <v>12987</v>
      </c>
      <c r="M195" s="706">
        <v>14319.49</v>
      </c>
      <c r="N195" s="706">
        <v>0</v>
      </c>
      <c r="O195" s="706">
        <v>0</v>
      </c>
      <c r="P195" s="706">
        <v>0</v>
      </c>
      <c r="Q195" s="706">
        <v>0</v>
      </c>
      <c r="R195" s="706">
        <v>0</v>
      </c>
      <c r="S195" s="706">
        <v>2164.5</v>
      </c>
      <c r="T195" s="706">
        <v>2164.5</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G0692</v>
      </c>
      <c r="AK195" s="905" t="str">
        <f t="shared" si="13"/>
        <v>SERV. EXTERIEUR-USAGES</v>
      </c>
      <c r="AL195" s="905">
        <f>IFERROR(INDEX(G195:R195,1,MATCH(Parametres!$B$3,G$1:R$1,0)-1)*IF(OR(F195="L",F195="S",F195="I"),-1,1),"")</f>
        <v>10117.93</v>
      </c>
      <c r="AM195" s="905">
        <f t="shared" si="14"/>
        <v>2869.0699999999997</v>
      </c>
      <c r="AN195" s="905">
        <f>INDEX(G195:R195,1,MATCH(Parametres!$B$3,G$1:R$1,0))*IF(OR(F195="L",F195="S",F195="I"),-1,1)</f>
        <v>12987</v>
      </c>
      <c r="AO195" s="487" t="str">
        <f>+VLOOKUP($AJ195,Data_Validation!$A:$D,1,0)</f>
        <v>G0692</v>
      </c>
      <c r="AP195" s="487" t="str">
        <f>+VLOOKUP($AJ195,Data_Validation!$A:$D,3,0)</f>
        <v>Véhicules usagés</v>
      </c>
      <c r="AQ195" s="487" t="str">
        <f>+VLOOKUP($AJ195,Data_Validation!$A:$D,4,0)</f>
        <v>Services extérieurs</v>
      </c>
      <c r="AR195" s="487" t="s">
        <v>299</v>
      </c>
      <c r="AS195" s="487">
        <f>+VLOOKUP($AJ195,Data_Validation!$A:$E,5,0)</f>
        <v>0</v>
      </c>
      <c r="AT195" s="904" t="str">
        <f t="shared" si="15"/>
        <v>G0692</v>
      </c>
      <c r="AU195" s="488" t="str">
        <f t="shared" si="16"/>
        <v>SERV. EXTERIEUR-USAGES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1491</v>
      </c>
      <c r="D196" s="706" t="s">
        <v>1492</v>
      </c>
      <c r="E196" s="706" t="s">
        <v>333</v>
      </c>
      <c r="F196" s="706" t="s">
        <v>1104</v>
      </c>
      <c r="G196" s="706">
        <v>39.6</v>
      </c>
      <c r="H196" s="706">
        <v>39.6</v>
      </c>
      <c r="I196" s="706">
        <v>39.6</v>
      </c>
      <c r="J196" s="706">
        <v>528.26</v>
      </c>
      <c r="K196" s="706">
        <v>528.26</v>
      </c>
      <c r="L196" s="706">
        <v>528.26</v>
      </c>
      <c r="M196" s="706">
        <v>528.26</v>
      </c>
      <c r="N196" s="706">
        <v>0</v>
      </c>
      <c r="O196" s="706">
        <v>0</v>
      </c>
      <c r="P196" s="706">
        <v>0</v>
      </c>
      <c r="Q196" s="706">
        <v>0</v>
      </c>
      <c r="R196" s="706">
        <v>0</v>
      </c>
      <c r="S196" s="706">
        <v>88.04</v>
      </c>
      <c r="T196" s="706">
        <v>88.04</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G0693</v>
      </c>
      <c r="AK196" s="905" t="str">
        <f t="shared" ref="AK196:AK259" si="19">D196</f>
        <v>SERV. EXTERIEURS U.S.A</v>
      </c>
      <c r="AL196" s="905">
        <f>IFERROR(INDEX(G196:R196,1,MATCH(Parametres!$B$3,G$1:R$1,0)-1)*IF(OR(F196="L",F196="S",F196="I"),-1,1),"")</f>
        <v>528.26</v>
      </c>
      <c r="AM196" s="905">
        <f t="shared" ref="AM196:AM259" si="20">AN196-AL196</f>
        <v>0</v>
      </c>
      <c r="AN196" s="905">
        <f>INDEX(G196:R196,1,MATCH(Parametres!$B$3,G$1:R$1,0))*IF(OR(F196="L",F196="S",F196="I"),-1,1)</f>
        <v>528.26</v>
      </c>
      <c r="AO196" s="487" t="str">
        <f>+VLOOKUP($AJ196,Data_Validation!$A:$D,1,0)</f>
        <v>G0693</v>
      </c>
      <c r="AP196" s="487" t="str">
        <f>+VLOOKUP($AJ196,Data_Validation!$A:$D,3,0)</f>
        <v>Wholesale autres</v>
      </c>
      <c r="AQ196" s="487" t="str">
        <f>+VLOOKUP($AJ196,Data_Validation!$A:$D,4,0)</f>
        <v>Services extérieurs</v>
      </c>
      <c r="AR196" s="487" t="s">
        <v>299</v>
      </c>
      <c r="AS196" s="487">
        <f>+VLOOKUP($AJ196,Data_Validation!$A:$E,5,0)</f>
        <v>0</v>
      </c>
      <c r="AT196" s="904" t="str">
        <f t="shared" ref="AT196:AT259" si="21">C196</f>
        <v>G0693</v>
      </c>
      <c r="AU196" s="488" t="str">
        <f t="shared" ref="AU196:AU259" si="22">D196</f>
        <v>SERV. EXTERIEURS U.S.A</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1493</v>
      </c>
      <c r="D197" s="706" t="s">
        <v>1494</v>
      </c>
      <c r="E197" s="706" t="s">
        <v>333</v>
      </c>
      <c r="F197" s="706" t="s">
        <v>1104</v>
      </c>
      <c r="G197" s="706">
        <v>9973.2800000000007</v>
      </c>
      <c r="H197" s="706">
        <v>18785.29</v>
      </c>
      <c r="I197" s="706">
        <v>27155.02</v>
      </c>
      <c r="J197" s="706">
        <v>36448.18</v>
      </c>
      <c r="K197" s="706">
        <v>44278.11</v>
      </c>
      <c r="L197" s="706">
        <v>53556.34</v>
      </c>
      <c r="M197" s="706">
        <v>61288.33</v>
      </c>
      <c r="N197" s="706">
        <v>0</v>
      </c>
      <c r="O197" s="706">
        <v>0</v>
      </c>
      <c r="P197" s="706">
        <v>0</v>
      </c>
      <c r="Q197" s="706">
        <v>0</v>
      </c>
      <c r="R197" s="706">
        <v>0</v>
      </c>
      <c r="S197" s="706">
        <v>8926.06</v>
      </c>
      <c r="T197" s="706">
        <v>8926.06</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G0694</v>
      </c>
      <c r="AK197" s="905" t="str">
        <f t="shared" si="19"/>
        <v>SERV. EXTERIEUR-SERV.</v>
      </c>
      <c r="AL197" s="905">
        <f>IFERROR(INDEX(G197:R197,1,MATCH(Parametres!$B$3,G$1:R$1,0)-1)*IF(OR(F197="L",F197="S",F197="I"),-1,1),"")</f>
        <v>44278.11</v>
      </c>
      <c r="AM197" s="905">
        <f t="shared" si="20"/>
        <v>9278.2299999999959</v>
      </c>
      <c r="AN197" s="905">
        <f>INDEX(G197:R197,1,MATCH(Parametres!$B$3,G$1:R$1,0))*IF(OR(F197="L",F197="S",F197="I"),-1,1)</f>
        <v>53556.34</v>
      </c>
      <c r="AO197" s="487" t="str">
        <f>+VLOOKUP($AJ197,Data_Validation!$A:$D,1,0)</f>
        <v>G0694</v>
      </c>
      <c r="AP197" s="487" t="str">
        <f>+VLOOKUP($AJ197,Data_Validation!$A:$D,3,0)</f>
        <v>Service</v>
      </c>
      <c r="AQ197" s="487" t="str">
        <f>+VLOOKUP($AJ197,Data_Validation!$A:$D,4,0)</f>
        <v>Services extérieurs</v>
      </c>
      <c r="AR197" s="487" t="s">
        <v>299</v>
      </c>
      <c r="AS197" s="487">
        <f>+VLOOKUP($AJ197,Data_Validation!$A:$E,5,0)</f>
        <v>0</v>
      </c>
      <c r="AT197" s="904" t="str">
        <f t="shared" si="21"/>
        <v>G0694</v>
      </c>
      <c r="AU197" s="488" t="str">
        <f t="shared" si="22"/>
        <v>SERV. EXTERIEUR-SERV.</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1495</v>
      </c>
      <c r="D198" s="706" t="s">
        <v>1496</v>
      </c>
      <c r="E198" s="706" t="s">
        <v>333</v>
      </c>
      <c r="F198" s="706" t="s">
        <v>1104</v>
      </c>
      <c r="G198" s="706">
        <v>2101.29</v>
      </c>
      <c r="H198" s="706">
        <v>3901.49</v>
      </c>
      <c r="I198" s="706">
        <v>5838.99</v>
      </c>
      <c r="J198" s="706">
        <v>7555.37</v>
      </c>
      <c r="K198" s="706">
        <v>8977.6200000000008</v>
      </c>
      <c r="L198" s="706">
        <v>11016.28</v>
      </c>
      <c r="M198" s="706">
        <v>12420.53</v>
      </c>
      <c r="N198" s="706">
        <v>0</v>
      </c>
      <c r="O198" s="706">
        <v>0</v>
      </c>
      <c r="P198" s="706">
        <v>0</v>
      </c>
      <c r="Q198" s="706">
        <v>0</v>
      </c>
      <c r="R198" s="706">
        <v>0</v>
      </c>
      <c r="S198" s="706">
        <v>1836.05</v>
      </c>
      <c r="T198" s="706">
        <v>1836.05</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G0695</v>
      </c>
      <c r="AK198" s="905" t="str">
        <f t="shared" si="19"/>
        <v>SERV. EXTERIEUR-CARR.</v>
      </c>
      <c r="AL198" s="905">
        <f>IFERROR(INDEX(G198:R198,1,MATCH(Parametres!$B$3,G$1:R$1,0)-1)*IF(OR(F198="L",F198="S",F198="I"),-1,1),"")</f>
        <v>8977.6200000000008</v>
      </c>
      <c r="AM198" s="905">
        <f t="shared" si="20"/>
        <v>2038.6599999999999</v>
      </c>
      <c r="AN198" s="905">
        <f>INDEX(G198:R198,1,MATCH(Parametres!$B$3,G$1:R$1,0))*IF(OR(F198="L",F198="S",F198="I"),-1,1)</f>
        <v>11016.28</v>
      </c>
      <c r="AO198" s="487" t="str">
        <f>+VLOOKUP($AJ198,Data_Validation!$A:$D,1,0)</f>
        <v>G0695</v>
      </c>
      <c r="AP198" s="487" t="str">
        <f>+VLOOKUP($AJ198,Data_Validation!$A:$D,3,0)</f>
        <v>Carrosserie</v>
      </c>
      <c r="AQ198" s="487" t="str">
        <f>+VLOOKUP($AJ198,Data_Validation!$A:$D,4,0)</f>
        <v>Services extérieurs</v>
      </c>
      <c r="AR198" s="487" t="s">
        <v>299</v>
      </c>
      <c r="AS198" s="487">
        <f>+VLOOKUP($AJ198,Data_Validation!$A:$E,5,0)</f>
        <v>0</v>
      </c>
      <c r="AT198" s="904" t="str">
        <f t="shared" si="21"/>
        <v>G0695</v>
      </c>
      <c r="AU198" s="488" t="str">
        <f t="shared" si="22"/>
        <v>SERV. EXTERIEUR-CARR.</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1497</v>
      </c>
      <c r="D199" s="706" t="s">
        <v>1498</v>
      </c>
      <c r="E199" s="706" t="s">
        <v>333</v>
      </c>
      <c r="F199" s="706" t="s">
        <v>1104</v>
      </c>
      <c r="G199" s="706">
        <v>3359.94</v>
      </c>
      <c r="H199" s="706">
        <v>4440.1499999999996</v>
      </c>
      <c r="I199" s="706">
        <v>5758.86</v>
      </c>
      <c r="J199" s="706">
        <v>6506.59</v>
      </c>
      <c r="K199" s="706">
        <v>7261.67</v>
      </c>
      <c r="L199" s="706">
        <v>8696.2199999999993</v>
      </c>
      <c r="M199" s="706">
        <v>9362.4699999999993</v>
      </c>
      <c r="N199" s="706">
        <v>0</v>
      </c>
      <c r="O199" s="706">
        <v>0</v>
      </c>
      <c r="P199" s="706">
        <v>0</v>
      </c>
      <c r="Q199" s="706">
        <v>0</v>
      </c>
      <c r="R199" s="706">
        <v>0</v>
      </c>
      <c r="S199" s="706">
        <v>1449.37</v>
      </c>
      <c r="T199" s="706">
        <v>1449.37</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G0696</v>
      </c>
      <c r="AK199" s="905" t="str">
        <f t="shared" si="19"/>
        <v>SERV. EXTERIEUR-PIECES</v>
      </c>
      <c r="AL199" s="905">
        <f>IFERROR(INDEX(G199:R199,1,MATCH(Parametres!$B$3,G$1:R$1,0)-1)*IF(OR(F199="L",F199="S",F199="I"),-1,1),"")</f>
        <v>7261.67</v>
      </c>
      <c r="AM199" s="905">
        <f t="shared" si="20"/>
        <v>1434.5499999999993</v>
      </c>
      <c r="AN199" s="905">
        <f>INDEX(G199:R199,1,MATCH(Parametres!$B$3,G$1:R$1,0))*IF(OR(F199="L",F199="S",F199="I"),-1,1)</f>
        <v>8696.2199999999993</v>
      </c>
      <c r="AO199" s="487" t="str">
        <f>+VLOOKUP($AJ199,Data_Validation!$A:$D,1,0)</f>
        <v>G0696</v>
      </c>
      <c r="AP199" s="487" t="str">
        <f>+VLOOKUP($AJ199,Data_Validation!$A:$D,3,0)</f>
        <v>Pièces</v>
      </c>
      <c r="AQ199" s="487" t="str">
        <f>+VLOOKUP($AJ199,Data_Validation!$A:$D,4,0)</f>
        <v>Services extérieurs</v>
      </c>
      <c r="AR199" s="487" t="s">
        <v>299</v>
      </c>
      <c r="AS199" s="487">
        <f>+VLOOKUP($AJ199,Data_Validation!$A:$E,5,0)</f>
        <v>0</v>
      </c>
      <c r="AT199" s="904" t="str">
        <f t="shared" si="21"/>
        <v>G0696</v>
      </c>
      <c r="AU199" s="488" t="str">
        <f t="shared" si="22"/>
        <v>SERV. EXTERIEUR-PIECES</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1499</v>
      </c>
      <c r="D200" s="706" t="s">
        <v>1500</v>
      </c>
      <c r="E200" s="706" t="s">
        <v>333</v>
      </c>
      <c r="F200" s="706" t="s">
        <v>1104</v>
      </c>
      <c r="G200" s="706">
        <v>0</v>
      </c>
      <c r="H200" s="706">
        <v>0</v>
      </c>
      <c r="I200" s="706">
        <v>0</v>
      </c>
      <c r="J200" s="706">
        <v>0</v>
      </c>
      <c r="K200" s="706">
        <v>0</v>
      </c>
      <c r="L200" s="706">
        <v>0</v>
      </c>
      <c r="M200" s="706">
        <v>0</v>
      </c>
      <c r="N200" s="706">
        <v>0</v>
      </c>
      <c r="O200" s="706">
        <v>0</v>
      </c>
      <c r="P200" s="706">
        <v>0</v>
      </c>
      <c r="Q200" s="706">
        <v>0</v>
      </c>
      <c r="R200" s="706">
        <v>0</v>
      </c>
      <c r="S200" s="706">
        <v>0</v>
      </c>
      <c r="T200" s="706">
        <v>0</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G0697</v>
      </c>
      <c r="AK200" s="905" t="str">
        <f t="shared" si="19"/>
        <v>SERV. EXTER.AUTRES-PIECE</v>
      </c>
      <c r="AL200" s="905">
        <f>IFERROR(INDEX(G200:R200,1,MATCH(Parametres!$B$3,G$1:R$1,0)-1)*IF(OR(F200="L",F200="S",F200="I"),-1,1),"")</f>
        <v>0</v>
      </c>
      <c r="AM200" s="905">
        <f t="shared" si="20"/>
        <v>0</v>
      </c>
      <c r="AN200" s="905">
        <f>INDEX(G200:R200,1,MATCH(Parametres!$B$3,G$1:R$1,0))*IF(OR(F200="L",F200="S",F200="I"),-1,1)</f>
        <v>0</v>
      </c>
      <c r="AO200" s="487" t="str">
        <f>+VLOOKUP($AJ200,Data_Validation!$A:$D,1,0)</f>
        <v>G0697</v>
      </c>
      <c r="AP200" s="487" t="str">
        <f>+VLOOKUP($AJ200,Data_Validation!$A:$D,3,0)</f>
        <v>SAAQ</v>
      </c>
      <c r="AQ200" s="487" t="str">
        <f>+VLOOKUP($AJ200,Data_Validation!$A:$D,4,0)</f>
        <v>Services extérieurs</v>
      </c>
      <c r="AR200" s="487" t="s">
        <v>299</v>
      </c>
      <c r="AS200" s="487">
        <f>+VLOOKUP($AJ200,Data_Validation!$A:$E,5,0)</f>
        <v>0</v>
      </c>
      <c r="AT200" s="904" t="str">
        <f t="shared" si="21"/>
        <v>G0697</v>
      </c>
      <c r="AU200" s="488" t="str">
        <f t="shared" si="22"/>
        <v>SERV. EXTER.AUTRES-PIECE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1501</v>
      </c>
      <c r="D201" s="706" t="s">
        <v>1502</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G0699</v>
      </c>
      <c r="AK201" s="905" t="str">
        <f t="shared" si="19"/>
        <v>SERV. EXTERIEUR-ADMIN</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G0699</v>
      </c>
      <c r="AU201" s="488" t="str">
        <f t="shared" si="22"/>
        <v>SERV. EXTERIEUR-ADMIN</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customHeight="1">
      <c r="A202" s="706" t="s">
        <v>1148</v>
      </c>
      <c r="B202" s="706">
        <v>2026</v>
      </c>
      <c r="C202" s="706" t="s">
        <v>1503</v>
      </c>
      <c r="D202" s="706" t="s">
        <v>1504</v>
      </c>
      <c r="E202" s="706" t="s">
        <v>333</v>
      </c>
      <c r="F202" s="706" t="s">
        <v>1104</v>
      </c>
      <c r="G202" s="706">
        <v>0</v>
      </c>
      <c r="H202" s="706">
        <v>0</v>
      </c>
      <c r="I202" s="706">
        <v>0</v>
      </c>
      <c r="J202" s="706">
        <v>0</v>
      </c>
      <c r="K202" s="706">
        <v>0</v>
      </c>
      <c r="L202" s="706">
        <v>0</v>
      </c>
      <c r="M202" s="706">
        <v>0</v>
      </c>
      <c r="N202" s="706">
        <v>0</v>
      </c>
      <c r="O202" s="706">
        <v>0</v>
      </c>
      <c r="P202" s="706">
        <v>0</v>
      </c>
      <c r="Q202" s="706">
        <v>0</v>
      </c>
      <c r="R202" s="706">
        <v>0</v>
      </c>
      <c r="S202" s="706">
        <v>0</v>
      </c>
      <c r="T202" s="706">
        <v>0</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G0700</v>
      </c>
      <c r="AK202" s="905" t="str">
        <f t="shared" si="19"/>
        <v>FRAIS REPRESENT. REP</v>
      </c>
      <c r="AL202" s="905">
        <f>IFERROR(INDEX(G202:R202,1,MATCH(Parametres!$B$3,G$1:R$1,0)-1)*IF(OR(F202="L",F202="S",F202="I"),-1,1),"")</f>
        <v>0</v>
      </c>
      <c r="AM202" s="905">
        <f t="shared" si="20"/>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t="str">
        <f t="shared" si="21"/>
        <v>G0700</v>
      </c>
      <c r="AU202" s="488" t="str">
        <f t="shared" si="22"/>
        <v>FRAIS REPRESENT. REP</v>
      </c>
      <c r="AV202" s="899">
        <f>IFERROR(INDEX(V202:AG202,1,MATCH(Parametres!$B$3,V$1:AG$1,0)-1)*IF(OR(C202="L",C202="S",C202="I"),-1,1),"")</f>
        <v>0</v>
      </c>
      <c r="AW202" s="899">
        <f t="shared" si="23"/>
        <v>0</v>
      </c>
      <c r="AX202" s="899">
        <f>INDEX(V202:AG202,1,MATCH(Parametres!$B$3,V$1:AG$1,0))*IF(OR(C202="L",C202="S",C202="I"),-1,1)</f>
        <v>0</v>
      </c>
      <c r="AY202" s="487" t="s">
        <v>337</v>
      </c>
      <c r="AZ202" s="487" t="e">
        <f>+VLOOKUP($AJ202,Data_Validation!$A:$E,5,0)</f>
        <v>#N/A</v>
      </c>
    </row>
    <row r="203" spans="1:52" ht="15" customHeight="1">
      <c r="A203" s="706" t="s">
        <v>1148</v>
      </c>
      <c r="B203" s="706">
        <v>2026</v>
      </c>
      <c r="C203" s="706" t="s">
        <v>1505</v>
      </c>
      <c r="D203" s="706" t="s">
        <v>1506</v>
      </c>
      <c r="E203" s="706" t="s">
        <v>333</v>
      </c>
      <c r="F203" s="706" t="s">
        <v>1104</v>
      </c>
      <c r="G203" s="706">
        <v>189.74</v>
      </c>
      <c r="H203" s="706">
        <v>580.17999999999995</v>
      </c>
      <c r="I203" s="706">
        <v>1190.1400000000001</v>
      </c>
      <c r="J203" s="706">
        <v>1779</v>
      </c>
      <c r="K203" s="706">
        <v>2278.81</v>
      </c>
      <c r="L203" s="706">
        <v>2468.8000000000002</v>
      </c>
      <c r="M203" s="706">
        <v>2468.8000000000002</v>
      </c>
      <c r="N203" s="706">
        <v>0</v>
      </c>
      <c r="O203" s="706">
        <v>0</v>
      </c>
      <c r="P203" s="706">
        <v>0</v>
      </c>
      <c r="Q203" s="706">
        <v>0</v>
      </c>
      <c r="R203" s="706">
        <v>0</v>
      </c>
      <c r="S203" s="706">
        <v>411.47</v>
      </c>
      <c r="T203" s="706">
        <v>411.47</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G07000</v>
      </c>
      <c r="AK203" s="905" t="str">
        <f t="shared" si="19"/>
        <v>FR. REPRES. 50%- REPART.</v>
      </c>
      <c r="AL203" s="905">
        <f>IFERROR(INDEX(G203:R203,1,MATCH(Parametres!$B$3,G$1:R$1,0)-1)*IF(OR(F203="L",F203="S",F203="I"),-1,1),"")</f>
        <v>2278.81</v>
      </c>
      <c r="AM203" s="905">
        <f t="shared" si="20"/>
        <v>189.99000000000024</v>
      </c>
      <c r="AN203" s="905">
        <f>INDEX(G203:R203,1,MATCH(Parametres!$B$3,G$1:R$1,0))*IF(OR(F203="L",F203="S",F203="I"),-1,1)</f>
        <v>2468.8000000000002</v>
      </c>
      <c r="AO203" s="487" t="str">
        <f>+VLOOKUP($AJ203,Data_Validation!$A:$D,1,0)</f>
        <v>G07000</v>
      </c>
      <c r="AP203" s="487" t="str">
        <f>+VLOOKUP($AJ203,Data_Validation!$A:$D,3,0)</f>
        <v>Véhicules neufs</v>
      </c>
      <c r="AQ203" s="487" t="str">
        <f>+VLOOKUP($AJ203,Data_Validation!$A:$D,4,0)</f>
        <v>Frais de déplacement</v>
      </c>
      <c r="AR203" s="487" t="s">
        <v>299</v>
      </c>
      <c r="AS203" s="487">
        <f>+VLOOKUP($AJ203,Data_Validation!$A:$E,5,0)</f>
        <v>0</v>
      </c>
      <c r="AT203" s="904" t="str">
        <f t="shared" si="21"/>
        <v>G07000</v>
      </c>
      <c r="AU203" s="488" t="str">
        <f t="shared" si="22"/>
        <v>FR. REPRES. 50%- REPART.</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1507</v>
      </c>
      <c r="D204" s="706" t="s">
        <v>1508</v>
      </c>
      <c r="E204" s="706" t="s">
        <v>333</v>
      </c>
      <c r="F204" s="706" t="s">
        <v>1104</v>
      </c>
      <c r="G204" s="706">
        <v>1179.97</v>
      </c>
      <c r="H204" s="706">
        <v>3796.2</v>
      </c>
      <c r="I204" s="706">
        <v>7613.92</v>
      </c>
      <c r="J204" s="706">
        <v>17437.740000000002</v>
      </c>
      <c r="K204" s="706">
        <v>18564.23</v>
      </c>
      <c r="L204" s="706">
        <v>19117.09</v>
      </c>
      <c r="M204" s="706">
        <v>19700.2</v>
      </c>
      <c r="N204" s="706">
        <v>0</v>
      </c>
      <c r="O204" s="706">
        <v>0</v>
      </c>
      <c r="P204" s="706">
        <v>0</v>
      </c>
      <c r="Q204" s="706">
        <v>0</v>
      </c>
      <c r="R204" s="706">
        <v>0</v>
      </c>
      <c r="S204" s="706">
        <v>3186.18</v>
      </c>
      <c r="T204" s="706">
        <v>3186.18</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G0701</v>
      </c>
      <c r="AK204" s="905" t="str">
        <f t="shared" si="19"/>
        <v>FRAIS REPRES.-NEUFS</v>
      </c>
      <c r="AL204" s="905">
        <f>IFERROR(INDEX(G204:R204,1,MATCH(Parametres!$B$3,G$1:R$1,0)-1)*IF(OR(F204="L",F204="S",F204="I"),-1,1),"")</f>
        <v>18564.23</v>
      </c>
      <c r="AM204" s="905">
        <f t="shared" si="20"/>
        <v>552.86000000000058</v>
      </c>
      <c r="AN204" s="905">
        <f>INDEX(G204:R204,1,MATCH(Parametres!$B$3,G$1:R$1,0))*IF(OR(F204="L",F204="S",F204="I"),-1,1)</f>
        <v>19117.09</v>
      </c>
      <c r="AO204" s="487" t="str">
        <f>+VLOOKUP($AJ204,Data_Validation!$A:$D,1,0)</f>
        <v>G0701</v>
      </c>
      <c r="AP204" s="487" t="str">
        <f>+VLOOKUP($AJ204,Data_Validation!$A:$D,3,0)</f>
        <v>Véhicules neufs</v>
      </c>
      <c r="AQ204" s="487" t="str">
        <f>+VLOOKUP($AJ204,Data_Validation!$A:$D,4,0)</f>
        <v>Frais de déplacement</v>
      </c>
      <c r="AR204" s="487" t="s">
        <v>299</v>
      </c>
      <c r="AS204" s="487">
        <f>+VLOOKUP($AJ204,Data_Validation!$A:$E,5,0)</f>
        <v>0</v>
      </c>
      <c r="AT204" s="904" t="str">
        <f t="shared" si="21"/>
        <v>G0701</v>
      </c>
      <c r="AU204" s="488" t="str">
        <f t="shared" si="22"/>
        <v>FRAIS REPRES.-NEUFS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1509</v>
      </c>
      <c r="D205" s="706" t="s">
        <v>1510</v>
      </c>
      <c r="E205" s="706" t="s">
        <v>333</v>
      </c>
      <c r="F205" s="706" t="s">
        <v>1104</v>
      </c>
      <c r="G205" s="706">
        <v>134.44</v>
      </c>
      <c r="H205" s="706">
        <v>150.18</v>
      </c>
      <c r="I205" s="706">
        <v>150.18</v>
      </c>
      <c r="J205" s="706">
        <v>348.27</v>
      </c>
      <c r="K205" s="706">
        <v>348.27</v>
      </c>
      <c r="L205" s="706">
        <v>348.27</v>
      </c>
      <c r="M205" s="706">
        <v>348.27</v>
      </c>
      <c r="N205" s="706">
        <v>0</v>
      </c>
      <c r="O205" s="706">
        <v>0</v>
      </c>
      <c r="P205" s="706">
        <v>0</v>
      </c>
      <c r="Q205" s="706">
        <v>0</v>
      </c>
      <c r="R205" s="706">
        <v>0</v>
      </c>
      <c r="S205" s="706">
        <v>58.05</v>
      </c>
      <c r="T205" s="706">
        <v>58.05</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G07011</v>
      </c>
      <c r="AK205" s="905" t="str">
        <f t="shared" si="19"/>
        <v>FR.REPRES 50% NEUF</v>
      </c>
      <c r="AL205" s="905">
        <f>IFERROR(INDEX(G205:R205,1,MATCH(Parametres!$B$3,G$1:R$1,0)-1)*IF(OR(F205="L",F205="S",F205="I"),-1,1),"")</f>
        <v>348.27</v>
      </c>
      <c r="AM205" s="905">
        <f t="shared" si="20"/>
        <v>0</v>
      </c>
      <c r="AN205" s="905">
        <f>INDEX(G205:R205,1,MATCH(Parametres!$B$3,G$1:R$1,0))*IF(OR(F205="L",F205="S",F205="I"),-1,1)</f>
        <v>348.27</v>
      </c>
      <c r="AO205" s="487" t="str">
        <f>+VLOOKUP($AJ205,Data_Validation!$A:$D,1,0)</f>
        <v>G07011</v>
      </c>
      <c r="AP205" s="487" t="str">
        <f>+VLOOKUP($AJ205,Data_Validation!$A:$D,3,0)</f>
        <v>Véhicules neufs</v>
      </c>
      <c r="AQ205" s="487" t="str">
        <f>+VLOOKUP($AJ205,Data_Validation!$A:$D,4,0)</f>
        <v>Frais de déplacement</v>
      </c>
      <c r="AR205" s="487" t="s">
        <v>299</v>
      </c>
      <c r="AS205" s="487">
        <f>+VLOOKUP($AJ205,Data_Validation!$A:$E,5,0)</f>
        <v>0</v>
      </c>
      <c r="AT205" s="904" t="str">
        <f t="shared" si="21"/>
        <v>G07011</v>
      </c>
      <c r="AU205" s="488" t="str">
        <f t="shared" si="22"/>
        <v>FR.REPRES 50% NEUF</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1511</v>
      </c>
      <c r="D206" s="706" t="s">
        <v>1512</v>
      </c>
      <c r="E206" s="706" t="s">
        <v>333</v>
      </c>
      <c r="F206" s="706" t="s">
        <v>1104</v>
      </c>
      <c r="G206" s="706">
        <v>738.38</v>
      </c>
      <c r="H206" s="706">
        <v>2482.5300000000002</v>
      </c>
      <c r="I206" s="706">
        <v>5027.67</v>
      </c>
      <c r="J206" s="706">
        <v>11576.87</v>
      </c>
      <c r="K206" s="706">
        <v>12327.86</v>
      </c>
      <c r="L206" s="706">
        <v>12696.43</v>
      </c>
      <c r="M206" s="706">
        <v>13085.17</v>
      </c>
      <c r="N206" s="706">
        <v>0</v>
      </c>
      <c r="O206" s="706">
        <v>0</v>
      </c>
      <c r="P206" s="706">
        <v>0</v>
      </c>
      <c r="Q206" s="706">
        <v>0</v>
      </c>
      <c r="R206" s="706">
        <v>0</v>
      </c>
      <c r="S206" s="706">
        <v>2116.0700000000002</v>
      </c>
      <c r="T206" s="706">
        <v>2116.0700000000002</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G0702</v>
      </c>
      <c r="AK206" s="905" t="str">
        <f t="shared" si="19"/>
        <v>FRAIS REPRES.-USAGES</v>
      </c>
      <c r="AL206" s="905">
        <f>IFERROR(INDEX(G206:R206,1,MATCH(Parametres!$B$3,G$1:R$1,0)-1)*IF(OR(F206="L",F206="S",F206="I"),-1,1),"")</f>
        <v>12327.86</v>
      </c>
      <c r="AM206" s="905">
        <f t="shared" si="20"/>
        <v>368.56999999999971</v>
      </c>
      <c r="AN206" s="905">
        <f>INDEX(G206:R206,1,MATCH(Parametres!$B$3,G$1:R$1,0))*IF(OR(F206="L",F206="S",F206="I"),-1,1)</f>
        <v>12696.43</v>
      </c>
      <c r="AO206" s="487" t="str">
        <f>+VLOOKUP($AJ206,Data_Validation!$A:$D,1,0)</f>
        <v>G0702</v>
      </c>
      <c r="AP206" s="487" t="str">
        <f>+VLOOKUP($AJ206,Data_Validation!$A:$D,3,0)</f>
        <v>Véhicules usagés</v>
      </c>
      <c r="AQ206" s="487" t="str">
        <f>+VLOOKUP($AJ206,Data_Validation!$A:$D,4,0)</f>
        <v>Frais de déplacement</v>
      </c>
      <c r="AR206" s="487" t="s">
        <v>299</v>
      </c>
      <c r="AS206" s="487">
        <f>+VLOOKUP($AJ206,Data_Validation!$A:$E,5,0)</f>
        <v>0</v>
      </c>
      <c r="AT206" s="904" t="str">
        <f t="shared" si="21"/>
        <v>G0702</v>
      </c>
      <c r="AU206" s="488" t="str">
        <f t="shared" si="22"/>
        <v>FRAIS REPRES.-USAGES</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customHeight="1">
      <c r="A207" s="706" t="s">
        <v>1148</v>
      </c>
      <c r="B207" s="706">
        <v>2026</v>
      </c>
      <c r="C207" s="706" t="s">
        <v>1513</v>
      </c>
      <c r="D207" s="706" t="s">
        <v>1514</v>
      </c>
      <c r="E207" s="706" t="s">
        <v>333</v>
      </c>
      <c r="F207" s="706" t="s">
        <v>1104</v>
      </c>
      <c r="G207" s="706">
        <v>0</v>
      </c>
      <c r="H207" s="706">
        <v>0</v>
      </c>
      <c r="I207" s="706">
        <v>0</v>
      </c>
      <c r="J207" s="706">
        <v>0</v>
      </c>
      <c r="K207" s="706">
        <v>0</v>
      </c>
      <c r="L207" s="706">
        <v>0</v>
      </c>
      <c r="M207" s="706">
        <v>0</v>
      </c>
      <c r="N207" s="706">
        <v>0</v>
      </c>
      <c r="O207" s="706">
        <v>0</v>
      </c>
      <c r="P207" s="706">
        <v>0</v>
      </c>
      <c r="Q207" s="706">
        <v>0</v>
      </c>
      <c r="R207" s="706">
        <v>0</v>
      </c>
      <c r="S207" s="706">
        <v>0</v>
      </c>
      <c r="T207" s="706">
        <v>0</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G07022</v>
      </c>
      <c r="AK207" s="905" t="str">
        <f t="shared" si="19"/>
        <v>FR.REPRES 50% USAGE</v>
      </c>
      <c r="AL207" s="905">
        <f>IFERROR(INDEX(G207:R207,1,MATCH(Parametres!$B$3,G$1:R$1,0)-1)*IF(OR(F207="L",F207="S",F207="I"),-1,1),"")</f>
        <v>0</v>
      </c>
      <c r="AM207" s="905">
        <f t="shared" si="20"/>
        <v>0</v>
      </c>
      <c r="AN207" s="905">
        <f>INDEX(G207:R207,1,MATCH(Parametres!$B$3,G$1:R$1,0))*IF(OR(F207="L",F207="S",F207="I"),-1,1)</f>
        <v>0</v>
      </c>
      <c r="AO207" s="487" t="str">
        <f>+VLOOKUP($AJ207,Data_Validation!$A:$D,1,0)</f>
        <v>G07022</v>
      </c>
      <c r="AP207" s="487" t="str">
        <f>+VLOOKUP($AJ207,Data_Validation!$A:$D,3,0)</f>
        <v>Véhicules usagés</v>
      </c>
      <c r="AQ207" s="487" t="str">
        <f>+VLOOKUP($AJ207,Data_Validation!$A:$D,4,0)</f>
        <v>Frais de déplacement</v>
      </c>
      <c r="AR207" s="487" t="s">
        <v>299</v>
      </c>
      <c r="AS207" s="487">
        <f>+VLOOKUP($AJ207,Data_Validation!$A:$E,5,0)</f>
        <v>0</v>
      </c>
      <c r="AT207" s="904" t="str">
        <f t="shared" si="21"/>
        <v>G07022</v>
      </c>
      <c r="AU207" s="488" t="str">
        <f t="shared" si="22"/>
        <v>FR.REPRES 50% USAGE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2026</v>
      </c>
      <c r="C208" s="706" t="s">
        <v>1515</v>
      </c>
      <c r="D208" s="706" t="s">
        <v>1516</v>
      </c>
      <c r="E208" s="706" t="s">
        <v>333</v>
      </c>
      <c r="F208" s="706" t="s">
        <v>1104</v>
      </c>
      <c r="G208" s="706">
        <v>0</v>
      </c>
      <c r="H208" s="706">
        <v>2036.72</v>
      </c>
      <c r="I208" s="706">
        <v>2036.72</v>
      </c>
      <c r="J208" s="706">
        <v>2036.72</v>
      </c>
      <c r="K208" s="706">
        <v>2514.2800000000002</v>
      </c>
      <c r="L208" s="706">
        <v>2514.2800000000002</v>
      </c>
      <c r="M208" s="706">
        <v>2514.2800000000002</v>
      </c>
      <c r="N208" s="706">
        <v>0</v>
      </c>
      <c r="O208" s="706">
        <v>0</v>
      </c>
      <c r="P208" s="706">
        <v>0</v>
      </c>
      <c r="Q208" s="706">
        <v>0</v>
      </c>
      <c r="R208" s="706">
        <v>0</v>
      </c>
      <c r="S208" s="706">
        <v>419.05</v>
      </c>
      <c r="T208" s="706">
        <v>419.05</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G0703</v>
      </c>
      <c r="AK208" s="905" t="str">
        <f t="shared" si="19"/>
        <v>FRAIS REPRESENT. U.S.A</v>
      </c>
      <c r="AL208" s="905">
        <f>IFERROR(INDEX(G208:R208,1,MATCH(Parametres!$B$3,G$1:R$1,0)-1)*IF(OR(F208="L",F208="S",F208="I"),-1,1),"")</f>
        <v>2514.2800000000002</v>
      </c>
      <c r="AM208" s="905">
        <f t="shared" si="20"/>
        <v>0</v>
      </c>
      <c r="AN208" s="905">
        <f>INDEX(G208:R208,1,MATCH(Parametres!$B$3,G$1:R$1,0))*IF(OR(F208="L",F208="S",F208="I"),-1,1)</f>
        <v>2514.2800000000002</v>
      </c>
      <c r="AO208" s="487" t="str">
        <f>+VLOOKUP($AJ208,Data_Validation!$A:$D,1,0)</f>
        <v>G0703</v>
      </c>
      <c r="AP208" s="487" t="str">
        <f>+VLOOKUP($AJ208,Data_Validation!$A:$D,3,0)</f>
        <v>Wholesale autres</v>
      </c>
      <c r="AQ208" s="487" t="str">
        <f>+VLOOKUP($AJ208,Data_Validation!$A:$D,4,0)</f>
        <v>Frais de déplacement</v>
      </c>
      <c r="AR208" s="487" t="s">
        <v>299</v>
      </c>
      <c r="AS208" s="487">
        <f>+VLOOKUP($AJ208,Data_Validation!$A:$E,5,0)</f>
        <v>0</v>
      </c>
      <c r="AT208" s="904" t="str">
        <f t="shared" si="21"/>
        <v>G0703</v>
      </c>
      <c r="AU208" s="488" t="str">
        <f t="shared" si="22"/>
        <v>FRAIS REPRESENT. U.S.A</v>
      </c>
      <c r="AV208" s="899">
        <f>IFERROR(INDEX(V208:AG208,1,MATCH(Parametres!$B$3,V$1:AG$1,0)-1)*IF(OR(C208="L",C208="S",C208="I"),-1,1),"")</f>
        <v>0</v>
      </c>
      <c r="AW208" s="899">
        <f t="shared" si="23"/>
        <v>0</v>
      </c>
      <c r="AX208" s="899">
        <f>INDEX(V208:AG208,1,MATCH(Parametres!$B$3,V$1:AG$1,0))*IF(OR(C208="L",C208="S",C208="I"),-1,1)</f>
        <v>0</v>
      </c>
      <c r="AY208" s="487" t="s">
        <v>337</v>
      </c>
      <c r="AZ208" s="487">
        <f>+VLOOKUP($AJ208,Data_Validation!$A:$E,5,0)</f>
        <v>0</v>
      </c>
    </row>
    <row r="209" spans="1:52" ht="15" customHeight="1">
      <c r="A209" s="706" t="s">
        <v>1148</v>
      </c>
      <c r="B209" s="706">
        <v>2026</v>
      </c>
      <c r="C209" s="706" t="s">
        <v>1517</v>
      </c>
      <c r="D209" s="706" t="s">
        <v>1518</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G07033</v>
      </c>
      <c r="AK209" s="905" t="str">
        <f t="shared" si="19"/>
        <v>FR. REPRES. 50%- U.S.A</v>
      </c>
      <c r="AL209" s="905">
        <f>IFERROR(INDEX(G209:R209,1,MATCH(Parametres!$B$3,G$1:R$1,0)-1)*IF(OR(F209="L",F209="S",F209="I"),-1,1),"")</f>
        <v>0</v>
      </c>
      <c r="AM209" s="905">
        <f t="shared" si="20"/>
        <v>0</v>
      </c>
      <c r="AN209" s="905">
        <f>INDEX(G209:R209,1,MATCH(Parametres!$B$3,G$1:R$1,0))*IF(OR(F209="L",F209="S",F209="I"),-1,1)</f>
        <v>0</v>
      </c>
      <c r="AO209" s="487" t="str">
        <f>+VLOOKUP($AJ209,Data_Validation!$A:$D,1,0)</f>
        <v>G07033</v>
      </c>
      <c r="AP209" s="487" t="str">
        <f>+VLOOKUP($AJ209,Data_Validation!$A:$D,3,0)</f>
        <v>Wholesale autres</v>
      </c>
      <c r="AQ209" s="487" t="str">
        <f>+VLOOKUP($AJ209,Data_Validation!$A:$D,4,0)</f>
        <v>Frais de déplacement</v>
      </c>
      <c r="AR209" s="487" t="s">
        <v>299</v>
      </c>
      <c r="AS209" s="487">
        <f>+VLOOKUP($AJ209,Data_Validation!$A:$E,5,0)</f>
        <v>0</v>
      </c>
      <c r="AT209" s="904" t="str">
        <f t="shared" si="21"/>
        <v>G07033</v>
      </c>
      <c r="AU209" s="488" t="str">
        <f t="shared" si="22"/>
        <v>FR. REPRES. 50%- U.S.A</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1519</v>
      </c>
      <c r="D210" s="706" t="s">
        <v>1520</v>
      </c>
      <c r="E210" s="706" t="s">
        <v>333</v>
      </c>
      <c r="F210" s="706" t="s">
        <v>1104</v>
      </c>
      <c r="G210" s="706">
        <v>1107.57</v>
      </c>
      <c r="H210" s="706">
        <v>3723.8</v>
      </c>
      <c r="I210" s="706">
        <v>7667.56</v>
      </c>
      <c r="J210" s="706">
        <v>17491.38</v>
      </c>
      <c r="K210" s="706">
        <v>18617.87</v>
      </c>
      <c r="L210" s="706">
        <v>19170.73</v>
      </c>
      <c r="M210" s="706">
        <v>19753.84</v>
      </c>
      <c r="N210" s="706">
        <v>0</v>
      </c>
      <c r="O210" s="706">
        <v>0</v>
      </c>
      <c r="P210" s="706">
        <v>0</v>
      </c>
      <c r="Q210" s="706">
        <v>0</v>
      </c>
      <c r="R210" s="706">
        <v>0</v>
      </c>
      <c r="S210" s="706">
        <v>3195.12</v>
      </c>
      <c r="T210" s="706">
        <v>3195.12</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G0704</v>
      </c>
      <c r="AK210" s="905" t="str">
        <f t="shared" si="19"/>
        <v>FRAIS REPRES.-SERVICE</v>
      </c>
      <c r="AL210" s="905">
        <f>IFERROR(INDEX(G210:R210,1,MATCH(Parametres!$B$3,G$1:R$1,0)-1)*IF(OR(F210="L",F210="S",F210="I"),-1,1),"")</f>
        <v>18617.87</v>
      </c>
      <c r="AM210" s="905">
        <f t="shared" si="20"/>
        <v>552.86000000000058</v>
      </c>
      <c r="AN210" s="905">
        <f>INDEX(G210:R210,1,MATCH(Parametres!$B$3,G$1:R$1,0))*IF(OR(F210="L",F210="S",F210="I"),-1,1)</f>
        <v>19170.73</v>
      </c>
      <c r="AO210" s="487" t="str">
        <f>+VLOOKUP($AJ210,Data_Validation!$A:$D,1,0)</f>
        <v>G0704</v>
      </c>
      <c r="AP210" s="487" t="str">
        <f>+VLOOKUP($AJ210,Data_Validation!$A:$D,3,0)</f>
        <v>Service</v>
      </c>
      <c r="AQ210" s="487" t="str">
        <f>+VLOOKUP($AJ210,Data_Validation!$A:$D,4,0)</f>
        <v>Frais de déplacement</v>
      </c>
      <c r="AR210" s="487" t="s">
        <v>299</v>
      </c>
      <c r="AS210" s="487">
        <f>+VLOOKUP($AJ210,Data_Validation!$A:$E,5,0)</f>
        <v>0</v>
      </c>
      <c r="AT210" s="904" t="str">
        <f t="shared" si="21"/>
        <v>G0704</v>
      </c>
      <c r="AU210" s="488" t="str">
        <f t="shared" si="22"/>
        <v>FRAIS REPRES.-SERVICE</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1521</v>
      </c>
      <c r="D211" s="706" t="s">
        <v>1522</v>
      </c>
      <c r="E211" s="706" t="s">
        <v>333</v>
      </c>
      <c r="F211" s="706" t="s">
        <v>1104</v>
      </c>
      <c r="G211" s="706">
        <v>0</v>
      </c>
      <c r="H211" s="706">
        <v>71.42</v>
      </c>
      <c r="I211" s="706">
        <v>168.42</v>
      </c>
      <c r="J211" s="706">
        <v>168.42</v>
      </c>
      <c r="K211" s="706">
        <v>168.42</v>
      </c>
      <c r="L211" s="706">
        <v>168.42</v>
      </c>
      <c r="M211" s="706">
        <v>168.42</v>
      </c>
      <c r="N211" s="706">
        <v>0</v>
      </c>
      <c r="O211" s="706">
        <v>0</v>
      </c>
      <c r="P211" s="706">
        <v>0</v>
      </c>
      <c r="Q211" s="706">
        <v>0</v>
      </c>
      <c r="R211" s="706">
        <v>0</v>
      </c>
      <c r="S211" s="706">
        <v>28.07</v>
      </c>
      <c r="T211" s="706">
        <v>28.07</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G07044</v>
      </c>
      <c r="AK211" s="905" t="str">
        <f t="shared" si="19"/>
        <v>FR.REPRES 50% SERVICE</v>
      </c>
      <c r="AL211" s="905">
        <f>IFERROR(INDEX(G211:R211,1,MATCH(Parametres!$B$3,G$1:R$1,0)-1)*IF(OR(F211="L",F211="S",F211="I"),-1,1),"")</f>
        <v>168.42</v>
      </c>
      <c r="AM211" s="905">
        <f t="shared" si="20"/>
        <v>0</v>
      </c>
      <c r="AN211" s="905">
        <f>INDEX(G211:R211,1,MATCH(Parametres!$B$3,G$1:R$1,0))*IF(OR(F211="L",F211="S",F211="I"),-1,1)</f>
        <v>168.42</v>
      </c>
      <c r="AO211" s="487" t="str">
        <f>+VLOOKUP($AJ211,Data_Validation!$A:$D,1,0)</f>
        <v>G07044</v>
      </c>
      <c r="AP211" s="487" t="str">
        <f>+VLOOKUP($AJ211,Data_Validation!$A:$D,3,0)</f>
        <v>Service</v>
      </c>
      <c r="AQ211" s="487" t="str">
        <f>+VLOOKUP($AJ211,Data_Validation!$A:$D,4,0)</f>
        <v>Frais de déplacement</v>
      </c>
      <c r="AR211" s="487" t="s">
        <v>299</v>
      </c>
      <c r="AS211" s="487">
        <f>+VLOOKUP($AJ211,Data_Validation!$A:$E,5,0)</f>
        <v>0</v>
      </c>
      <c r="AT211" s="904" t="str">
        <f t="shared" si="21"/>
        <v>G07044</v>
      </c>
      <c r="AU211" s="488" t="str">
        <f t="shared" si="22"/>
        <v>FR.REPRES 50% SERVICE</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1523</v>
      </c>
      <c r="D212" s="706" t="s">
        <v>1524</v>
      </c>
      <c r="E212" s="706" t="s">
        <v>333</v>
      </c>
      <c r="F212" s="706" t="s">
        <v>1104</v>
      </c>
      <c r="G212" s="706">
        <v>369.19</v>
      </c>
      <c r="H212" s="706">
        <v>1241.26</v>
      </c>
      <c r="I212" s="706">
        <v>2513.84</v>
      </c>
      <c r="J212" s="706">
        <v>5788.44</v>
      </c>
      <c r="K212" s="706">
        <v>6163.94</v>
      </c>
      <c r="L212" s="706">
        <v>6348.23</v>
      </c>
      <c r="M212" s="706">
        <v>6542.6</v>
      </c>
      <c r="N212" s="706">
        <v>0</v>
      </c>
      <c r="O212" s="706">
        <v>0</v>
      </c>
      <c r="P212" s="706">
        <v>0</v>
      </c>
      <c r="Q212" s="706">
        <v>0</v>
      </c>
      <c r="R212" s="706">
        <v>0</v>
      </c>
      <c r="S212" s="706">
        <v>1058.04</v>
      </c>
      <c r="T212" s="706">
        <v>1058.04</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G0705</v>
      </c>
      <c r="AK212" s="905" t="str">
        <f t="shared" si="19"/>
        <v>FRAIS REPRES.-CARROSS.</v>
      </c>
      <c r="AL212" s="905">
        <f>IFERROR(INDEX(G212:R212,1,MATCH(Parametres!$B$3,G$1:R$1,0)-1)*IF(OR(F212="L",F212="S",F212="I"),-1,1),"")</f>
        <v>6163.94</v>
      </c>
      <c r="AM212" s="905">
        <f t="shared" si="20"/>
        <v>184.28999999999996</v>
      </c>
      <c r="AN212" s="905">
        <f>INDEX(G212:R212,1,MATCH(Parametres!$B$3,G$1:R$1,0))*IF(OR(F212="L",F212="S",F212="I"),-1,1)</f>
        <v>6348.23</v>
      </c>
      <c r="AO212" s="487" t="str">
        <f>+VLOOKUP($AJ212,Data_Validation!$A:$D,1,0)</f>
        <v>G0705</v>
      </c>
      <c r="AP212" s="487" t="str">
        <f>+VLOOKUP($AJ212,Data_Validation!$A:$D,3,0)</f>
        <v>Carrosserie</v>
      </c>
      <c r="AQ212" s="487" t="str">
        <f>+VLOOKUP($AJ212,Data_Validation!$A:$D,4,0)</f>
        <v>Frais de déplacement</v>
      </c>
      <c r="AR212" s="487" t="s">
        <v>299</v>
      </c>
      <c r="AS212" s="487">
        <f>+VLOOKUP($AJ212,Data_Validation!$A:$E,5,0)</f>
        <v>0</v>
      </c>
      <c r="AT212" s="904" t="str">
        <f t="shared" si="21"/>
        <v>G0705</v>
      </c>
      <c r="AU212" s="488" t="str">
        <f t="shared" si="22"/>
        <v>FRAIS REPRES.-CARROSS.</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1525</v>
      </c>
      <c r="D213" s="706" t="s">
        <v>1526</v>
      </c>
      <c r="E213" s="706" t="s">
        <v>333</v>
      </c>
      <c r="F213" s="706" t="s">
        <v>1104</v>
      </c>
      <c r="G213" s="706">
        <v>0</v>
      </c>
      <c r="H213" s="706">
        <v>0</v>
      </c>
      <c r="I213" s="706">
        <v>0</v>
      </c>
      <c r="J213" s="706">
        <v>0</v>
      </c>
      <c r="K213" s="706">
        <v>0</v>
      </c>
      <c r="L213" s="706">
        <v>0</v>
      </c>
      <c r="M213" s="706">
        <v>0</v>
      </c>
      <c r="N213" s="706">
        <v>0</v>
      </c>
      <c r="O213" s="706">
        <v>0</v>
      </c>
      <c r="P213" s="706">
        <v>0</v>
      </c>
      <c r="Q213" s="706">
        <v>0</v>
      </c>
      <c r="R213" s="706">
        <v>0</v>
      </c>
      <c r="S213" s="706">
        <v>0</v>
      </c>
      <c r="T213" s="706">
        <v>0</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G07055</v>
      </c>
      <c r="AK213" s="905" t="str">
        <f t="shared" si="19"/>
        <v>FR.REPRES 50% CARROSSERIE</v>
      </c>
      <c r="AL213" s="905">
        <f>IFERROR(INDEX(G213:R213,1,MATCH(Parametres!$B$3,G$1:R$1,0)-1)*IF(OR(F213="L",F213="S",F213="I"),-1,1),"")</f>
        <v>0</v>
      </c>
      <c r="AM213" s="905">
        <f t="shared" si="20"/>
        <v>0</v>
      </c>
      <c r="AN213" s="905">
        <f>INDEX(G213:R213,1,MATCH(Parametres!$B$3,G$1:R$1,0))*IF(OR(F213="L",F213="S",F213="I"),-1,1)</f>
        <v>0</v>
      </c>
      <c r="AO213" s="487" t="str">
        <f>+VLOOKUP($AJ213,Data_Validation!$A:$D,1,0)</f>
        <v>G07055</v>
      </c>
      <c r="AP213" s="487" t="str">
        <f>+VLOOKUP($AJ213,Data_Validation!$A:$D,3,0)</f>
        <v>Carrosserie</v>
      </c>
      <c r="AQ213" s="487" t="str">
        <f>+VLOOKUP($AJ213,Data_Validation!$A:$D,4,0)</f>
        <v>Frais de déplacement</v>
      </c>
      <c r="AR213" s="487" t="s">
        <v>299</v>
      </c>
      <c r="AS213" s="487">
        <f>+VLOOKUP($AJ213,Data_Validation!$A:$E,5,0)</f>
        <v>0</v>
      </c>
      <c r="AT213" s="904" t="str">
        <f t="shared" si="21"/>
        <v>G07055</v>
      </c>
      <c r="AU213" s="488" t="str">
        <f t="shared" si="22"/>
        <v>FR.REPRES 50% CARROSSERIE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1527</v>
      </c>
      <c r="D214" s="706" t="s">
        <v>1528</v>
      </c>
      <c r="E214" s="706" t="s">
        <v>333</v>
      </c>
      <c r="F214" s="706" t="s">
        <v>1104</v>
      </c>
      <c r="G214" s="706">
        <v>369.2</v>
      </c>
      <c r="H214" s="706">
        <v>1241.29</v>
      </c>
      <c r="I214" s="706">
        <v>2513.88</v>
      </c>
      <c r="J214" s="706">
        <v>5788.47</v>
      </c>
      <c r="K214" s="706">
        <v>6163.97</v>
      </c>
      <c r="L214" s="706">
        <v>6348.24</v>
      </c>
      <c r="M214" s="706">
        <v>6542.61</v>
      </c>
      <c r="N214" s="706">
        <v>0</v>
      </c>
      <c r="O214" s="706">
        <v>0</v>
      </c>
      <c r="P214" s="706">
        <v>0</v>
      </c>
      <c r="Q214" s="706">
        <v>0</v>
      </c>
      <c r="R214" s="706">
        <v>0</v>
      </c>
      <c r="S214" s="706">
        <v>1058.04</v>
      </c>
      <c r="T214" s="706">
        <v>1058.04</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G0706</v>
      </c>
      <c r="AK214" s="905" t="str">
        <f t="shared" si="19"/>
        <v>FRAIS REPRES.-PIECE</v>
      </c>
      <c r="AL214" s="905">
        <f>IFERROR(INDEX(G214:R214,1,MATCH(Parametres!$B$3,G$1:R$1,0)-1)*IF(OR(F214="L",F214="S",F214="I"),-1,1),"")</f>
        <v>6163.97</v>
      </c>
      <c r="AM214" s="905">
        <f t="shared" si="20"/>
        <v>184.26999999999953</v>
      </c>
      <c r="AN214" s="905">
        <f>INDEX(G214:R214,1,MATCH(Parametres!$B$3,G$1:R$1,0))*IF(OR(F214="L",F214="S",F214="I"),-1,1)</f>
        <v>6348.24</v>
      </c>
      <c r="AO214" s="487" t="str">
        <f>+VLOOKUP($AJ214,Data_Validation!$A:$D,1,0)</f>
        <v>G0706</v>
      </c>
      <c r="AP214" s="487" t="str">
        <f>+VLOOKUP($AJ214,Data_Validation!$A:$D,3,0)</f>
        <v>Pièces</v>
      </c>
      <c r="AQ214" s="487" t="str">
        <f>+VLOOKUP($AJ214,Data_Validation!$A:$D,4,0)</f>
        <v>Frais de déplacement</v>
      </c>
      <c r="AR214" s="487" t="s">
        <v>299</v>
      </c>
      <c r="AS214" s="487">
        <f>+VLOOKUP($AJ214,Data_Validation!$A:$E,5,0)</f>
        <v>0</v>
      </c>
      <c r="AT214" s="904" t="str">
        <f t="shared" si="21"/>
        <v>G0706</v>
      </c>
      <c r="AU214" s="488" t="str">
        <f t="shared" si="22"/>
        <v>FRAIS REPRES.-PIECE</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customHeight="1">
      <c r="A215" s="706" t="s">
        <v>1148</v>
      </c>
      <c r="B215" s="706">
        <v>2026</v>
      </c>
      <c r="C215" s="706" t="s">
        <v>1529</v>
      </c>
      <c r="D215" s="706" t="s">
        <v>1530</v>
      </c>
      <c r="E215" s="706" t="s">
        <v>333</v>
      </c>
      <c r="F215" s="706" t="s">
        <v>1104</v>
      </c>
      <c r="G215" s="706">
        <v>124.73</v>
      </c>
      <c r="H215" s="706">
        <v>124.73</v>
      </c>
      <c r="I215" s="706">
        <v>124.73</v>
      </c>
      <c r="J215" s="706">
        <v>124.73</v>
      </c>
      <c r="K215" s="706">
        <v>124.73</v>
      </c>
      <c r="L215" s="706">
        <v>124.73</v>
      </c>
      <c r="M215" s="706">
        <v>124.73</v>
      </c>
      <c r="N215" s="706">
        <v>0</v>
      </c>
      <c r="O215" s="706">
        <v>0</v>
      </c>
      <c r="P215" s="706">
        <v>0</v>
      </c>
      <c r="Q215" s="706">
        <v>0</v>
      </c>
      <c r="R215" s="706">
        <v>0</v>
      </c>
      <c r="S215" s="706">
        <v>20.79</v>
      </c>
      <c r="T215" s="706">
        <v>20.79</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G07066</v>
      </c>
      <c r="AK215" s="905" t="str">
        <f t="shared" si="19"/>
        <v>FR.REPRES 50% PIECES</v>
      </c>
      <c r="AL215" s="905">
        <f>IFERROR(INDEX(G215:R215,1,MATCH(Parametres!$B$3,G$1:R$1,0)-1)*IF(OR(F215="L",F215="S",F215="I"),-1,1),"")</f>
        <v>124.73</v>
      </c>
      <c r="AM215" s="905">
        <f t="shared" si="20"/>
        <v>0</v>
      </c>
      <c r="AN215" s="905">
        <f>INDEX(G215:R215,1,MATCH(Parametres!$B$3,G$1:R$1,0))*IF(OR(F215="L",F215="S",F215="I"),-1,1)</f>
        <v>124.73</v>
      </c>
      <c r="AO215" s="487" t="str">
        <f>+VLOOKUP($AJ215,Data_Validation!$A:$D,1,0)</f>
        <v>G07066</v>
      </c>
      <c r="AP215" s="487" t="str">
        <f>+VLOOKUP($AJ215,Data_Validation!$A:$D,3,0)</f>
        <v>Pièces</v>
      </c>
      <c r="AQ215" s="487" t="str">
        <f>+VLOOKUP($AJ215,Data_Validation!$A:$D,4,0)</f>
        <v>Frais de déplacement</v>
      </c>
      <c r="AR215" s="487" t="s">
        <v>299</v>
      </c>
      <c r="AS215" s="487">
        <f>+VLOOKUP($AJ215,Data_Validation!$A:$E,5,0)</f>
        <v>0</v>
      </c>
      <c r="AT215" s="904" t="str">
        <f t="shared" si="21"/>
        <v>G07066</v>
      </c>
      <c r="AU215" s="488" t="str">
        <f t="shared" si="22"/>
        <v>FR.REPRES 50% PIECES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customHeight="1">
      <c r="A216" s="706" t="s">
        <v>1148</v>
      </c>
      <c r="B216" s="706">
        <v>2026</v>
      </c>
      <c r="C216" s="706" t="s">
        <v>1531</v>
      </c>
      <c r="D216" s="706" t="s">
        <v>1532</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G0710</v>
      </c>
      <c r="AK216" s="905" t="str">
        <f t="shared" si="19"/>
        <v>COTISATIONS REP.</v>
      </c>
      <c r="AL216" s="905">
        <f>IFERROR(INDEX(G216:R216,1,MATCH(Parametres!$B$3,G$1:R$1,0)-1)*IF(OR(F216="L",F216="S",F216="I"),-1,1),"")</f>
        <v>0</v>
      </c>
      <c r="AM216" s="905">
        <f t="shared" si="20"/>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t="str">
        <f t="shared" si="21"/>
        <v>G0710</v>
      </c>
      <c r="AU216" s="488" t="str">
        <f t="shared" si="22"/>
        <v>COTISATIONS REP.</v>
      </c>
      <c r="AV216" s="899">
        <f>IFERROR(INDEX(V216:AG216,1,MATCH(Parametres!$B$3,V$1:AG$1,0)-1)*IF(OR(C216="L",C216="S",C216="I"),-1,1),"")</f>
        <v>0</v>
      </c>
      <c r="AW216" s="899">
        <f t="shared" si="23"/>
        <v>0</v>
      </c>
      <c r="AX216" s="899">
        <f>INDEX(V216:AG216,1,MATCH(Parametres!$B$3,V$1:AG$1,0))*IF(OR(C216="L",C216="S",C216="I"),-1,1)</f>
        <v>0</v>
      </c>
      <c r="AY216" s="487" t="s">
        <v>337</v>
      </c>
      <c r="AZ216" s="487" t="e">
        <f>+VLOOKUP($AJ216,Data_Validation!$A:$E,5,0)</f>
        <v>#N/A</v>
      </c>
    </row>
    <row r="217" spans="1:52" ht="15" customHeight="1">
      <c r="A217" s="706" t="s">
        <v>1148</v>
      </c>
      <c r="B217" s="706">
        <v>2026</v>
      </c>
      <c r="C217" s="706" t="s">
        <v>1533</v>
      </c>
      <c r="D217" s="706" t="s">
        <v>1534</v>
      </c>
      <c r="E217" s="706" t="s">
        <v>333</v>
      </c>
      <c r="F217" s="706" t="s">
        <v>1104</v>
      </c>
      <c r="G217" s="706">
        <v>1341.1</v>
      </c>
      <c r="H217" s="706">
        <v>4295.71</v>
      </c>
      <c r="I217" s="706">
        <v>6459.83</v>
      </c>
      <c r="J217" s="706">
        <v>7940.72</v>
      </c>
      <c r="K217" s="706">
        <v>9376.24</v>
      </c>
      <c r="L217" s="706">
        <v>11581.52</v>
      </c>
      <c r="M217" s="706">
        <v>12164.02</v>
      </c>
      <c r="N217" s="706">
        <v>0</v>
      </c>
      <c r="O217" s="706">
        <v>0</v>
      </c>
      <c r="P217" s="706">
        <v>0</v>
      </c>
      <c r="Q217" s="706">
        <v>0</v>
      </c>
      <c r="R217" s="706">
        <v>0</v>
      </c>
      <c r="S217" s="706">
        <v>1930.25</v>
      </c>
      <c r="T217" s="706">
        <v>1930.25</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G0711</v>
      </c>
      <c r="AK217" s="905" t="str">
        <f t="shared" si="19"/>
        <v>COTISATIONS-NEUFS</v>
      </c>
      <c r="AL217" s="905">
        <f>IFERROR(INDEX(G217:R217,1,MATCH(Parametres!$B$3,G$1:R$1,0)-1)*IF(OR(F217="L",F217="S",F217="I"),-1,1),"")</f>
        <v>9376.24</v>
      </c>
      <c r="AM217" s="905">
        <f t="shared" si="20"/>
        <v>2205.2800000000007</v>
      </c>
      <c r="AN217" s="905">
        <f>INDEX(G217:R217,1,MATCH(Parametres!$B$3,G$1:R$1,0))*IF(OR(F217="L",F217="S",F217="I"),-1,1)</f>
        <v>11581.52</v>
      </c>
      <c r="AO217" s="487" t="str">
        <f>+VLOOKUP($AJ217,Data_Validation!$A:$D,1,0)</f>
        <v>G0711</v>
      </c>
      <c r="AP217" s="487" t="str">
        <f>+VLOOKUP($AJ217,Data_Validation!$A:$D,3,0)</f>
        <v>Véhicules neufs</v>
      </c>
      <c r="AQ217" s="487" t="str">
        <f>+VLOOKUP($AJ217,Data_Validation!$A:$D,4,0)</f>
        <v>Divers</v>
      </c>
      <c r="AR217" s="487" t="s">
        <v>299</v>
      </c>
      <c r="AS217" s="487">
        <f>+VLOOKUP($AJ217,Data_Validation!$A:$E,5,0)</f>
        <v>0</v>
      </c>
      <c r="AT217" s="904" t="str">
        <f t="shared" si="21"/>
        <v>G0711</v>
      </c>
      <c r="AU217" s="488" t="str">
        <f t="shared" si="22"/>
        <v>COTISATIONS-NEUFS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1535</v>
      </c>
      <c r="D218" s="706" t="s">
        <v>1536</v>
      </c>
      <c r="E218" s="706" t="s">
        <v>333</v>
      </c>
      <c r="F218" s="706" t="s">
        <v>1104</v>
      </c>
      <c r="G218" s="706">
        <v>1222.9000000000001</v>
      </c>
      <c r="H218" s="706">
        <v>4355.8999999999996</v>
      </c>
      <c r="I218" s="706">
        <v>5933.38</v>
      </c>
      <c r="J218" s="706">
        <v>7497.95</v>
      </c>
      <c r="K218" s="706">
        <v>8765.15</v>
      </c>
      <c r="L218" s="706">
        <v>10026.450000000001</v>
      </c>
      <c r="M218" s="706">
        <v>10325.450000000001</v>
      </c>
      <c r="N218" s="706">
        <v>0</v>
      </c>
      <c r="O218" s="706">
        <v>0</v>
      </c>
      <c r="P218" s="706">
        <v>0</v>
      </c>
      <c r="Q218" s="706">
        <v>0</v>
      </c>
      <c r="R218" s="706">
        <v>0</v>
      </c>
      <c r="S218" s="706">
        <v>1671.08</v>
      </c>
      <c r="T218" s="706">
        <v>1671.08</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G0712</v>
      </c>
      <c r="AK218" s="905" t="str">
        <f t="shared" si="19"/>
        <v>COTISATIONS-USAGES</v>
      </c>
      <c r="AL218" s="905">
        <f>IFERROR(INDEX(G218:R218,1,MATCH(Parametres!$B$3,G$1:R$1,0)-1)*IF(OR(F218="L",F218="S",F218="I"),-1,1),"")</f>
        <v>8765.15</v>
      </c>
      <c r="AM218" s="905">
        <f t="shared" si="20"/>
        <v>1261.3000000000011</v>
      </c>
      <c r="AN218" s="905">
        <f>INDEX(G218:R218,1,MATCH(Parametres!$B$3,G$1:R$1,0))*IF(OR(F218="L",F218="S",F218="I"),-1,1)</f>
        <v>10026.450000000001</v>
      </c>
      <c r="AO218" s="487" t="str">
        <f>+VLOOKUP($AJ218,Data_Validation!$A:$D,1,0)</f>
        <v>G0712</v>
      </c>
      <c r="AP218" s="487" t="str">
        <f>+VLOOKUP($AJ218,Data_Validation!$A:$D,3,0)</f>
        <v>Véhicules usagés</v>
      </c>
      <c r="AQ218" s="487" t="str">
        <f>+VLOOKUP($AJ218,Data_Validation!$A:$D,4,0)</f>
        <v>Divers</v>
      </c>
      <c r="AR218" s="487" t="s">
        <v>299</v>
      </c>
      <c r="AS218" s="487">
        <f>+VLOOKUP($AJ218,Data_Validation!$A:$E,5,0)</f>
        <v>0</v>
      </c>
      <c r="AT218" s="904" t="str">
        <f t="shared" si="21"/>
        <v>G0712</v>
      </c>
      <c r="AU218" s="488" t="str">
        <f t="shared" si="22"/>
        <v>COTISATIONS-USAGES</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1537</v>
      </c>
      <c r="D219" s="706" t="s">
        <v>1538</v>
      </c>
      <c r="E219" s="706" t="s">
        <v>333</v>
      </c>
      <c r="F219" s="706" t="s">
        <v>1104</v>
      </c>
      <c r="G219" s="706">
        <v>568.75</v>
      </c>
      <c r="H219" s="706">
        <v>1137.5</v>
      </c>
      <c r="I219" s="706">
        <v>2074.4699999999998</v>
      </c>
      <c r="J219" s="706">
        <v>2821.32</v>
      </c>
      <c r="K219" s="706">
        <v>3454.97</v>
      </c>
      <c r="L219" s="706">
        <v>4133.67</v>
      </c>
      <c r="M219" s="706">
        <v>4716.17</v>
      </c>
      <c r="N219" s="706">
        <v>0</v>
      </c>
      <c r="O219" s="706">
        <v>0</v>
      </c>
      <c r="P219" s="706">
        <v>0</v>
      </c>
      <c r="Q219" s="706">
        <v>0</v>
      </c>
      <c r="R219" s="706">
        <v>0</v>
      </c>
      <c r="S219" s="706">
        <v>688.95</v>
      </c>
      <c r="T219" s="706">
        <v>688.95</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G0714</v>
      </c>
      <c r="AK219" s="905" t="str">
        <f t="shared" si="19"/>
        <v>COTISATIONS-SERVICE</v>
      </c>
      <c r="AL219" s="905">
        <f>IFERROR(INDEX(G219:R219,1,MATCH(Parametres!$B$3,G$1:R$1,0)-1)*IF(OR(F219="L",F219="S",F219="I"),-1,1),"")</f>
        <v>3454.97</v>
      </c>
      <c r="AM219" s="905">
        <f t="shared" si="20"/>
        <v>678.70000000000027</v>
      </c>
      <c r="AN219" s="905">
        <f>INDEX(G219:R219,1,MATCH(Parametres!$B$3,G$1:R$1,0))*IF(OR(F219="L",F219="S",F219="I"),-1,1)</f>
        <v>4133.67</v>
      </c>
      <c r="AO219" s="487" t="str">
        <f>+VLOOKUP($AJ219,Data_Validation!$A:$D,1,0)</f>
        <v>G0714</v>
      </c>
      <c r="AP219" s="487" t="str">
        <f>+VLOOKUP($AJ219,Data_Validation!$A:$D,3,0)</f>
        <v>Service</v>
      </c>
      <c r="AQ219" s="487" t="str">
        <f>+VLOOKUP($AJ219,Data_Validation!$A:$D,4,0)</f>
        <v>Divers</v>
      </c>
      <c r="AR219" s="487" t="s">
        <v>299</v>
      </c>
      <c r="AS219" s="487">
        <f>+VLOOKUP($AJ219,Data_Validation!$A:$E,5,0)</f>
        <v>0</v>
      </c>
      <c r="AT219" s="904" t="str">
        <f t="shared" si="21"/>
        <v>G0714</v>
      </c>
      <c r="AU219" s="488" t="str">
        <f t="shared" si="22"/>
        <v>COTISATIONS-SERVICE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1539</v>
      </c>
      <c r="D220" s="706" t="s">
        <v>1540</v>
      </c>
      <c r="E220" s="706" t="s">
        <v>333</v>
      </c>
      <c r="F220" s="706" t="s">
        <v>1104</v>
      </c>
      <c r="G220" s="706">
        <v>1103.71</v>
      </c>
      <c r="H220" s="706">
        <v>1623.67</v>
      </c>
      <c r="I220" s="706">
        <v>3393.46</v>
      </c>
      <c r="J220" s="706">
        <v>4823.74</v>
      </c>
      <c r="K220" s="706">
        <v>6245.81</v>
      </c>
      <c r="L220" s="706">
        <v>8701.19</v>
      </c>
      <c r="M220" s="706">
        <v>9106.57</v>
      </c>
      <c r="N220" s="706">
        <v>0</v>
      </c>
      <c r="O220" s="706">
        <v>0</v>
      </c>
      <c r="P220" s="706">
        <v>0</v>
      </c>
      <c r="Q220" s="706">
        <v>0</v>
      </c>
      <c r="R220" s="706">
        <v>0</v>
      </c>
      <c r="S220" s="706">
        <v>1450.2</v>
      </c>
      <c r="T220" s="706">
        <v>1450.2</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G0715</v>
      </c>
      <c r="AK220" s="905" t="str">
        <f t="shared" si="19"/>
        <v>COTISATIONS-CARROSS.</v>
      </c>
      <c r="AL220" s="905">
        <f>IFERROR(INDEX(G220:R220,1,MATCH(Parametres!$B$3,G$1:R$1,0)-1)*IF(OR(F220="L",F220="S",F220="I"),-1,1),"")</f>
        <v>6245.81</v>
      </c>
      <c r="AM220" s="905">
        <f t="shared" si="20"/>
        <v>2455.38</v>
      </c>
      <c r="AN220" s="905">
        <f>INDEX(G220:R220,1,MATCH(Parametres!$B$3,G$1:R$1,0))*IF(OR(F220="L",F220="S",F220="I"),-1,1)</f>
        <v>8701.19</v>
      </c>
      <c r="AO220" s="487" t="str">
        <f>+VLOOKUP($AJ220,Data_Validation!$A:$D,1,0)</f>
        <v>G0715</v>
      </c>
      <c r="AP220" s="487" t="str">
        <f>+VLOOKUP($AJ220,Data_Validation!$A:$D,3,0)</f>
        <v>Carrosserie</v>
      </c>
      <c r="AQ220" s="487" t="str">
        <f>+VLOOKUP($AJ220,Data_Validation!$A:$D,4,0)</f>
        <v>Divers</v>
      </c>
      <c r="AR220" s="487" t="s">
        <v>299</v>
      </c>
      <c r="AS220" s="487">
        <f>+VLOOKUP($AJ220,Data_Validation!$A:$E,5,0)</f>
        <v>0</v>
      </c>
      <c r="AT220" s="904" t="str">
        <f t="shared" si="21"/>
        <v>G0715</v>
      </c>
      <c r="AU220" s="488" t="str">
        <f t="shared" si="22"/>
        <v>COTISATIONS-CARROSS.</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1541</v>
      </c>
      <c r="D221" s="706" t="s">
        <v>1542</v>
      </c>
      <c r="E221" s="706" t="s">
        <v>333</v>
      </c>
      <c r="F221" s="706" t="s">
        <v>1104</v>
      </c>
      <c r="G221" s="706">
        <v>0</v>
      </c>
      <c r="H221" s="706">
        <v>0</v>
      </c>
      <c r="I221" s="706">
        <v>0</v>
      </c>
      <c r="J221" s="706">
        <v>0</v>
      </c>
      <c r="K221" s="706">
        <v>1516.27</v>
      </c>
      <c r="L221" s="706">
        <v>5439.79</v>
      </c>
      <c r="M221" s="706">
        <v>7029.3</v>
      </c>
      <c r="N221" s="706">
        <v>0</v>
      </c>
      <c r="O221" s="706">
        <v>0</v>
      </c>
      <c r="P221" s="706">
        <v>0</v>
      </c>
      <c r="Q221" s="706">
        <v>0</v>
      </c>
      <c r="R221" s="706">
        <v>0</v>
      </c>
      <c r="S221" s="706">
        <v>906.63</v>
      </c>
      <c r="T221" s="706">
        <v>906.63</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G07150</v>
      </c>
      <c r="AK221" s="905" t="str">
        <f t="shared" si="19"/>
        <v>FRAIS ASSURANCES - BODY</v>
      </c>
      <c r="AL221" s="905">
        <f>IFERROR(INDEX(G221:R221,1,MATCH(Parametres!$B$3,G$1:R$1,0)-1)*IF(OR(F221="L",F221="S",F221="I"),-1,1),"")</f>
        <v>1516.27</v>
      </c>
      <c r="AM221" s="905">
        <f t="shared" si="20"/>
        <v>3923.52</v>
      </c>
      <c r="AN221" s="905">
        <f>INDEX(G221:R221,1,MATCH(Parametres!$B$3,G$1:R$1,0))*IF(OR(F221="L",F221="S",F221="I"),-1,1)</f>
        <v>5439.79</v>
      </c>
      <c r="AO221" s="487" t="str">
        <f>+VLOOKUP($AJ221,Data_Validation!$A:$D,1,0)</f>
        <v>G07150</v>
      </c>
      <c r="AP221" s="487" t="str">
        <f>+VLOOKUP($AJ221,Data_Validation!$A:$D,3,0)</f>
        <v>Carrosserie</v>
      </c>
      <c r="AQ221" s="487" t="str">
        <f>+VLOOKUP($AJ221,Data_Validation!$A:$D,4,0)</f>
        <v>Frais assurances</v>
      </c>
      <c r="AR221" s="487" t="s">
        <v>299</v>
      </c>
      <c r="AS221" s="487">
        <f>+VLOOKUP($AJ221,Data_Validation!$A:$E,5,0)</f>
        <v>0</v>
      </c>
      <c r="AT221" s="904" t="str">
        <f t="shared" si="21"/>
        <v>G07150</v>
      </c>
      <c r="AU221" s="488" t="str">
        <f t="shared" si="22"/>
        <v>FRAIS ASSURANCES - BODY</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2026</v>
      </c>
      <c r="C222" s="706" t="s">
        <v>1543</v>
      </c>
      <c r="D222" s="706" t="s">
        <v>1544</v>
      </c>
      <c r="E222" s="706" t="s">
        <v>333</v>
      </c>
      <c r="F222" s="706" t="s">
        <v>1104</v>
      </c>
      <c r="G222" s="706">
        <v>994.95</v>
      </c>
      <c r="H222" s="706">
        <v>2214.9</v>
      </c>
      <c r="I222" s="706">
        <v>3067.57</v>
      </c>
      <c r="J222" s="706">
        <v>4082.31</v>
      </c>
      <c r="K222" s="706">
        <v>8367.91</v>
      </c>
      <c r="L222" s="706">
        <v>9334.51</v>
      </c>
      <c r="M222" s="706">
        <v>10339.459999999999</v>
      </c>
      <c r="N222" s="706">
        <v>0</v>
      </c>
      <c r="O222" s="706">
        <v>0</v>
      </c>
      <c r="P222" s="706">
        <v>0</v>
      </c>
      <c r="Q222" s="706">
        <v>0</v>
      </c>
      <c r="R222" s="706">
        <v>0</v>
      </c>
      <c r="S222" s="706">
        <v>1555.75</v>
      </c>
      <c r="T222" s="706">
        <v>1555.75</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G0716</v>
      </c>
      <c r="AK222" s="905" t="str">
        <f t="shared" si="19"/>
        <v>COTISATIONS-PIECES</v>
      </c>
      <c r="AL222" s="905">
        <f>IFERROR(INDEX(G222:R222,1,MATCH(Parametres!$B$3,G$1:R$1,0)-1)*IF(OR(F222="L",F222="S",F222="I"),-1,1),"")</f>
        <v>8367.91</v>
      </c>
      <c r="AM222" s="905">
        <f t="shared" si="20"/>
        <v>966.60000000000036</v>
      </c>
      <c r="AN222" s="905">
        <f>INDEX(G222:R222,1,MATCH(Parametres!$B$3,G$1:R$1,0))*IF(OR(F222="L",F222="S",F222="I"),-1,1)</f>
        <v>9334.51</v>
      </c>
      <c r="AO222" s="487" t="str">
        <f>+VLOOKUP($AJ222,Data_Validation!$A:$D,1,0)</f>
        <v>G0716</v>
      </c>
      <c r="AP222" s="487" t="str">
        <f>+VLOOKUP($AJ222,Data_Validation!$A:$D,3,0)</f>
        <v>Pièces</v>
      </c>
      <c r="AQ222" s="487" t="str">
        <f>+VLOOKUP($AJ222,Data_Validation!$A:$D,4,0)</f>
        <v>Divers</v>
      </c>
      <c r="AR222" s="487" t="s">
        <v>299</v>
      </c>
      <c r="AS222" s="487">
        <f>+VLOOKUP($AJ222,Data_Validation!$A:$E,5,0)</f>
        <v>0</v>
      </c>
      <c r="AT222" s="904" t="str">
        <f t="shared" si="21"/>
        <v>G0716</v>
      </c>
      <c r="AU222" s="488" t="str">
        <f t="shared" si="22"/>
        <v>COTISATIONS-PIECES</v>
      </c>
      <c r="AV222" s="899">
        <f>IFERROR(INDEX(V222:AG222,1,MATCH(Parametres!$B$3,V$1:AG$1,0)-1)*IF(OR(C222="L",C222="S",C222="I"),-1,1),"")</f>
        <v>0</v>
      </c>
      <c r="AW222" s="899">
        <f t="shared" si="23"/>
        <v>0</v>
      </c>
      <c r="AX222" s="899">
        <f>INDEX(V222:AG222,1,MATCH(Parametres!$B$3,V$1:AG$1,0))*IF(OR(C222="L",C222="S",C222="I"),-1,1)</f>
        <v>0</v>
      </c>
      <c r="AY222" s="487" t="s">
        <v>337</v>
      </c>
      <c r="AZ222" s="487">
        <f>+VLOOKUP($AJ222,Data_Validation!$A:$E,5,0)</f>
        <v>0</v>
      </c>
    </row>
    <row r="223" spans="1:52" ht="15" customHeight="1">
      <c r="A223" s="706" t="s">
        <v>1148</v>
      </c>
      <c r="B223" s="706">
        <v>2026</v>
      </c>
      <c r="C223" s="706" t="s">
        <v>1545</v>
      </c>
      <c r="D223" s="706" t="s">
        <v>1546</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G0720</v>
      </c>
      <c r="AK223" s="905" t="str">
        <f t="shared" si="19"/>
        <v>HONORAIRES PROF. REP</v>
      </c>
      <c r="AL223" s="905">
        <f>IFERROR(INDEX(G223:R223,1,MATCH(Parametres!$B$3,G$1:R$1,0)-1)*IF(OR(F223="L",F223="S",F223="I"),-1,1),"")</f>
        <v>0</v>
      </c>
      <c r="AM223" s="905">
        <f t="shared" si="20"/>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t="str">
        <f t="shared" si="21"/>
        <v>G0720</v>
      </c>
      <c r="AU223" s="488" t="str">
        <f t="shared" si="22"/>
        <v>HONORAIRES PROF. REP</v>
      </c>
      <c r="AV223" s="899">
        <f>IFERROR(INDEX(V223:AG223,1,MATCH(Parametres!$B$3,V$1:AG$1,0)-1)*IF(OR(C223="L",C223="S",C223="I"),-1,1),"")</f>
        <v>0</v>
      </c>
      <c r="AW223" s="899">
        <f t="shared" si="23"/>
        <v>0</v>
      </c>
      <c r="AX223" s="899">
        <f>INDEX(V223:AG223,1,MATCH(Parametres!$B$3,V$1:AG$1,0))*IF(OR(C223="L",C223="S",C223="I"),-1,1)</f>
        <v>0</v>
      </c>
      <c r="AY223" s="487" t="s">
        <v>337</v>
      </c>
      <c r="AZ223" s="487" t="e">
        <f>+VLOOKUP($AJ223,Data_Validation!$A:$E,5,0)</f>
        <v>#N/A</v>
      </c>
    </row>
    <row r="224" spans="1:52" ht="15" customHeight="1">
      <c r="A224" s="706" t="s">
        <v>1148</v>
      </c>
      <c r="B224" s="706">
        <v>2026</v>
      </c>
      <c r="C224" s="706" t="s">
        <v>1547</v>
      </c>
      <c r="D224" s="706" t="s">
        <v>1548</v>
      </c>
      <c r="E224" s="706" t="s">
        <v>333</v>
      </c>
      <c r="F224" s="706" t="s">
        <v>1104</v>
      </c>
      <c r="G224" s="706">
        <v>125</v>
      </c>
      <c r="H224" s="706">
        <v>354.2</v>
      </c>
      <c r="I224" s="706">
        <v>2995.24</v>
      </c>
      <c r="J224" s="706">
        <v>4675.24</v>
      </c>
      <c r="K224" s="706">
        <v>6750.24</v>
      </c>
      <c r="L224" s="706">
        <v>7800.24</v>
      </c>
      <c r="M224" s="706">
        <v>8850.24</v>
      </c>
      <c r="N224" s="706">
        <v>0</v>
      </c>
      <c r="O224" s="706">
        <v>0</v>
      </c>
      <c r="P224" s="706">
        <v>0</v>
      </c>
      <c r="Q224" s="706">
        <v>0</v>
      </c>
      <c r="R224" s="706">
        <v>0</v>
      </c>
      <c r="S224" s="706">
        <v>1300.04</v>
      </c>
      <c r="T224" s="706">
        <v>1300.04</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G0721</v>
      </c>
      <c r="AK224" s="905" t="str">
        <f t="shared" si="19"/>
        <v>HONORAIRES PROF.-NEUFS</v>
      </c>
      <c r="AL224" s="905">
        <f>IFERROR(INDEX(G224:R224,1,MATCH(Parametres!$B$3,G$1:R$1,0)-1)*IF(OR(F224="L",F224="S",F224="I"),-1,1),"")</f>
        <v>6750.24</v>
      </c>
      <c r="AM224" s="905">
        <f t="shared" si="20"/>
        <v>1050</v>
      </c>
      <c r="AN224" s="905">
        <f>INDEX(G224:R224,1,MATCH(Parametres!$B$3,G$1:R$1,0))*IF(OR(F224="L",F224="S",F224="I"),-1,1)</f>
        <v>7800.24</v>
      </c>
      <c r="AO224" s="487" t="str">
        <f>+VLOOKUP($AJ224,Data_Validation!$A:$D,1,0)</f>
        <v>G0721</v>
      </c>
      <c r="AP224" s="487" t="str">
        <f>+VLOOKUP($AJ224,Data_Validation!$A:$D,3,0)</f>
        <v>Véhicules neufs</v>
      </c>
      <c r="AQ224" s="487" t="str">
        <f>+VLOOKUP($AJ224,Data_Validation!$A:$D,4,0)</f>
        <v>Honoraires</v>
      </c>
      <c r="AR224" s="487" t="s">
        <v>299</v>
      </c>
      <c r="AS224" s="487">
        <f>+VLOOKUP($AJ224,Data_Validation!$A:$E,5,0)</f>
        <v>0</v>
      </c>
      <c r="AT224" s="904" t="str">
        <f t="shared" si="21"/>
        <v>G0721</v>
      </c>
      <c r="AU224" s="488" t="str">
        <f t="shared" si="22"/>
        <v>HONORAIRES PROF.-NEUFS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1549</v>
      </c>
      <c r="D225" s="706" t="s">
        <v>1550</v>
      </c>
      <c r="E225" s="706" t="s">
        <v>333</v>
      </c>
      <c r="F225" s="706" t="s">
        <v>1104</v>
      </c>
      <c r="G225" s="706">
        <v>0</v>
      </c>
      <c r="H225" s="706">
        <v>152.80000000000001</v>
      </c>
      <c r="I225" s="706">
        <v>1913.5</v>
      </c>
      <c r="J225" s="706">
        <v>3033.5</v>
      </c>
      <c r="K225" s="706">
        <v>3733.5</v>
      </c>
      <c r="L225" s="706">
        <v>4433.5</v>
      </c>
      <c r="M225" s="706">
        <v>5133.5</v>
      </c>
      <c r="N225" s="706">
        <v>0</v>
      </c>
      <c r="O225" s="706">
        <v>0</v>
      </c>
      <c r="P225" s="706">
        <v>0</v>
      </c>
      <c r="Q225" s="706">
        <v>0</v>
      </c>
      <c r="R225" s="706">
        <v>0</v>
      </c>
      <c r="S225" s="706">
        <v>738.92</v>
      </c>
      <c r="T225" s="706">
        <v>738.92</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G0722</v>
      </c>
      <c r="AK225" s="905" t="str">
        <f t="shared" si="19"/>
        <v>HONORAIRES PROF.-USAGES</v>
      </c>
      <c r="AL225" s="905">
        <f>IFERROR(INDEX(G225:R225,1,MATCH(Parametres!$B$3,G$1:R$1,0)-1)*IF(OR(F225="L",F225="S",F225="I"),-1,1),"")</f>
        <v>3733.5</v>
      </c>
      <c r="AM225" s="905">
        <f t="shared" si="20"/>
        <v>700</v>
      </c>
      <c r="AN225" s="905">
        <f>INDEX(G225:R225,1,MATCH(Parametres!$B$3,G$1:R$1,0))*IF(OR(F225="L",F225="S",F225="I"),-1,1)</f>
        <v>4433.5</v>
      </c>
      <c r="AO225" s="487" t="str">
        <f>+VLOOKUP($AJ225,Data_Validation!$A:$D,1,0)</f>
        <v>G0722</v>
      </c>
      <c r="AP225" s="487" t="str">
        <f>+VLOOKUP($AJ225,Data_Validation!$A:$D,3,0)</f>
        <v>Véhicules usagés</v>
      </c>
      <c r="AQ225" s="487" t="str">
        <f>+VLOOKUP($AJ225,Data_Validation!$A:$D,4,0)</f>
        <v>Honoraires</v>
      </c>
      <c r="AR225" s="487" t="s">
        <v>299</v>
      </c>
      <c r="AS225" s="487">
        <f>+VLOOKUP($AJ225,Data_Validation!$A:$E,5,0)</f>
        <v>0</v>
      </c>
      <c r="AT225" s="904" t="str">
        <f t="shared" si="21"/>
        <v>G0722</v>
      </c>
      <c r="AU225" s="488" t="str">
        <f t="shared" si="22"/>
        <v>HONORAIRES PROF.-USAGES</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1551</v>
      </c>
      <c r="D226" s="706" t="s">
        <v>1552</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G0723</v>
      </c>
      <c r="AK226" s="905" t="str">
        <f t="shared" si="19"/>
        <v>HONORAIRES PROF. U.S.A</v>
      </c>
      <c r="AL226" s="905">
        <f>IFERROR(INDEX(G226:R226,1,MATCH(Parametres!$B$3,G$1:R$1,0)-1)*IF(OR(F226="L",F226="S",F226="I"),-1,1),"")</f>
        <v>0</v>
      </c>
      <c r="AM226" s="905">
        <f t="shared" si="20"/>
        <v>0</v>
      </c>
      <c r="AN226" s="905">
        <f>INDEX(G226:R226,1,MATCH(Parametres!$B$3,G$1:R$1,0))*IF(OR(F226="L",F226="S",F226="I"),-1,1)</f>
        <v>0</v>
      </c>
      <c r="AO226" s="487" t="str">
        <f>+VLOOKUP($AJ226,Data_Validation!$A:$D,1,0)</f>
        <v>G0723</v>
      </c>
      <c r="AP226" s="487" t="str">
        <f>+VLOOKUP($AJ226,Data_Validation!$A:$D,3,0)</f>
        <v>Wholesale autres</v>
      </c>
      <c r="AQ226" s="487" t="str">
        <f>+VLOOKUP($AJ226,Data_Validation!$A:$D,4,0)</f>
        <v>Honoraires</v>
      </c>
      <c r="AR226" s="487" t="s">
        <v>299</v>
      </c>
      <c r="AS226" s="487">
        <f>+VLOOKUP($AJ226,Data_Validation!$A:$E,5,0)</f>
        <v>0</v>
      </c>
      <c r="AT226" s="904" t="str">
        <f t="shared" si="21"/>
        <v>G0723</v>
      </c>
      <c r="AU226" s="488" t="str">
        <f t="shared" si="22"/>
        <v>HONORAIRES PROF. U.S.A</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1553</v>
      </c>
      <c r="D227" s="706" t="s">
        <v>1554</v>
      </c>
      <c r="E227" s="706" t="s">
        <v>333</v>
      </c>
      <c r="F227" s="706" t="s">
        <v>1104</v>
      </c>
      <c r="G227" s="706">
        <v>302.48</v>
      </c>
      <c r="H227" s="706">
        <v>809.1</v>
      </c>
      <c r="I227" s="706">
        <v>3450.14</v>
      </c>
      <c r="J227" s="706">
        <v>5130.1400000000003</v>
      </c>
      <c r="K227" s="706">
        <v>6241.94</v>
      </c>
      <c r="L227" s="706">
        <v>7321.94</v>
      </c>
      <c r="M227" s="706">
        <v>8818.42</v>
      </c>
      <c r="N227" s="706">
        <v>0</v>
      </c>
      <c r="O227" s="706">
        <v>0</v>
      </c>
      <c r="P227" s="706">
        <v>0</v>
      </c>
      <c r="Q227" s="706">
        <v>0</v>
      </c>
      <c r="R227" s="706">
        <v>0</v>
      </c>
      <c r="S227" s="706">
        <v>1220.32</v>
      </c>
      <c r="T227" s="706">
        <v>1220.32</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G0724</v>
      </c>
      <c r="AK227" s="905" t="str">
        <f t="shared" si="19"/>
        <v>HONORAIRES PROF.-SERVICE</v>
      </c>
      <c r="AL227" s="905">
        <f>IFERROR(INDEX(G227:R227,1,MATCH(Parametres!$B$3,G$1:R$1,0)-1)*IF(OR(F227="L",F227="S",F227="I"),-1,1),"")</f>
        <v>6241.94</v>
      </c>
      <c r="AM227" s="905">
        <f t="shared" si="20"/>
        <v>1080</v>
      </c>
      <c r="AN227" s="905">
        <f>INDEX(G227:R227,1,MATCH(Parametres!$B$3,G$1:R$1,0))*IF(OR(F227="L",F227="S",F227="I"),-1,1)</f>
        <v>7321.94</v>
      </c>
      <c r="AO227" s="487" t="str">
        <f>+VLOOKUP($AJ227,Data_Validation!$A:$D,1,0)</f>
        <v>G0724</v>
      </c>
      <c r="AP227" s="487" t="str">
        <f>+VLOOKUP($AJ227,Data_Validation!$A:$D,3,0)</f>
        <v>Service</v>
      </c>
      <c r="AQ227" s="487" t="str">
        <f>+VLOOKUP($AJ227,Data_Validation!$A:$D,4,0)</f>
        <v>Honoraires</v>
      </c>
      <c r="AR227" s="487" t="s">
        <v>299</v>
      </c>
      <c r="AS227" s="487">
        <f>+VLOOKUP($AJ227,Data_Validation!$A:$E,5,0)</f>
        <v>0</v>
      </c>
      <c r="AT227" s="904" t="str">
        <f t="shared" si="21"/>
        <v>G0724</v>
      </c>
      <c r="AU227" s="488" t="str">
        <f t="shared" si="22"/>
        <v>HONORAIRES PROF.-SERVICE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1555</v>
      </c>
      <c r="D228" s="706" t="s">
        <v>1556</v>
      </c>
      <c r="E228" s="706" t="s">
        <v>333</v>
      </c>
      <c r="F228" s="706" t="s">
        <v>1104</v>
      </c>
      <c r="G228" s="706">
        <v>302.48</v>
      </c>
      <c r="H228" s="706">
        <v>486.88</v>
      </c>
      <c r="I228" s="706">
        <v>1367.22</v>
      </c>
      <c r="J228" s="706">
        <v>1927.22</v>
      </c>
      <c r="K228" s="706">
        <v>2277.2199999999998</v>
      </c>
      <c r="L228" s="706">
        <v>2627.22</v>
      </c>
      <c r="M228" s="706">
        <v>3303.7</v>
      </c>
      <c r="N228" s="706">
        <v>0</v>
      </c>
      <c r="O228" s="706">
        <v>0</v>
      </c>
      <c r="P228" s="706">
        <v>0</v>
      </c>
      <c r="Q228" s="706">
        <v>0</v>
      </c>
      <c r="R228" s="706">
        <v>0</v>
      </c>
      <c r="S228" s="706">
        <v>437.87</v>
      </c>
      <c r="T228" s="706">
        <v>437.87</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G0725</v>
      </c>
      <c r="AK228" s="905" t="str">
        <f t="shared" si="19"/>
        <v>HONORAIRES PORF.-CARROSS.</v>
      </c>
      <c r="AL228" s="905">
        <f>IFERROR(INDEX(G228:R228,1,MATCH(Parametres!$B$3,G$1:R$1,0)-1)*IF(OR(F228="L",F228="S",F228="I"),-1,1),"")</f>
        <v>2277.2199999999998</v>
      </c>
      <c r="AM228" s="905">
        <f t="shared" si="20"/>
        <v>350</v>
      </c>
      <c r="AN228" s="905">
        <f>INDEX(G228:R228,1,MATCH(Parametres!$B$3,G$1:R$1,0))*IF(OR(F228="L",F228="S",F228="I"),-1,1)</f>
        <v>2627.22</v>
      </c>
      <c r="AO228" s="487" t="str">
        <f>+VLOOKUP($AJ228,Data_Validation!$A:$D,1,0)</f>
        <v>G0725</v>
      </c>
      <c r="AP228" s="487" t="str">
        <f>+VLOOKUP($AJ228,Data_Validation!$A:$D,3,0)</f>
        <v>Carrosserie</v>
      </c>
      <c r="AQ228" s="487" t="str">
        <f>+VLOOKUP($AJ228,Data_Validation!$A:$D,4,0)</f>
        <v>Honoraires</v>
      </c>
      <c r="AR228" s="487" t="s">
        <v>299</v>
      </c>
      <c r="AS228" s="487">
        <f>+VLOOKUP($AJ228,Data_Validation!$A:$E,5,0)</f>
        <v>0</v>
      </c>
      <c r="AT228" s="904" t="str">
        <f t="shared" si="21"/>
        <v>G0725</v>
      </c>
      <c r="AU228" s="488" t="str">
        <f t="shared" si="22"/>
        <v>HONORAIRES PORF.-CARROSS.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customHeight="1">
      <c r="A229" s="706" t="s">
        <v>1148</v>
      </c>
      <c r="B229" s="706">
        <v>2026</v>
      </c>
      <c r="C229" s="706" t="s">
        <v>1557</v>
      </c>
      <c r="D229" s="706" t="s">
        <v>1558</v>
      </c>
      <c r="E229" s="706" t="s">
        <v>333</v>
      </c>
      <c r="F229" s="706" t="s">
        <v>1104</v>
      </c>
      <c r="G229" s="706">
        <v>151.24</v>
      </c>
      <c r="H229" s="706">
        <v>281.64</v>
      </c>
      <c r="I229" s="706">
        <v>1162</v>
      </c>
      <c r="J229" s="706">
        <v>1722</v>
      </c>
      <c r="K229" s="706">
        <v>2072</v>
      </c>
      <c r="L229" s="706">
        <v>2422</v>
      </c>
      <c r="M229" s="706">
        <v>2935.24</v>
      </c>
      <c r="N229" s="706">
        <v>0</v>
      </c>
      <c r="O229" s="706">
        <v>0</v>
      </c>
      <c r="P229" s="706">
        <v>0</v>
      </c>
      <c r="Q229" s="706">
        <v>0</v>
      </c>
      <c r="R229" s="706">
        <v>0</v>
      </c>
      <c r="S229" s="706">
        <v>403.67</v>
      </c>
      <c r="T229" s="706">
        <v>403.67</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G0726</v>
      </c>
      <c r="AK229" s="905" t="str">
        <f t="shared" si="19"/>
        <v>HONORAIRES PROF.-PIECES</v>
      </c>
      <c r="AL229" s="905">
        <f>IFERROR(INDEX(G229:R229,1,MATCH(Parametres!$B$3,G$1:R$1,0)-1)*IF(OR(F229="L",F229="S",F229="I"),-1,1),"")</f>
        <v>2072</v>
      </c>
      <c r="AM229" s="905">
        <f t="shared" si="20"/>
        <v>350</v>
      </c>
      <c r="AN229" s="905">
        <f>INDEX(G229:R229,1,MATCH(Parametres!$B$3,G$1:R$1,0))*IF(OR(F229="L",F229="S",F229="I"),-1,1)</f>
        <v>2422</v>
      </c>
      <c r="AO229" s="487" t="str">
        <f>+VLOOKUP($AJ229,Data_Validation!$A:$D,1,0)</f>
        <v>G0726</v>
      </c>
      <c r="AP229" s="487" t="str">
        <f>+VLOOKUP($AJ229,Data_Validation!$A:$D,3,0)</f>
        <v>Pièces</v>
      </c>
      <c r="AQ229" s="487" t="str">
        <f>+VLOOKUP($AJ229,Data_Validation!$A:$D,4,0)</f>
        <v>Honoraires</v>
      </c>
      <c r="AR229" s="487" t="s">
        <v>299</v>
      </c>
      <c r="AS229" s="487">
        <f>+VLOOKUP($AJ229,Data_Validation!$A:$E,5,0)</f>
        <v>0</v>
      </c>
      <c r="AT229" s="904" t="str">
        <f t="shared" si="21"/>
        <v>G0726</v>
      </c>
      <c r="AU229" s="488" t="str">
        <f t="shared" si="22"/>
        <v>HONORAIRES PROF.-PIECES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customHeight="1">
      <c r="A230" s="706" t="s">
        <v>1148</v>
      </c>
      <c r="B230" s="706">
        <v>2026</v>
      </c>
      <c r="C230" s="706" t="s">
        <v>1559</v>
      </c>
      <c r="D230" s="706" t="s">
        <v>1560</v>
      </c>
      <c r="E230" s="706" t="s">
        <v>333</v>
      </c>
      <c r="F230" s="706" t="s">
        <v>1104</v>
      </c>
      <c r="G230" s="706">
        <v>0</v>
      </c>
      <c r="H230" s="706">
        <v>0</v>
      </c>
      <c r="I230" s="706">
        <v>0</v>
      </c>
      <c r="J230" s="706">
        <v>0</v>
      </c>
      <c r="K230" s="706">
        <v>0</v>
      </c>
      <c r="L230" s="706">
        <v>0</v>
      </c>
      <c r="M230" s="706">
        <v>0</v>
      </c>
      <c r="N230" s="706">
        <v>0</v>
      </c>
      <c r="O230" s="706">
        <v>0</v>
      </c>
      <c r="P230" s="706">
        <v>0</v>
      </c>
      <c r="Q230" s="706">
        <v>0</v>
      </c>
      <c r="R230" s="706">
        <v>0</v>
      </c>
      <c r="S230" s="706">
        <v>0</v>
      </c>
      <c r="T230" s="706">
        <v>0</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G0740</v>
      </c>
      <c r="AK230" s="905" t="str">
        <f t="shared" si="19"/>
        <v>TELEPHONE REP.</v>
      </c>
      <c r="AL230" s="905">
        <f>IFERROR(INDEX(G230:R230,1,MATCH(Parametres!$B$3,G$1:R$1,0)-1)*IF(OR(F230="L",F230="S",F230="I"),-1,1),"")</f>
        <v>0</v>
      </c>
      <c r="AM230" s="905">
        <f t="shared" si="20"/>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t="str">
        <f t="shared" si="21"/>
        <v>G0740</v>
      </c>
      <c r="AU230" s="488" t="str">
        <f t="shared" si="22"/>
        <v>TELEPHONE REP.</v>
      </c>
      <c r="AV230" s="899">
        <f>IFERROR(INDEX(V230:AG230,1,MATCH(Parametres!$B$3,V$1:AG$1,0)-1)*IF(OR(C230="L",C230="S",C230="I"),-1,1),"")</f>
        <v>0</v>
      </c>
      <c r="AW230" s="899">
        <f t="shared" si="23"/>
        <v>0</v>
      </c>
      <c r="AX230" s="899">
        <f>INDEX(V230:AG230,1,MATCH(Parametres!$B$3,V$1:AG$1,0))*IF(OR(C230="L",C230="S",C230="I"),-1,1)</f>
        <v>0</v>
      </c>
      <c r="AY230" s="487" t="s">
        <v>337</v>
      </c>
      <c r="AZ230" s="487" t="e">
        <f>+VLOOKUP($AJ230,Data_Validation!$A:$E,5,0)</f>
        <v>#N/A</v>
      </c>
    </row>
    <row r="231" spans="1:52" ht="15" customHeight="1">
      <c r="A231" s="706" t="s">
        <v>1148</v>
      </c>
      <c r="B231" s="706">
        <v>2026</v>
      </c>
      <c r="C231" s="706" t="s">
        <v>1561</v>
      </c>
      <c r="D231" s="706" t="s">
        <v>1562</v>
      </c>
      <c r="E231" s="706" t="s">
        <v>333</v>
      </c>
      <c r="F231" s="706" t="s">
        <v>1104</v>
      </c>
      <c r="G231" s="706">
        <v>660.81</v>
      </c>
      <c r="H231" s="706">
        <v>908.81</v>
      </c>
      <c r="I231" s="706">
        <v>1203.28</v>
      </c>
      <c r="J231" s="706">
        <v>1712.27</v>
      </c>
      <c r="K231" s="706">
        <v>3151.7</v>
      </c>
      <c r="L231" s="706">
        <v>3487.02</v>
      </c>
      <c r="M231" s="706">
        <v>3769.31</v>
      </c>
      <c r="N231" s="706">
        <v>0</v>
      </c>
      <c r="O231" s="706">
        <v>0</v>
      </c>
      <c r="P231" s="706">
        <v>0</v>
      </c>
      <c r="Q231" s="706">
        <v>0</v>
      </c>
      <c r="R231" s="706">
        <v>0</v>
      </c>
      <c r="S231" s="706">
        <v>581.16999999999996</v>
      </c>
      <c r="T231" s="706">
        <v>581.16999999999996</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G0741</v>
      </c>
      <c r="AK231" s="905" t="str">
        <f t="shared" si="19"/>
        <v>TELEPHONE-NEUFS</v>
      </c>
      <c r="AL231" s="905">
        <f>IFERROR(INDEX(G231:R231,1,MATCH(Parametres!$B$3,G$1:R$1,0)-1)*IF(OR(F231="L",F231="S",F231="I"),-1,1),"")</f>
        <v>3151.7</v>
      </c>
      <c r="AM231" s="905">
        <f t="shared" si="20"/>
        <v>335.32000000000016</v>
      </c>
      <c r="AN231" s="905">
        <f>INDEX(G231:R231,1,MATCH(Parametres!$B$3,G$1:R$1,0))*IF(OR(F231="L",F231="S",F231="I"),-1,1)</f>
        <v>3487.02</v>
      </c>
      <c r="AO231" s="487" t="str">
        <f>+VLOOKUP($AJ231,Data_Validation!$A:$D,1,0)</f>
        <v>G0741</v>
      </c>
      <c r="AP231" s="487" t="str">
        <f>+VLOOKUP($AJ231,Data_Validation!$A:$D,3,0)</f>
        <v>Véhicules neufs</v>
      </c>
      <c r="AQ231" s="487" t="str">
        <f>+VLOOKUP($AJ231,Data_Validation!$A:$D,4,0)</f>
        <v>Téléphone</v>
      </c>
      <c r="AR231" s="487" t="s">
        <v>299</v>
      </c>
      <c r="AS231" s="487">
        <f>+VLOOKUP($AJ231,Data_Validation!$A:$E,5,0)</f>
        <v>0</v>
      </c>
      <c r="AT231" s="904" t="str">
        <f t="shared" si="21"/>
        <v>G0741</v>
      </c>
      <c r="AU231" s="488" t="str">
        <f t="shared" si="22"/>
        <v>TELEPHONE-NEUFS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1563</v>
      </c>
      <c r="D232" s="706" t="s">
        <v>1564</v>
      </c>
      <c r="E232" s="706" t="s">
        <v>333</v>
      </c>
      <c r="F232" s="706" t="s">
        <v>1104</v>
      </c>
      <c r="G232" s="706">
        <v>166.87</v>
      </c>
      <c r="H232" s="706">
        <v>332.2</v>
      </c>
      <c r="I232" s="706">
        <v>528.51</v>
      </c>
      <c r="J232" s="706">
        <v>719.16</v>
      </c>
      <c r="K232" s="706">
        <v>1678.78</v>
      </c>
      <c r="L232" s="706">
        <v>1902.33</v>
      </c>
      <c r="M232" s="706">
        <v>2090.52</v>
      </c>
      <c r="N232" s="706">
        <v>0</v>
      </c>
      <c r="O232" s="706">
        <v>0</v>
      </c>
      <c r="P232" s="706">
        <v>0</v>
      </c>
      <c r="Q232" s="706">
        <v>0</v>
      </c>
      <c r="R232" s="706">
        <v>0</v>
      </c>
      <c r="S232" s="706">
        <v>317.06</v>
      </c>
      <c r="T232" s="706">
        <v>317.06</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G0742</v>
      </c>
      <c r="AK232" s="905" t="str">
        <f t="shared" si="19"/>
        <v>TELEPHONE-USAGES</v>
      </c>
      <c r="AL232" s="905">
        <f>IFERROR(INDEX(G232:R232,1,MATCH(Parametres!$B$3,G$1:R$1,0)-1)*IF(OR(F232="L",F232="S",F232="I"),-1,1),"")</f>
        <v>1678.78</v>
      </c>
      <c r="AM232" s="905">
        <f t="shared" si="20"/>
        <v>223.54999999999995</v>
      </c>
      <c r="AN232" s="905">
        <f>INDEX(G232:R232,1,MATCH(Parametres!$B$3,G$1:R$1,0))*IF(OR(F232="L",F232="S",F232="I"),-1,1)</f>
        <v>1902.33</v>
      </c>
      <c r="AO232" s="487" t="str">
        <f>+VLOOKUP($AJ232,Data_Validation!$A:$D,1,0)</f>
        <v>G0742</v>
      </c>
      <c r="AP232" s="487" t="str">
        <f>+VLOOKUP($AJ232,Data_Validation!$A:$D,3,0)</f>
        <v>Véhicules usagés</v>
      </c>
      <c r="AQ232" s="487" t="str">
        <f>+VLOOKUP($AJ232,Data_Validation!$A:$D,4,0)</f>
        <v>Téléphone</v>
      </c>
      <c r="AR232" s="487" t="s">
        <v>299</v>
      </c>
      <c r="AS232" s="487">
        <f>+VLOOKUP($AJ232,Data_Validation!$A:$E,5,0)</f>
        <v>0</v>
      </c>
      <c r="AT232" s="904" t="str">
        <f t="shared" si="21"/>
        <v>G0742</v>
      </c>
      <c r="AU232" s="488" t="str">
        <f t="shared" si="22"/>
        <v>TELEPHONE-USAGES</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1565</v>
      </c>
      <c r="D233" s="706" t="s">
        <v>1566</v>
      </c>
      <c r="E233" s="706" t="s">
        <v>333</v>
      </c>
      <c r="F233" s="706" t="s">
        <v>1104</v>
      </c>
      <c r="G233" s="706">
        <v>0</v>
      </c>
      <c r="H233" s="706">
        <v>0</v>
      </c>
      <c r="I233" s="706">
        <v>0</v>
      </c>
      <c r="J233" s="706">
        <v>0</v>
      </c>
      <c r="K233" s="706">
        <v>0</v>
      </c>
      <c r="L233" s="706">
        <v>630</v>
      </c>
      <c r="M233" s="706">
        <v>630</v>
      </c>
      <c r="N233" s="706">
        <v>0</v>
      </c>
      <c r="O233" s="706">
        <v>0</v>
      </c>
      <c r="P233" s="706">
        <v>0</v>
      </c>
      <c r="Q233" s="706">
        <v>0</v>
      </c>
      <c r="R233" s="706">
        <v>0</v>
      </c>
      <c r="S233" s="706">
        <v>105</v>
      </c>
      <c r="T233" s="706">
        <v>105</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G0743</v>
      </c>
      <c r="AK233" s="905" t="str">
        <f t="shared" si="19"/>
        <v>TELEPHONE U.S.A</v>
      </c>
      <c r="AL233" s="905">
        <f>IFERROR(INDEX(G233:R233,1,MATCH(Parametres!$B$3,G$1:R$1,0)-1)*IF(OR(F233="L",F233="S",F233="I"),-1,1),"")</f>
        <v>0</v>
      </c>
      <c r="AM233" s="905">
        <f t="shared" si="20"/>
        <v>630</v>
      </c>
      <c r="AN233" s="905">
        <f>INDEX(G233:R233,1,MATCH(Parametres!$B$3,G$1:R$1,0))*IF(OR(F233="L",F233="S",F233="I"),-1,1)</f>
        <v>630</v>
      </c>
      <c r="AO233" s="487" t="str">
        <f>+VLOOKUP($AJ233,Data_Validation!$A:$D,1,0)</f>
        <v>G0743</v>
      </c>
      <c r="AP233" s="487" t="str">
        <f>+VLOOKUP($AJ233,Data_Validation!$A:$D,3,0)</f>
        <v>Wholesale autres</v>
      </c>
      <c r="AQ233" s="487" t="str">
        <f>+VLOOKUP($AJ233,Data_Validation!$A:$D,4,0)</f>
        <v>Téléphone</v>
      </c>
      <c r="AR233" s="487" t="s">
        <v>299</v>
      </c>
      <c r="AS233" s="487">
        <f>+VLOOKUP($AJ233,Data_Validation!$A:$E,5,0)</f>
        <v>0</v>
      </c>
      <c r="AT233" s="904" t="str">
        <f t="shared" si="21"/>
        <v>G0743</v>
      </c>
      <c r="AU233" s="488" t="str">
        <f t="shared" si="22"/>
        <v>TELEPHONE U.S.A</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1567</v>
      </c>
      <c r="D234" s="706" t="s">
        <v>1568</v>
      </c>
      <c r="E234" s="706" t="s">
        <v>333</v>
      </c>
      <c r="F234" s="706" t="s">
        <v>1104</v>
      </c>
      <c r="G234" s="706">
        <v>277.81</v>
      </c>
      <c r="H234" s="706">
        <v>553.30999999999995</v>
      </c>
      <c r="I234" s="706">
        <v>875.28</v>
      </c>
      <c r="J234" s="706">
        <v>1166.26</v>
      </c>
      <c r="K234" s="706">
        <v>2633.27</v>
      </c>
      <c r="L234" s="706">
        <v>2968.59</v>
      </c>
      <c r="M234" s="706">
        <v>3250.88</v>
      </c>
      <c r="N234" s="706">
        <v>0</v>
      </c>
      <c r="O234" s="706">
        <v>0</v>
      </c>
      <c r="P234" s="706">
        <v>0</v>
      </c>
      <c r="Q234" s="706">
        <v>0</v>
      </c>
      <c r="R234" s="706">
        <v>0</v>
      </c>
      <c r="S234" s="706">
        <v>494.77</v>
      </c>
      <c r="T234" s="706">
        <v>494.77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G0744</v>
      </c>
      <c r="AK234" s="905" t="str">
        <f t="shared" si="19"/>
        <v>TELEPHONE-SERVICE</v>
      </c>
      <c r="AL234" s="905">
        <f>IFERROR(INDEX(G234:R234,1,MATCH(Parametres!$B$3,G$1:R$1,0)-1)*IF(OR(F234="L",F234="S",F234="I"),-1,1),"")</f>
        <v>2633.27</v>
      </c>
      <c r="AM234" s="905">
        <f t="shared" si="20"/>
        <v>335.32000000000016</v>
      </c>
      <c r="AN234" s="905">
        <f>INDEX(G234:R234,1,MATCH(Parametres!$B$3,G$1:R$1,0))*IF(OR(F234="L",F234="S",F234="I"),-1,1)</f>
        <v>2968.59</v>
      </c>
      <c r="AO234" s="487" t="str">
        <f>+VLOOKUP($AJ234,Data_Validation!$A:$D,1,0)</f>
        <v>G0744</v>
      </c>
      <c r="AP234" s="487" t="str">
        <f>+VLOOKUP($AJ234,Data_Validation!$A:$D,3,0)</f>
        <v>Service</v>
      </c>
      <c r="AQ234" s="487" t="str">
        <f>+VLOOKUP($AJ234,Data_Validation!$A:$D,4,0)</f>
        <v>Téléphone</v>
      </c>
      <c r="AR234" s="487" t="s">
        <v>299</v>
      </c>
      <c r="AS234" s="487">
        <f>+VLOOKUP($AJ234,Data_Validation!$A:$E,5,0)</f>
        <v>0</v>
      </c>
      <c r="AT234" s="904" t="str">
        <f t="shared" si="21"/>
        <v>G0744</v>
      </c>
      <c r="AU234" s="488" t="str">
        <f t="shared" si="22"/>
        <v>TELEPHONE-SERVICE</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2026</v>
      </c>
      <c r="C235" s="706" t="s">
        <v>1569</v>
      </c>
      <c r="D235" s="706" t="s">
        <v>1570</v>
      </c>
      <c r="E235" s="706" t="s">
        <v>333</v>
      </c>
      <c r="F235" s="706" t="s">
        <v>1104</v>
      </c>
      <c r="G235" s="706">
        <v>83.44</v>
      </c>
      <c r="H235" s="706">
        <v>166.11</v>
      </c>
      <c r="I235" s="706">
        <v>264.26</v>
      </c>
      <c r="J235" s="706">
        <v>359.59</v>
      </c>
      <c r="K235" s="706">
        <v>839.4</v>
      </c>
      <c r="L235" s="706">
        <v>951.18</v>
      </c>
      <c r="M235" s="706">
        <v>1045.28</v>
      </c>
      <c r="N235" s="706">
        <v>0</v>
      </c>
      <c r="O235" s="706">
        <v>0</v>
      </c>
      <c r="P235" s="706">
        <v>0</v>
      </c>
      <c r="Q235" s="706">
        <v>0</v>
      </c>
      <c r="R235" s="706">
        <v>0</v>
      </c>
      <c r="S235" s="706">
        <v>158.53</v>
      </c>
      <c r="T235" s="706">
        <v>158.53</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G0745</v>
      </c>
      <c r="AK235" s="905" t="str">
        <f t="shared" si="19"/>
        <v>TELEPHONE-CARROSSERIE</v>
      </c>
      <c r="AL235" s="905">
        <f>IFERROR(INDEX(G235:R235,1,MATCH(Parametres!$B$3,G$1:R$1,0)-1)*IF(OR(F235="L",F235="S",F235="I"),-1,1),"")</f>
        <v>839.4</v>
      </c>
      <c r="AM235" s="905">
        <f t="shared" si="20"/>
        <v>111.77999999999997</v>
      </c>
      <c r="AN235" s="905">
        <f>INDEX(G235:R235,1,MATCH(Parametres!$B$3,G$1:R$1,0))*IF(OR(F235="L",F235="S",F235="I"),-1,1)</f>
        <v>951.18</v>
      </c>
      <c r="AO235" s="487" t="str">
        <f>+VLOOKUP($AJ235,Data_Validation!$A:$D,1,0)</f>
        <v>G0745</v>
      </c>
      <c r="AP235" s="487" t="str">
        <f>+VLOOKUP($AJ235,Data_Validation!$A:$D,3,0)</f>
        <v>Carrosserie</v>
      </c>
      <c r="AQ235" s="487" t="str">
        <f>+VLOOKUP($AJ235,Data_Validation!$A:$D,4,0)</f>
        <v>Téléphone</v>
      </c>
      <c r="AR235" s="487" t="s">
        <v>299</v>
      </c>
      <c r="AS235" s="487">
        <f>+VLOOKUP($AJ235,Data_Validation!$A:$E,5,0)</f>
        <v>0</v>
      </c>
      <c r="AT235" s="904" t="str">
        <f t="shared" si="21"/>
        <v>G0745</v>
      </c>
      <c r="AU235" s="488" t="str">
        <f t="shared" si="22"/>
        <v>TELEPHONE-CARROSSERIE</v>
      </c>
      <c r="AV235" s="899">
        <f>IFERROR(INDEX(V235:AG235,1,MATCH(Parametres!$B$3,V$1:AG$1,0)-1)*IF(OR(C235="L",C235="S",C235="I"),-1,1),"")</f>
        <v>0</v>
      </c>
      <c r="AW235" s="899">
        <f t="shared" si="23"/>
        <v>0</v>
      </c>
      <c r="AX235" s="899">
        <f>INDEX(V235:AG235,1,MATCH(Parametres!$B$3,V$1:AG$1,0))*IF(OR(C235="L",C235="S",C235="I"),-1,1)</f>
        <v>0</v>
      </c>
      <c r="AY235" s="487" t="s">
        <v>337</v>
      </c>
      <c r="AZ235" s="487">
        <f>+VLOOKUP($AJ235,Data_Validation!$A:$E,5,0)</f>
        <v>0</v>
      </c>
    </row>
    <row r="236" spans="1:52" ht="15" customHeight="1">
      <c r="A236" s="706" t="s">
        <v>1148</v>
      </c>
      <c r="B236" s="706">
        <v>2026</v>
      </c>
      <c r="C236" s="706" t="s">
        <v>1571</v>
      </c>
      <c r="D236" s="706" t="s">
        <v>1572</v>
      </c>
      <c r="E236" s="706" t="s">
        <v>333</v>
      </c>
      <c r="F236" s="706" t="s">
        <v>1104</v>
      </c>
      <c r="G236" s="706">
        <v>83.41</v>
      </c>
      <c r="H236" s="706">
        <v>166.08</v>
      </c>
      <c r="I236" s="706">
        <v>264.24</v>
      </c>
      <c r="J236" s="706">
        <v>359.54</v>
      </c>
      <c r="K236" s="706">
        <v>839.34</v>
      </c>
      <c r="L236" s="706">
        <v>951.13</v>
      </c>
      <c r="M236" s="706">
        <v>1045.21</v>
      </c>
      <c r="N236" s="706">
        <v>0</v>
      </c>
      <c r="O236" s="706">
        <v>0</v>
      </c>
      <c r="P236" s="706">
        <v>0</v>
      </c>
      <c r="Q236" s="706">
        <v>0</v>
      </c>
      <c r="R236" s="706">
        <v>0</v>
      </c>
      <c r="S236" s="706">
        <v>158.52000000000001</v>
      </c>
      <c r="T236" s="706">
        <v>158.52000000000001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G0746</v>
      </c>
      <c r="AK236" s="905" t="str">
        <f t="shared" si="19"/>
        <v>TELEPHONE-PIECES</v>
      </c>
      <c r="AL236" s="905">
        <f>IFERROR(INDEX(G236:R236,1,MATCH(Parametres!$B$3,G$1:R$1,0)-1)*IF(OR(F236="L",F236="S",F236="I"),-1,1),"")</f>
        <v>839.34</v>
      </c>
      <c r="AM236" s="905">
        <f t="shared" si="20"/>
        <v>111.78999999999996</v>
      </c>
      <c r="AN236" s="905">
        <f>INDEX(G236:R236,1,MATCH(Parametres!$B$3,G$1:R$1,0))*IF(OR(F236="L",F236="S",F236="I"),-1,1)</f>
        <v>951.13</v>
      </c>
      <c r="AO236" s="487" t="str">
        <f>+VLOOKUP($AJ236,Data_Validation!$A:$D,1,0)</f>
        <v>G0746</v>
      </c>
      <c r="AP236" s="487" t="str">
        <f>+VLOOKUP($AJ236,Data_Validation!$A:$D,3,0)</f>
        <v>Pièces</v>
      </c>
      <c r="AQ236" s="487" t="str">
        <f>+VLOOKUP($AJ236,Data_Validation!$A:$D,4,0)</f>
        <v>Téléphone</v>
      </c>
      <c r="AR236" s="487" t="s">
        <v>299</v>
      </c>
      <c r="AS236" s="487">
        <f>+VLOOKUP($AJ236,Data_Validation!$A:$E,5,0)</f>
        <v>0</v>
      </c>
      <c r="AT236" s="904" t="str">
        <f t="shared" si="21"/>
        <v>G0746</v>
      </c>
      <c r="AU236" s="488" t="str">
        <f t="shared" si="22"/>
        <v>TELEPHONE-PIECES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1573</v>
      </c>
      <c r="D237" s="706" t="s">
        <v>1574</v>
      </c>
      <c r="E237" s="706" t="s">
        <v>333</v>
      </c>
      <c r="F237" s="706" t="s">
        <v>1104</v>
      </c>
      <c r="G237" s="706">
        <v>0</v>
      </c>
      <c r="H237" s="706">
        <v>0</v>
      </c>
      <c r="I237" s="706">
        <v>0</v>
      </c>
      <c r="J237" s="706">
        <v>0</v>
      </c>
      <c r="K237" s="706">
        <v>0</v>
      </c>
      <c r="L237" s="706">
        <v>0</v>
      </c>
      <c r="M237" s="706">
        <v>0</v>
      </c>
      <c r="N237" s="706">
        <v>0</v>
      </c>
      <c r="O237" s="706">
        <v>0</v>
      </c>
      <c r="P237" s="706">
        <v>0</v>
      </c>
      <c r="Q237" s="706">
        <v>0</v>
      </c>
      <c r="R237" s="706">
        <v>0</v>
      </c>
      <c r="S237" s="706">
        <v>0</v>
      </c>
      <c r="T237" s="706">
        <v>0</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G0750</v>
      </c>
      <c r="AK237" s="905" t="str">
        <f t="shared" si="19"/>
        <v>FORMATION REP</v>
      </c>
      <c r="AL237" s="905">
        <f>IFERROR(INDEX(G237:R237,1,MATCH(Parametres!$B$3,G$1:R$1,0)-1)*IF(OR(F237="L",F237="S",F237="I"),-1,1),"")</f>
        <v>0</v>
      </c>
      <c r="AM237" s="905">
        <f t="shared" si="20"/>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t="str">
        <f t="shared" si="21"/>
        <v>G0750</v>
      </c>
      <c r="AU237" s="488" t="str">
        <f t="shared" si="22"/>
        <v>FORMATION REP</v>
      </c>
      <c r="AV237" s="899">
        <f>IFERROR(INDEX(V237:AG237,1,MATCH(Parametres!$B$3,V$1:AG$1,0)-1)*IF(OR(C237="L",C237="S",C237="I"),-1,1),"")</f>
        <v>0</v>
      </c>
      <c r="AW237" s="899">
        <f t="shared" si="23"/>
        <v>0</v>
      </c>
      <c r="AX237" s="899">
        <f>INDEX(V237:AG237,1,MATCH(Parametres!$B$3,V$1:AG$1,0))*IF(OR(C237="L",C237="S",C237="I"),-1,1)</f>
        <v>0</v>
      </c>
      <c r="AY237" s="487" t="s">
        <v>337</v>
      </c>
      <c r="AZ237" s="487" t="e">
        <f>+VLOOKUP($AJ237,Data_Validation!$A:$E,5,0)</f>
        <v>#N/A</v>
      </c>
    </row>
    <row r="238" spans="1:52" ht="15.75" customHeight="1">
      <c r="A238" s="706" t="s">
        <v>1148</v>
      </c>
      <c r="B238" s="706">
        <v>2026</v>
      </c>
      <c r="C238" s="706" t="s">
        <v>1575</v>
      </c>
      <c r="D238" s="706" t="s">
        <v>1576</v>
      </c>
      <c r="E238" s="706" t="s">
        <v>333</v>
      </c>
      <c r="F238" s="706" t="s">
        <v>1104</v>
      </c>
      <c r="G238" s="706">
        <v>855</v>
      </c>
      <c r="H238" s="706">
        <v>1615</v>
      </c>
      <c r="I238" s="706">
        <v>4468.21</v>
      </c>
      <c r="J238" s="706">
        <v>5323.21</v>
      </c>
      <c r="K238" s="706">
        <v>10624.21</v>
      </c>
      <c r="L238" s="706">
        <v>11699.21</v>
      </c>
      <c r="M238" s="706">
        <v>12269.21</v>
      </c>
      <c r="N238" s="706">
        <v>0</v>
      </c>
      <c r="O238" s="706">
        <v>0</v>
      </c>
      <c r="P238" s="706">
        <v>0</v>
      </c>
      <c r="Q238" s="706">
        <v>0</v>
      </c>
      <c r="R238" s="706">
        <v>0</v>
      </c>
      <c r="S238" s="706">
        <v>1949.87</v>
      </c>
      <c r="T238" s="706">
        <v>1949.87</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G0751</v>
      </c>
      <c r="AK238" s="905" t="str">
        <f t="shared" si="19"/>
        <v>FORMATION-NEUFS</v>
      </c>
      <c r="AL238" s="905">
        <f>IFERROR(INDEX(G238:R238,1,MATCH(Parametres!$B$3,G$1:R$1,0)-1)*IF(OR(F238="L",F238="S",F238="I"),-1,1),"")</f>
        <v>10624.21</v>
      </c>
      <c r="AM238" s="905">
        <f t="shared" si="20"/>
        <v>1075</v>
      </c>
      <c r="AN238" s="905">
        <f>INDEX(G238:R238,1,MATCH(Parametres!$B$3,G$1:R$1,0))*IF(OR(F238="L",F238="S",F238="I"),-1,1)</f>
        <v>11699.21</v>
      </c>
      <c r="AO238" s="487" t="str">
        <f>+VLOOKUP($AJ238,Data_Validation!$A:$D,1,0)</f>
        <v>G0751</v>
      </c>
      <c r="AP238" s="487" t="str">
        <f>+VLOOKUP($AJ238,Data_Validation!$A:$D,3,0)</f>
        <v>Véhicules neufs</v>
      </c>
      <c r="AQ238" s="487" t="str">
        <f>+VLOOKUP($AJ238,Data_Validation!$A:$D,4,0)</f>
        <v>Formation</v>
      </c>
      <c r="AR238" s="487" t="s">
        <v>299</v>
      </c>
      <c r="AS238" s="487">
        <f>+VLOOKUP($AJ238,Data_Validation!$A:$E,5,0)</f>
        <v>0</v>
      </c>
      <c r="AT238" s="904" t="str">
        <f t="shared" si="21"/>
        <v>G0751</v>
      </c>
      <c r="AU238" s="488" t="str">
        <f t="shared" si="22"/>
        <v>FORMATION-NEUFS</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1577</v>
      </c>
      <c r="D239" s="706" t="s">
        <v>1578</v>
      </c>
      <c r="E239" s="706" t="s">
        <v>333</v>
      </c>
      <c r="F239" s="706" t="s">
        <v>1104</v>
      </c>
      <c r="G239" s="706">
        <v>0</v>
      </c>
      <c r="H239" s="706">
        <v>0</v>
      </c>
      <c r="I239" s="706">
        <v>1156.69</v>
      </c>
      <c r="J239" s="706">
        <v>1156.69</v>
      </c>
      <c r="K239" s="706">
        <v>2210.69</v>
      </c>
      <c r="L239" s="706">
        <v>2210.69</v>
      </c>
      <c r="M239" s="706">
        <v>2210.69</v>
      </c>
      <c r="N239" s="706">
        <v>0</v>
      </c>
      <c r="O239" s="706">
        <v>0</v>
      </c>
      <c r="P239" s="706">
        <v>0</v>
      </c>
      <c r="Q239" s="706">
        <v>0</v>
      </c>
      <c r="R239" s="706">
        <v>0</v>
      </c>
      <c r="S239" s="706">
        <v>368.45</v>
      </c>
      <c r="T239" s="706">
        <v>368.45</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G0752</v>
      </c>
      <c r="AK239" s="905" t="str">
        <f t="shared" si="19"/>
        <v>FORMATION-USAGES</v>
      </c>
      <c r="AL239" s="905">
        <f>IFERROR(INDEX(G239:R239,1,MATCH(Parametres!$B$3,G$1:R$1,0)-1)*IF(OR(F239="L",F239="S",F239="I"),-1,1),"")</f>
        <v>2210.69</v>
      </c>
      <c r="AM239" s="905">
        <f t="shared" si="20"/>
        <v>0</v>
      </c>
      <c r="AN239" s="905">
        <f>INDEX(G239:R239,1,MATCH(Parametres!$B$3,G$1:R$1,0))*IF(OR(F239="L",F239="S",F239="I"),-1,1)</f>
        <v>2210.69</v>
      </c>
      <c r="AO239" s="487" t="str">
        <f>+VLOOKUP($AJ239,Data_Validation!$A:$D,1,0)</f>
        <v>G0752</v>
      </c>
      <c r="AP239" s="487" t="str">
        <f>+VLOOKUP($AJ239,Data_Validation!$A:$D,3,0)</f>
        <v>Véhicules usagés</v>
      </c>
      <c r="AQ239" s="487" t="str">
        <f>+VLOOKUP($AJ239,Data_Validation!$A:$D,4,0)</f>
        <v>Formation</v>
      </c>
      <c r="AR239" s="487" t="s">
        <v>299</v>
      </c>
      <c r="AS239" s="487">
        <f>+VLOOKUP($AJ239,Data_Validation!$A:$E,5,0)</f>
        <v>0</v>
      </c>
      <c r="AT239" s="904" t="str">
        <f t="shared" si="21"/>
        <v>G0752</v>
      </c>
      <c r="AU239" s="488" t="str">
        <f t="shared" si="22"/>
        <v>FORMATION-USAGES</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1579</v>
      </c>
      <c r="D240" s="706" t="s">
        <v>1580</v>
      </c>
      <c r="E240" s="706" t="s">
        <v>333</v>
      </c>
      <c r="F240" s="706" t="s">
        <v>1104</v>
      </c>
      <c r="G240" s="706">
        <v>0</v>
      </c>
      <c r="H240" s="706">
        <v>0</v>
      </c>
      <c r="I240" s="706">
        <v>0</v>
      </c>
      <c r="J240" s="706">
        <v>0</v>
      </c>
      <c r="K240" s="706">
        <v>0</v>
      </c>
      <c r="L240" s="706">
        <v>0</v>
      </c>
      <c r="M240" s="706">
        <v>0</v>
      </c>
      <c r="N240" s="706">
        <v>0</v>
      </c>
      <c r="O240" s="706">
        <v>0</v>
      </c>
      <c r="P240" s="706">
        <v>0</v>
      </c>
      <c r="Q240" s="706">
        <v>0</v>
      </c>
      <c r="R240" s="706">
        <v>0</v>
      </c>
      <c r="S240" s="706">
        <v>0</v>
      </c>
      <c r="T240" s="706">
        <v>0</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G0753</v>
      </c>
      <c r="AK240" s="905" t="str">
        <f t="shared" si="19"/>
        <v>FORMATION U.S.A.</v>
      </c>
      <c r="AL240" s="905">
        <f>IFERROR(INDEX(G240:R240,1,MATCH(Parametres!$B$3,G$1:R$1,0)-1)*IF(OR(F240="L",F240="S",F240="I"),-1,1),"")</f>
        <v>0</v>
      </c>
      <c r="AM240" s="905">
        <f t="shared" si="20"/>
        <v>0</v>
      </c>
      <c r="AN240" s="905">
        <f>INDEX(G240:R240,1,MATCH(Parametres!$B$3,G$1:R$1,0))*IF(OR(F240="L",F240="S",F240="I"),-1,1)</f>
        <v>0</v>
      </c>
      <c r="AO240" s="487" t="str">
        <f>+VLOOKUP($AJ240,Data_Validation!$A:$D,1,0)</f>
        <v>G0753</v>
      </c>
      <c r="AP240" s="487" t="str">
        <f>+VLOOKUP($AJ240,Data_Validation!$A:$D,3,0)</f>
        <v>Wholesale autres</v>
      </c>
      <c r="AQ240" s="487" t="str">
        <f>+VLOOKUP($AJ240,Data_Validation!$A:$D,4,0)</f>
        <v>Formation</v>
      </c>
      <c r="AR240" s="487" t="s">
        <v>299</v>
      </c>
      <c r="AS240" s="487">
        <f>+VLOOKUP($AJ240,Data_Validation!$A:$E,5,0)</f>
        <v>0</v>
      </c>
      <c r="AT240" s="904" t="str">
        <f t="shared" si="21"/>
        <v>G0753</v>
      </c>
      <c r="AU240" s="488" t="str">
        <f t="shared" si="22"/>
        <v>FORMATION U.S.A.</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customHeight="1">
      <c r="A241" s="706" t="s">
        <v>1148</v>
      </c>
      <c r="B241" s="706">
        <v>2026</v>
      </c>
      <c r="C241" s="706" t="s">
        <v>1581</v>
      </c>
      <c r="D241" s="706" t="s">
        <v>1582</v>
      </c>
      <c r="E241" s="706" t="s">
        <v>333</v>
      </c>
      <c r="F241" s="706" t="s">
        <v>1104</v>
      </c>
      <c r="G241" s="706">
        <v>1426.24</v>
      </c>
      <c r="H241" s="706">
        <v>5993.52</v>
      </c>
      <c r="I241" s="706">
        <v>9299.16</v>
      </c>
      <c r="J241" s="706">
        <v>11069.47</v>
      </c>
      <c r="K241" s="706">
        <v>12097.44</v>
      </c>
      <c r="L241" s="706">
        <v>12469.97</v>
      </c>
      <c r="M241" s="706">
        <v>13012.47</v>
      </c>
      <c r="N241" s="706">
        <v>0</v>
      </c>
      <c r="O241" s="706">
        <v>0</v>
      </c>
      <c r="P241" s="706">
        <v>0</v>
      </c>
      <c r="Q241" s="706">
        <v>0</v>
      </c>
      <c r="R241" s="706">
        <v>0</v>
      </c>
      <c r="S241" s="706">
        <v>2078.33</v>
      </c>
      <c r="T241" s="706">
        <v>2078.33</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G0754</v>
      </c>
      <c r="AK241" s="905" t="str">
        <f t="shared" si="19"/>
        <v>FORMATION-SERVICE</v>
      </c>
      <c r="AL241" s="905">
        <f>IFERROR(INDEX(G241:R241,1,MATCH(Parametres!$B$3,G$1:R$1,0)-1)*IF(OR(F241="L",F241="S",F241="I"),-1,1),"")</f>
        <v>12097.44</v>
      </c>
      <c r="AM241" s="905">
        <f t="shared" si="20"/>
        <v>372.52999999999884</v>
      </c>
      <c r="AN241" s="905">
        <f>INDEX(G241:R241,1,MATCH(Parametres!$B$3,G$1:R$1,0))*IF(OR(F241="L",F241="S",F241="I"),-1,1)</f>
        <v>12469.97</v>
      </c>
      <c r="AO241" s="487" t="str">
        <f>+VLOOKUP($AJ241,Data_Validation!$A:$D,1,0)</f>
        <v>G0754</v>
      </c>
      <c r="AP241" s="487" t="str">
        <f>+VLOOKUP($AJ241,Data_Validation!$A:$D,3,0)</f>
        <v>Service</v>
      </c>
      <c r="AQ241" s="487" t="str">
        <f>+VLOOKUP($AJ241,Data_Validation!$A:$D,4,0)</f>
        <v>Formation</v>
      </c>
      <c r="AR241" s="487" t="s">
        <v>299</v>
      </c>
      <c r="AS241" s="487">
        <f>+VLOOKUP($AJ241,Data_Validation!$A:$E,5,0)</f>
        <v>0</v>
      </c>
      <c r="AT241" s="904" t="str">
        <f t="shared" si="21"/>
        <v>G0754</v>
      </c>
      <c r="AU241" s="488" t="str">
        <f t="shared" si="22"/>
        <v>FORMATION-SERVICE</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2026</v>
      </c>
      <c r="C242" s="706" t="s">
        <v>1583</v>
      </c>
      <c r="D242" s="706" t="s">
        <v>1584</v>
      </c>
      <c r="E242" s="706" t="s">
        <v>333</v>
      </c>
      <c r="F242" s="706" t="s">
        <v>1104</v>
      </c>
      <c r="G242" s="706">
        <v>309.87</v>
      </c>
      <c r="H242" s="706">
        <v>365.87</v>
      </c>
      <c r="I242" s="706">
        <v>944.21</v>
      </c>
      <c r="J242" s="706">
        <v>944.21</v>
      </c>
      <c r="K242" s="706">
        <v>944.21</v>
      </c>
      <c r="L242" s="706">
        <v>944.21</v>
      </c>
      <c r="M242" s="706">
        <v>944.21</v>
      </c>
      <c r="N242" s="706">
        <v>0</v>
      </c>
      <c r="O242" s="706">
        <v>0</v>
      </c>
      <c r="P242" s="706">
        <v>0</v>
      </c>
      <c r="Q242" s="706">
        <v>0</v>
      </c>
      <c r="R242" s="706">
        <v>0</v>
      </c>
      <c r="S242" s="706">
        <v>157.37</v>
      </c>
      <c r="T242" s="706">
        <v>157.37</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G0755</v>
      </c>
      <c r="AK242" s="905" t="str">
        <f t="shared" si="19"/>
        <v>FORMATION-CARROSSERIE</v>
      </c>
      <c r="AL242" s="905">
        <f>IFERROR(INDEX(G242:R242,1,MATCH(Parametres!$B$3,G$1:R$1,0)-1)*IF(OR(F242="L",F242="S",F242="I"),-1,1),"")</f>
        <v>944.21</v>
      </c>
      <c r="AM242" s="905">
        <f t="shared" si="20"/>
        <v>0</v>
      </c>
      <c r="AN242" s="905">
        <f>INDEX(G242:R242,1,MATCH(Parametres!$B$3,G$1:R$1,0))*IF(OR(F242="L",F242="S",F242="I"),-1,1)</f>
        <v>944.21</v>
      </c>
      <c r="AO242" s="487" t="str">
        <f>+VLOOKUP($AJ242,Data_Validation!$A:$D,1,0)</f>
        <v>G0755</v>
      </c>
      <c r="AP242" s="487" t="str">
        <f>+VLOOKUP($AJ242,Data_Validation!$A:$D,3,0)</f>
        <v>Carrosserie</v>
      </c>
      <c r="AQ242" s="487" t="str">
        <f>+VLOOKUP($AJ242,Data_Validation!$A:$D,4,0)</f>
        <v>Formation</v>
      </c>
      <c r="AR242" s="487" t="s">
        <v>299</v>
      </c>
      <c r="AS242" s="487">
        <f>+VLOOKUP($AJ242,Data_Validation!$A:$E,5,0)</f>
        <v>0</v>
      </c>
      <c r="AT242" s="904" t="str">
        <f t="shared" si="21"/>
        <v>G0755</v>
      </c>
      <c r="AU242" s="488" t="str">
        <f t="shared" si="22"/>
        <v>FORMATION-CARROSSERIE</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1585</v>
      </c>
      <c r="D243" s="706" t="s">
        <v>1586</v>
      </c>
      <c r="E243" s="706" t="s">
        <v>333</v>
      </c>
      <c r="F243" s="706" t="s">
        <v>1104</v>
      </c>
      <c r="G243" s="706">
        <v>0</v>
      </c>
      <c r="H243" s="706">
        <v>186</v>
      </c>
      <c r="I243" s="706">
        <v>764.33</v>
      </c>
      <c r="J243" s="706">
        <v>764.33</v>
      </c>
      <c r="K243" s="706">
        <v>764.33</v>
      </c>
      <c r="L243" s="706">
        <v>764.33</v>
      </c>
      <c r="M243" s="706">
        <v>764.33</v>
      </c>
      <c r="N243" s="706">
        <v>0</v>
      </c>
      <c r="O243" s="706">
        <v>0</v>
      </c>
      <c r="P243" s="706">
        <v>0</v>
      </c>
      <c r="Q243" s="706">
        <v>0</v>
      </c>
      <c r="R243" s="706">
        <v>0</v>
      </c>
      <c r="S243" s="706">
        <v>127.39</v>
      </c>
      <c r="T243" s="706">
        <v>127.39</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G0756</v>
      </c>
      <c r="AK243" s="905" t="str">
        <f t="shared" si="19"/>
        <v>FORMATION-PIECES</v>
      </c>
      <c r="AL243" s="905">
        <f>IFERROR(INDEX(G243:R243,1,MATCH(Parametres!$B$3,G$1:R$1,0)-1)*IF(OR(F243="L",F243="S",F243="I"),-1,1),"")</f>
        <v>764.33</v>
      </c>
      <c r="AM243" s="905">
        <f t="shared" si="20"/>
        <v>0</v>
      </c>
      <c r="AN243" s="905">
        <f>INDEX(G243:R243,1,MATCH(Parametres!$B$3,G$1:R$1,0))*IF(OR(F243="L",F243="S",F243="I"),-1,1)</f>
        <v>764.33</v>
      </c>
      <c r="AO243" s="487" t="str">
        <f>+VLOOKUP($AJ243,Data_Validation!$A:$D,1,0)</f>
        <v>G0756</v>
      </c>
      <c r="AP243" s="487" t="str">
        <f>+VLOOKUP($AJ243,Data_Validation!$A:$D,3,0)</f>
        <v>Pièces</v>
      </c>
      <c r="AQ243" s="487" t="str">
        <f>+VLOOKUP($AJ243,Data_Validation!$A:$D,4,0)</f>
        <v>Formation</v>
      </c>
      <c r="AR243" s="487" t="s">
        <v>299</v>
      </c>
      <c r="AS243" s="487">
        <f>+VLOOKUP($AJ243,Data_Validation!$A:$E,5,0)</f>
        <v>0</v>
      </c>
      <c r="AT243" s="904" t="str">
        <f t="shared" si="21"/>
        <v>G0756</v>
      </c>
      <c r="AU243" s="488" t="str">
        <f t="shared" si="22"/>
        <v>FORMATION-PIECES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customHeight="1">
      <c r="A244" s="706" t="s">
        <v>1148</v>
      </c>
      <c r="B244" s="706">
        <v>2026</v>
      </c>
      <c r="C244" s="706" t="s">
        <v>1587</v>
      </c>
      <c r="D244" s="706" t="s">
        <v>1588</v>
      </c>
      <c r="E244" s="706" t="s">
        <v>333</v>
      </c>
      <c r="F244" s="706" t="s">
        <v>1104</v>
      </c>
      <c r="G244" s="706">
        <v>0</v>
      </c>
      <c r="H244" s="706">
        <v>13939.86</v>
      </c>
      <c r="I244" s="706">
        <v>0</v>
      </c>
      <c r="J244" s="706">
        <v>0</v>
      </c>
      <c r="K244" s="706">
        <v>0</v>
      </c>
      <c r="L244" s="706">
        <v>0</v>
      </c>
      <c r="M244" s="706">
        <v>0</v>
      </c>
      <c r="N244" s="706">
        <v>0</v>
      </c>
      <c r="O244" s="706">
        <v>0</v>
      </c>
      <c r="P244" s="706">
        <v>0</v>
      </c>
      <c r="Q244" s="706">
        <v>0</v>
      </c>
      <c r="R244" s="706">
        <v>0</v>
      </c>
      <c r="S244" s="706">
        <v>0</v>
      </c>
      <c r="T244" s="706">
        <v>0</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G0760</v>
      </c>
      <c r="AK244" s="905" t="str">
        <f t="shared" si="19"/>
        <v>INTERET VEH. REP 4</v>
      </c>
      <c r="AL244" s="905">
        <f>IFERROR(INDEX(G244:R244,1,MATCH(Parametres!$B$3,G$1:R$1,0)-1)*IF(OR(F244="L",F244="S",F244="I"),-1,1),"")</f>
        <v>0</v>
      </c>
      <c r="AM244" s="905">
        <f t="shared" si="20"/>
        <v>0</v>
      </c>
      <c r="AN244" s="905">
        <f>INDEX(G244:R244,1,MATCH(Parametres!$B$3,G$1:R$1,0))*IF(OR(F244="L",F244="S",F244="I"),-1,1)</f>
        <v>0</v>
      </c>
      <c r="AO244" s="487" t="str">
        <f>+VLOOKUP($AJ244,Data_Validation!$A:$D,1,0)</f>
        <v>G0760</v>
      </c>
      <c r="AP244" s="487">
        <f>+VLOOKUP($AJ244,Data_Validation!$A:$D,3,0)</f>
        <v>0</v>
      </c>
      <c r="AQ244" s="487">
        <f>+VLOOKUP($AJ244,Data_Validation!$A:$D,4,0)</f>
        <v>0</v>
      </c>
      <c r="AR244" s="487" t="s">
        <v>299</v>
      </c>
      <c r="AS244" s="487">
        <f>+VLOOKUP($AJ244,Data_Validation!$A:$E,5,0)</f>
        <v>0</v>
      </c>
      <c r="AT244" s="904" t="str">
        <f t="shared" si="21"/>
        <v>G0760</v>
      </c>
      <c r="AU244" s="488" t="str">
        <f t="shared" si="22"/>
        <v>INTERET VEH. REP 4</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customHeight="1">
      <c r="A245" s="706" t="s">
        <v>1148</v>
      </c>
      <c r="B245" s="706">
        <v>2026</v>
      </c>
      <c r="C245" s="706" t="s">
        <v>1589</v>
      </c>
      <c r="D245" s="706" t="s">
        <v>1590</v>
      </c>
      <c r="E245" s="706" t="s">
        <v>333</v>
      </c>
      <c r="F245" s="706" t="s">
        <v>1104</v>
      </c>
      <c r="G245" s="706">
        <v>81385.13</v>
      </c>
      <c r="H245" s="706">
        <v>159998.48000000001</v>
      </c>
      <c r="I245" s="706">
        <v>243112.44</v>
      </c>
      <c r="J245" s="706">
        <v>280940.63</v>
      </c>
      <c r="K245" s="706">
        <v>327727.48</v>
      </c>
      <c r="L245" s="706">
        <v>366424.51</v>
      </c>
      <c r="M245" s="706">
        <v>364601.81</v>
      </c>
      <c r="N245" s="706">
        <v>0</v>
      </c>
      <c r="O245" s="706">
        <v>0</v>
      </c>
      <c r="P245" s="706">
        <v>0</v>
      </c>
      <c r="Q245" s="706">
        <v>0</v>
      </c>
      <c r="R245" s="706">
        <v>0</v>
      </c>
      <c r="S245" s="706">
        <v>61070.75</v>
      </c>
      <c r="T245" s="706">
        <v>61070.75</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G0761</v>
      </c>
      <c r="AK245" s="905" t="str">
        <f t="shared" si="19"/>
        <v>INTERETS VEHICULES-NEUFS</v>
      </c>
      <c r="AL245" s="905">
        <f>IFERROR(INDEX(G245:R245,1,MATCH(Parametres!$B$3,G$1:R$1,0)-1)*IF(OR(F245="L",F245="S",F245="I"),-1,1),"")</f>
        <v>327727.48</v>
      </c>
      <c r="AM245" s="905">
        <f t="shared" si="20"/>
        <v>38697.030000000028</v>
      </c>
      <c r="AN245" s="905">
        <f>INDEX(G245:R245,1,MATCH(Parametres!$B$3,G$1:R$1,0))*IF(OR(F245="L",F245="S",F245="I"),-1,1)</f>
        <v>366424.51</v>
      </c>
      <c r="AO245" s="487" t="str">
        <f>+VLOOKUP($AJ245,Data_Validation!$A:$D,1,0)</f>
        <v>G0761</v>
      </c>
      <c r="AP245" s="487" t="str">
        <f>+VLOOKUP($AJ245,Data_Validation!$A:$D,3,0)</f>
        <v>Véhicules neufs</v>
      </c>
      <c r="AQ245" s="487" t="str">
        <f>+VLOOKUP($AJ245,Data_Validation!$A:$D,4,0)</f>
        <v>Intérêt de gros</v>
      </c>
      <c r="AR245" s="487" t="s">
        <v>299</v>
      </c>
      <c r="AS245" s="487">
        <f>+VLOOKUP($AJ245,Data_Validation!$A:$E,5,0)</f>
        <v>0</v>
      </c>
      <c r="AT245" s="904" t="str">
        <f t="shared" si="21"/>
        <v>G0761</v>
      </c>
      <c r="AU245" s="488" t="str">
        <f t="shared" si="22"/>
        <v>INTERETS VEHICULES-NEUFS</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1591</v>
      </c>
      <c r="D246" s="706" t="s">
        <v>1592</v>
      </c>
      <c r="E246" s="706" t="s">
        <v>333</v>
      </c>
      <c r="F246" s="706" t="s">
        <v>1104</v>
      </c>
      <c r="G246" s="706">
        <v>49336.54</v>
      </c>
      <c r="H246" s="706">
        <v>107015.05</v>
      </c>
      <c r="I246" s="706">
        <v>159577.68</v>
      </c>
      <c r="J246" s="706">
        <v>193357.01</v>
      </c>
      <c r="K246" s="706">
        <v>213907.7</v>
      </c>
      <c r="L246" s="706">
        <v>207273.84</v>
      </c>
      <c r="M246" s="706">
        <v>206773.84</v>
      </c>
      <c r="N246" s="706">
        <v>0</v>
      </c>
      <c r="O246" s="706">
        <v>0</v>
      </c>
      <c r="P246" s="706">
        <v>0</v>
      </c>
      <c r="Q246" s="706">
        <v>0</v>
      </c>
      <c r="R246" s="706">
        <v>0</v>
      </c>
      <c r="S246" s="706">
        <v>34545.64</v>
      </c>
      <c r="T246" s="706">
        <v>34545.64</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G0762</v>
      </c>
      <c r="AK246" s="905" t="str">
        <f t="shared" si="19"/>
        <v>INTERETS VEHICULES-USAGES</v>
      </c>
      <c r="AL246" s="905">
        <f>IFERROR(INDEX(G246:R246,1,MATCH(Parametres!$B$3,G$1:R$1,0)-1)*IF(OR(F246="L",F246="S",F246="I"),-1,1),"")</f>
        <v>213907.7</v>
      </c>
      <c r="AM246" s="905">
        <f t="shared" si="20"/>
        <v>-6633.8600000000151</v>
      </c>
      <c r="AN246" s="905">
        <f>INDEX(G246:R246,1,MATCH(Parametres!$B$3,G$1:R$1,0))*IF(OR(F246="L",F246="S",F246="I"),-1,1)</f>
        <v>207273.84</v>
      </c>
      <c r="AO246" s="487" t="str">
        <f>+VLOOKUP($AJ246,Data_Validation!$A:$D,1,0)</f>
        <v>G0762</v>
      </c>
      <c r="AP246" s="487" t="str">
        <f>+VLOOKUP($AJ246,Data_Validation!$A:$D,3,0)</f>
        <v>Véhicules usagés</v>
      </c>
      <c r="AQ246" s="487" t="str">
        <f>+VLOOKUP($AJ246,Data_Validation!$A:$D,4,0)</f>
        <v>Intérêt de gros</v>
      </c>
      <c r="AR246" s="487" t="s">
        <v>299</v>
      </c>
      <c r="AS246" s="487">
        <f>+VLOOKUP($AJ246,Data_Validation!$A:$E,5,0)</f>
        <v>0</v>
      </c>
      <c r="AT246" s="904" t="str">
        <f t="shared" si="21"/>
        <v>G0762</v>
      </c>
      <c r="AU246" s="488" t="str">
        <f t="shared" si="22"/>
        <v>INTERETS VEHICULES-USAGES</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1593</v>
      </c>
      <c r="D247" s="706" t="s">
        <v>1594</v>
      </c>
      <c r="E247" s="706" t="s">
        <v>333</v>
      </c>
      <c r="F247" s="706" t="s">
        <v>1104</v>
      </c>
      <c r="G247" s="706">
        <v>21593.24</v>
      </c>
      <c r="H247" s="706">
        <v>21593.24</v>
      </c>
      <c r="I247" s="706">
        <v>36167.449999999997</v>
      </c>
      <c r="J247" s="706">
        <v>62987.9</v>
      </c>
      <c r="K247" s="706">
        <v>99197.87</v>
      </c>
      <c r="L247" s="706">
        <v>131373.47</v>
      </c>
      <c r="M247" s="706">
        <v>131373.47</v>
      </c>
      <c r="N247" s="706">
        <v>0</v>
      </c>
      <c r="O247" s="706">
        <v>0</v>
      </c>
      <c r="P247" s="706">
        <v>0</v>
      </c>
      <c r="Q247" s="706">
        <v>0</v>
      </c>
      <c r="R247" s="706">
        <v>0</v>
      </c>
      <c r="S247" s="706">
        <v>21895.58</v>
      </c>
      <c r="T247" s="706">
        <v>21895.58</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G0763</v>
      </c>
      <c r="AK247" s="905" t="str">
        <f t="shared" si="19"/>
        <v>INTERETS VEHICULES U.S.A</v>
      </c>
      <c r="AL247" s="905">
        <f>IFERROR(INDEX(G247:R247,1,MATCH(Parametres!$B$3,G$1:R$1,0)-1)*IF(OR(F247="L",F247="S",F247="I"),-1,1),"")</f>
        <v>99197.87</v>
      </c>
      <c r="AM247" s="905">
        <f t="shared" si="20"/>
        <v>32175.600000000006</v>
      </c>
      <c r="AN247" s="905">
        <f>INDEX(G247:R247,1,MATCH(Parametres!$B$3,G$1:R$1,0))*IF(OR(F247="L",F247="S",F247="I"),-1,1)</f>
        <v>131373.47</v>
      </c>
      <c r="AO247" s="487" t="str">
        <f>+VLOOKUP($AJ247,Data_Validation!$A:$D,1,0)</f>
        <v>G0763</v>
      </c>
      <c r="AP247" s="487" t="str">
        <f>+VLOOKUP($AJ247,Data_Validation!$A:$D,3,0)</f>
        <v>Wholesale autres</v>
      </c>
      <c r="AQ247" s="487" t="str">
        <f>+VLOOKUP($AJ247,Data_Validation!$A:$D,4,0)</f>
        <v>Intérêt de gros</v>
      </c>
      <c r="AR247" s="487" t="s">
        <v>299</v>
      </c>
      <c r="AS247" s="487">
        <f>+VLOOKUP($AJ247,Data_Validation!$A:$E,5,0)</f>
        <v>0</v>
      </c>
      <c r="AT247" s="904" t="str">
        <f t="shared" si="21"/>
        <v>G0763</v>
      </c>
      <c r="AU247" s="488" t="str">
        <f t="shared" si="22"/>
        <v>INTERETS VEHICULES U.S.A</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1595</v>
      </c>
      <c r="D248" s="706" t="s">
        <v>1596</v>
      </c>
      <c r="E248" s="706" t="s">
        <v>333</v>
      </c>
      <c r="F248" s="706" t="s">
        <v>1104</v>
      </c>
      <c r="G248" s="706">
        <v>0</v>
      </c>
      <c r="H248" s="706">
        <v>0</v>
      </c>
      <c r="I248" s="706">
        <v>55.68</v>
      </c>
      <c r="J248" s="706">
        <v>0</v>
      </c>
      <c r="K248" s="706">
        <v>0</v>
      </c>
      <c r="L248" s="706">
        <v>0</v>
      </c>
      <c r="M248" s="706">
        <v>0</v>
      </c>
      <c r="N248" s="706">
        <v>0</v>
      </c>
      <c r="O248" s="706">
        <v>0</v>
      </c>
      <c r="P248" s="706">
        <v>0</v>
      </c>
      <c r="Q248" s="706">
        <v>0</v>
      </c>
      <c r="R248" s="706">
        <v>0</v>
      </c>
      <c r="S248" s="706">
        <v>0</v>
      </c>
      <c r="T248" s="706">
        <v>0</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G0764</v>
      </c>
      <c r="AK248" s="905" t="str">
        <f t="shared" si="19"/>
        <v>INTERETS SERVICE</v>
      </c>
      <c r="AL248" s="905">
        <f>IFERROR(INDEX(G248:R248,1,MATCH(Parametres!$B$3,G$1:R$1,0)-1)*IF(OR(F248="L",F248="S",F248="I"),-1,1),"")</f>
        <v>0</v>
      </c>
      <c r="AM248" s="905">
        <f t="shared" si="20"/>
        <v>0</v>
      </c>
      <c r="AN248" s="905">
        <f>INDEX(G248:R248,1,MATCH(Parametres!$B$3,G$1:R$1,0))*IF(OR(F248="L",F248="S",F248="I"),-1,1)</f>
        <v>0</v>
      </c>
      <c r="AO248" s="487" t="str">
        <f>+VLOOKUP($AJ248,Data_Validation!$A:$D,1,0)</f>
        <v>G0764</v>
      </c>
      <c r="AP248" s="487" t="str">
        <f>+VLOOKUP($AJ248,Data_Validation!$A:$D,3,0)</f>
        <v>Service</v>
      </c>
      <c r="AQ248" s="487" t="str">
        <f>+VLOOKUP($AJ248,Data_Validation!$A:$D,4,0)</f>
        <v>Divers</v>
      </c>
      <c r="AR248" s="487" t="s">
        <v>299</v>
      </c>
      <c r="AS248" s="487">
        <f>+VLOOKUP($AJ248,Data_Validation!$A:$E,5,0)</f>
        <v>0</v>
      </c>
      <c r="AT248" s="904" t="str">
        <f t="shared" si="21"/>
        <v>G0764</v>
      </c>
      <c r="AU248" s="488" t="str">
        <f t="shared" si="22"/>
        <v>INTERETS SERVICE</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2026</v>
      </c>
      <c r="C249" s="706" t="s">
        <v>1597</v>
      </c>
      <c r="D249" s="706" t="s">
        <v>1598</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G0766</v>
      </c>
      <c r="AK249" s="905" t="str">
        <f t="shared" si="19"/>
        <v>INTERETS PIECES</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G0766</v>
      </c>
      <c r="AU249" s="488" t="str">
        <f t="shared" si="22"/>
        <v>INTERETS PIECES</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customHeight="1">
      <c r="A250" s="706" t="s">
        <v>1148</v>
      </c>
      <c r="B250" s="706">
        <v>2026</v>
      </c>
      <c r="C250" s="706" t="s">
        <v>1599</v>
      </c>
      <c r="D250" s="706" t="s">
        <v>1600</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G0770</v>
      </c>
      <c r="AK250" s="905" t="str">
        <f t="shared" si="19"/>
        <v>DEPENSES DIVERS REP.</v>
      </c>
      <c r="AL250" s="905">
        <f>IFERROR(INDEX(G250:R250,1,MATCH(Parametres!$B$3,G$1:R$1,0)-1)*IF(OR(F250="L",F250="S",F250="I"),-1,1),"")</f>
        <v>0</v>
      </c>
      <c r="AM250" s="905">
        <f t="shared" si="20"/>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t="str">
        <f t="shared" si="21"/>
        <v>G0770</v>
      </c>
      <c r="AU250" s="488" t="str">
        <f t="shared" si="22"/>
        <v>DEPENSES DIVERS REP.</v>
      </c>
      <c r="AV250" s="899">
        <f>IFERROR(INDEX(V250:AG250,1,MATCH(Parametres!$B$3,V$1:AG$1,0)-1)*IF(OR(C250="L",C250="S",C250="I"),-1,1),"")</f>
        <v>0</v>
      </c>
      <c r="AW250" s="899">
        <f t="shared" si="23"/>
        <v>0</v>
      </c>
      <c r="AX250" s="899">
        <f>INDEX(V250:AG250,1,MATCH(Parametres!$B$3,V$1:AG$1,0))*IF(OR(C250="L",C250="S",C250="I"),-1,1)</f>
        <v>0</v>
      </c>
      <c r="AY250" s="487" t="s">
        <v>337</v>
      </c>
      <c r="AZ250" s="487" t="e">
        <f>+VLOOKUP($AJ250,Data_Validation!$A:$E,5,0)</f>
        <v>#N/A</v>
      </c>
    </row>
    <row r="251" spans="1:52" ht="15" customHeight="1">
      <c r="A251" s="706" t="s">
        <v>1148</v>
      </c>
      <c r="B251" s="706">
        <v>2026</v>
      </c>
      <c r="C251" s="706" t="s">
        <v>1601</v>
      </c>
      <c r="D251" s="706" t="s">
        <v>1602</v>
      </c>
      <c r="E251" s="706" t="s">
        <v>333</v>
      </c>
      <c r="F251" s="706" t="s">
        <v>1104</v>
      </c>
      <c r="G251" s="706">
        <v>1397.55</v>
      </c>
      <c r="H251" s="706">
        <v>5761.83</v>
      </c>
      <c r="I251" s="706">
        <v>4663.3599999999997</v>
      </c>
      <c r="J251" s="706">
        <v>6040.6</v>
      </c>
      <c r="K251" s="706">
        <v>7236.48</v>
      </c>
      <c r="L251" s="706">
        <v>7747.54</v>
      </c>
      <c r="M251" s="706">
        <v>8012.2</v>
      </c>
      <c r="N251" s="706">
        <v>0</v>
      </c>
      <c r="O251" s="706">
        <v>0</v>
      </c>
      <c r="P251" s="706">
        <v>0</v>
      </c>
      <c r="Q251" s="706">
        <v>0</v>
      </c>
      <c r="R251" s="706">
        <v>0</v>
      </c>
      <c r="S251" s="706">
        <v>1291.26</v>
      </c>
      <c r="T251" s="706">
        <v>1291.26</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G0771</v>
      </c>
      <c r="AK251" s="905" t="str">
        <f t="shared" si="19"/>
        <v>DEPENSES DIVERSES-NEUFS</v>
      </c>
      <c r="AL251" s="905">
        <f>IFERROR(INDEX(G251:R251,1,MATCH(Parametres!$B$3,G$1:R$1,0)-1)*IF(OR(F251="L",F251="S",F251="I"),-1,1),"")</f>
        <v>7236.48</v>
      </c>
      <c r="AM251" s="905">
        <f t="shared" si="20"/>
        <v>511.0600000000004</v>
      </c>
      <c r="AN251" s="905">
        <f>INDEX(G251:R251,1,MATCH(Parametres!$B$3,G$1:R$1,0))*IF(OR(F251="L",F251="S",F251="I"),-1,1)</f>
        <v>7747.54</v>
      </c>
      <c r="AO251" s="487" t="str">
        <f>+VLOOKUP($AJ251,Data_Validation!$A:$D,1,0)</f>
        <v>G0771</v>
      </c>
      <c r="AP251" s="487" t="str">
        <f>+VLOOKUP($AJ251,Data_Validation!$A:$D,3,0)</f>
        <v>Véhicules neufs</v>
      </c>
      <c r="AQ251" s="487" t="str">
        <f>+VLOOKUP($AJ251,Data_Validation!$A:$D,4,0)</f>
        <v>Divers</v>
      </c>
      <c r="AR251" s="487" t="s">
        <v>299</v>
      </c>
      <c r="AS251" s="487">
        <f>+VLOOKUP($AJ251,Data_Validation!$A:$E,5,0)</f>
        <v>0</v>
      </c>
      <c r="AT251" s="904" t="str">
        <f t="shared" si="21"/>
        <v>G0771</v>
      </c>
      <c r="AU251" s="488" t="str">
        <f t="shared" si="22"/>
        <v>DEPENSES DIVERSES-NEUFS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customHeight="1">
      <c r="A252" s="706" t="s">
        <v>1148</v>
      </c>
      <c r="B252" s="706">
        <v>2026</v>
      </c>
      <c r="C252" s="706" t="s">
        <v>1603</v>
      </c>
      <c r="D252" s="706" t="s">
        <v>1604</v>
      </c>
      <c r="E252" s="706" t="s">
        <v>333</v>
      </c>
      <c r="F252" s="706" t="s">
        <v>1104</v>
      </c>
      <c r="G252" s="706">
        <v>931.7</v>
      </c>
      <c r="H252" s="706">
        <v>2941.19</v>
      </c>
      <c r="I252" s="706">
        <v>3108.87</v>
      </c>
      <c r="J252" s="706">
        <v>3980.52</v>
      </c>
      <c r="K252" s="706">
        <v>4762.13</v>
      </c>
      <c r="L252" s="706">
        <v>5076.7</v>
      </c>
      <c r="M252" s="706">
        <v>5084.92</v>
      </c>
      <c r="N252" s="706">
        <v>0</v>
      </c>
      <c r="O252" s="706">
        <v>0</v>
      </c>
      <c r="P252" s="706">
        <v>0</v>
      </c>
      <c r="Q252" s="706">
        <v>0</v>
      </c>
      <c r="R252" s="706">
        <v>0</v>
      </c>
      <c r="S252" s="706">
        <v>846.12</v>
      </c>
      <c r="T252" s="706">
        <v>846.12</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G0772</v>
      </c>
      <c r="AK252" s="905" t="str">
        <f t="shared" si="19"/>
        <v>DEPENSES DIVERSES-USAGES</v>
      </c>
      <c r="AL252" s="905">
        <f>IFERROR(INDEX(G252:R252,1,MATCH(Parametres!$B$3,G$1:R$1,0)-1)*IF(OR(F252="L",F252="S",F252="I"),-1,1),"")</f>
        <v>4762.13</v>
      </c>
      <c r="AM252" s="905">
        <f t="shared" si="20"/>
        <v>314.56999999999971</v>
      </c>
      <c r="AN252" s="905">
        <f>INDEX(G252:R252,1,MATCH(Parametres!$B$3,G$1:R$1,0))*IF(OR(F252="L",F252="S",F252="I"),-1,1)</f>
        <v>5076.7</v>
      </c>
      <c r="AO252" s="487" t="str">
        <f>+VLOOKUP($AJ252,Data_Validation!$A:$D,1,0)</f>
        <v>G0772</v>
      </c>
      <c r="AP252" s="487" t="str">
        <f>+VLOOKUP($AJ252,Data_Validation!$A:$D,3,0)</f>
        <v>Véhicules usagés</v>
      </c>
      <c r="AQ252" s="487" t="str">
        <f>+VLOOKUP($AJ252,Data_Validation!$A:$D,4,0)</f>
        <v>Divers</v>
      </c>
      <c r="AR252" s="487" t="s">
        <v>299</v>
      </c>
      <c r="AS252" s="487">
        <f>+VLOOKUP($AJ252,Data_Validation!$A:$E,5,0)</f>
        <v>0</v>
      </c>
      <c r="AT252" s="904" t="str">
        <f t="shared" si="21"/>
        <v>G0772</v>
      </c>
      <c r="AU252" s="488" t="str">
        <f t="shared" si="22"/>
        <v>DEPENSES DIVERSES-USAGES</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1605</v>
      </c>
      <c r="D253" s="706" t="s">
        <v>1606</v>
      </c>
      <c r="E253" s="706" t="s">
        <v>333</v>
      </c>
      <c r="F253" s="706" t="s">
        <v>1104</v>
      </c>
      <c r="G253" s="706">
        <v>0</v>
      </c>
      <c r="H253" s="706">
        <v>0</v>
      </c>
      <c r="I253" s="706">
        <v>0</v>
      </c>
      <c r="J253" s="706">
        <v>0</v>
      </c>
      <c r="K253" s="706">
        <v>0</v>
      </c>
      <c r="L253" s="706">
        <v>0</v>
      </c>
      <c r="M253" s="706">
        <v>0</v>
      </c>
      <c r="N253" s="706">
        <v>0</v>
      </c>
      <c r="O253" s="706">
        <v>0</v>
      </c>
      <c r="P253" s="706">
        <v>0</v>
      </c>
      <c r="Q253" s="706">
        <v>0</v>
      </c>
      <c r="R253" s="706">
        <v>0</v>
      </c>
      <c r="S253" s="706">
        <v>0</v>
      </c>
      <c r="T253" s="706">
        <v>0</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G0773</v>
      </c>
      <c r="AK253" s="905" t="str">
        <f t="shared" si="19"/>
        <v>DEPENSES DIVERSES U.S.A</v>
      </c>
      <c r="AL253" s="905">
        <f>IFERROR(INDEX(G253:R253,1,MATCH(Parametres!$B$3,G$1:R$1,0)-1)*IF(OR(F253="L",F253="S",F253="I"),-1,1),"")</f>
        <v>0</v>
      </c>
      <c r="AM253" s="905">
        <f t="shared" si="20"/>
        <v>0</v>
      </c>
      <c r="AN253" s="905">
        <f>INDEX(G253:R253,1,MATCH(Parametres!$B$3,G$1:R$1,0))*IF(OR(F253="L",F253="S",F253="I"),-1,1)</f>
        <v>0</v>
      </c>
      <c r="AO253" s="487" t="str">
        <f>+VLOOKUP($AJ253,Data_Validation!$A:$D,1,0)</f>
        <v>G0773</v>
      </c>
      <c r="AP253" s="487" t="str">
        <f>+VLOOKUP($AJ253,Data_Validation!$A:$D,3,0)</f>
        <v>Wholesale autres</v>
      </c>
      <c r="AQ253" s="487" t="str">
        <f>+VLOOKUP($AJ253,Data_Validation!$A:$D,4,0)</f>
        <v>Divers</v>
      </c>
      <c r="AR253" s="487" t="s">
        <v>299</v>
      </c>
      <c r="AS253" s="487">
        <f>+VLOOKUP($AJ253,Data_Validation!$A:$E,5,0)</f>
        <v>0</v>
      </c>
      <c r="AT253" s="904" t="str">
        <f t="shared" si="21"/>
        <v>G0773</v>
      </c>
      <c r="AU253" s="488" t="str">
        <f t="shared" si="22"/>
        <v>DEPENSES DIVERSES U.S.A</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1607</v>
      </c>
      <c r="D254" s="706" t="s">
        <v>1608</v>
      </c>
      <c r="E254" s="706" t="s">
        <v>333</v>
      </c>
      <c r="F254" s="706" t="s">
        <v>1104</v>
      </c>
      <c r="G254" s="706">
        <v>1397.55</v>
      </c>
      <c r="H254" s="706">
        <v>4411.84</v>
      </c>
      <c r="I254" s="706">
        <v>3599.75</v>
      </c>
      <c r="J254" s="706">
        <v>1419.59</v>
      </c>
      <c r="K254" s="706">
        <v>1268.97</v>
      </c>
      <c r="L254" s="706">
        <v>2120.2600000000002</v>
      </c>
      <c r="M254" s="706">
        <v>2340.1799999999998</v>
      </c>
      <c r="N254" s="706">
        <v>0</v>
      </c>
      <c r="O254" s="706">
        <v>0</v>
      </c>
      <c r="P254" s="706">
        <v>0</v>
      </c>
      <c r="Q254" s="706">
        <v>0</v>
      </c>
      <c r="R254" s="706">
        <v>0</v>
      </c>
      <c r="S254" s="706">
        <v>353.38</v>
      </c>
      <c r="T254" s="706">
        <v>353.38</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G0774</v>
      </c>
      <c r="AK254" s="905" t="str">
        <f t="shared" si="19"/>
        <v>DEPENSES DIVERSES-SERVICE</v>
      </c>
      <c r="AL254" s="905">
        <f>IFERROR(INDEX(G254:R254,1,MATCH(Parametres!$B$3,G$1:R$1,0)-1)*IF(OR(F254="L",F254="S",F254="I"),-1,1),"")</f>
        <v>1268.97</v>
      </c>
      <c r="AM254" s="905">
        <f t="shared" si="20"/>
        <v>851.29000000000019</v>
      </c>
      <c r="AN254" s="905">
        <f>INDEX(G254:R254,1,MATCH(Parametres!$B$3,G$1:R$1,0))*IF(OR(F254="L",F254="S",F254="I"),-1,1)</f>
        <v>2120.2600000000002</v>
      </c>
      <c r="AO254" s="487" t="str">
        <f>+VLOOKUP($AJ254,Data_Validation!$A:$D,1,0)</f>
        <v>G0774</v>
      </c>
      <c r="AP254" s="487" t="str">
        <f>+VLOOKUP($AJ254,Data_Validation!$A:$D,3,0)</f>
        <v>Service</v>
      </c>
      <c r="AQ254" s="487" t="str">
        <f>+VLOOKUP($AJ254,Data_Validation!$A:$D,4,0)</f>
        <v>Divers</v>
      </c>
      <c r="AR254" s="487" t="s">
        <v>299</v>
      </c>
      <c r="AS254" s="487">
        <f>+VLOOKUP($AJ254,Data_Validation!$A:$E,5,0)</f>
        <v>0</v>
      </c>
      <c r="AT254" s="904" t="str">
        <f t="shared" si="21"/>
        <v>G0774</v>
      </c>
      <c r="AU254" s="488" t="str">
        <f t="shared" si="22"/>
        <v>DEPENSES DIVERSES-SERVICE</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2026</v>
      </c>
      <c r="C255" s="706" t="s">
        <v>1609</v>
      </c>
      <c r="D255" s="706" t="s">
        <v>1610</v>
      </c>
      <c r="E255" s="706" t="s">
        <v>333</v>
      </c>
      <c r="F255" s="706" t="s">
        <v>1104</v>
      </c>
      <c r="G255" s="706">
        <v>465.85</v>
      </c>
      <c r="H255" s="706">
        <v>1470.6</v>
      </c>
      <c r="I255" s="706">
        <v>1554.43</v>
      </c>
      <c r="J255" s="706">
        <v>1990.25</v>
      </c>
      <c r="K255" s="706">
        <v>2381.0700000000002</v>
      </c>
      <c r="L255" s="706">
        <v>2538.36</v>
      </c>
      <c r="M255" s="706">
        <v>2542.48</v>
      </c>
      <c r="N255" s="706">
        <v>0</v>
      </c>
      <c r="O255" s="706">
        <v>0</v>
      </c>
      <c r="P255" s="706">
        <v>0</v>
      </c>
      <c r="Q255" s="706">
        <v>0</v>
      </c>
      <c r="R255" s="706">
        <v>0</v>
      </c>
      <c r="S255" s="706">
        <v>423.06</v>
      </c>
      <c r="T255" s="706">
        <v>423.06</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G0775</v>
      </c>
      <c r="AK255" s="905" t="str">
        <f t="shared" si="19"/>
        <v>DEPENSES DIVERSES-CARROSS</v>
      </c>
      <c r="AL255" s="905">
        <f>IFERROR(INDEX(G255:R255,1,MATCH(Parametres!$B$3,G$1:R$1,0)-1)*IF(OR(F255="L",F255="S",F255="I"),-1,1),"")</f>
        <v>2381.0700000000002</v>
      </c>
      <c r="AM255" s="905">
        <f t="shared" si="20"/>
        <v>157.28999999999996</v>
      </c>
      <c r="AN255" s="905">
        <f>INDEX(G255:R255,1,MATCH(Parametres!$B$3,G$1:R$1,0))*IF(OR(F255="L",F255="S",F255="I"),-1,1)</f>
        <v>2538.36</v>
      </c>
      <c r="AO255" s="487" t="str">
        <f>+VLOOKUP($AJ255,Data_Validation!$A:$D,1,0)</f>
        <v>G0775</v>
      </c>
      <c r="AP255" s="487" t="str">
        <f>+VLOOKUP($AJ255,Data_Validation!$A:$D,3,0)</f>
        <v>Carrosserie</v>
      </c>
      <c r="AQ255" s="487" t="str">
        <f>+VLOOKUP($AJ255,Data_Validation!$A:$D,4,0)</f>
        <v>Divers</v>
      </c>
      <c r="AR255" s="487" t="s">
        <v>299</v>
      </c>
      <c r="AS255" s="487">
        <f>+VLOOKUP($AJ255,Data_Validation!$A:$E,5,0)</f>
        <v>0</v>
      </c>
      <c r="AT255" s="904" t="str">
        <f t="shared" si="21"/>
        <v>G0775</v>
      </c>
      <c r="AU255" s="488" t="str">
        <f t="shared" si="22"/>
        <v>DEPENSES DIVERSES-CARROSS</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1611</v>
      </c>
      <c r="D256" s="706" t="s">
        <v>1612</v>
      </c>
      <c r="E256" s="706" t="s">
        <v>333</v>
      </c>
      <c r="F256" s="706" t="s">
        <v>1104</v>
      </c>
      <c r="G256" s="706">
        <v>465.84</v>
      </c>
      <c r="H256" s="706">
        <v>1470.55</v>
      </c>
      <c r="I256" s="706">
        <v>1554.39</v>
      </c>
      <c r="J256" s="706">
        <v>1990.22</v>
      </c>
      <c r="K256" s="706">
        <v>2381.0100000000002</v>
      </c>
      <c r="L256" s="706">
        <v>2538.3000000000002</v>
      </c>
      <c r="M256" s="706">
        <v>2542.4</v>
      </c>
      <c r="N256" s="706">
        <v>0</v>
      </c>
      <c r="O256" s="706">
        <v>0</v>
      </c>
      <c r="P256" s="706">
        <v>0</v>
      </c>
      <c r="Q256" s="706">
        <v>0</v>
      </c>
      <c r="R256" s="706">
        <v>0</v>
      </c>
      <c r="S256" s="706">
        <v>423.05</v>
      </c>
      <c r="T256" s="706">
        <v>423.05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G0776</v>
      </c>
      <c r="AK256" s="905" t="str">
        <f t="shared" si="19"/>
        <v>DEPENSES DIVERSES-PCES</v>
      </c>
      <c r="AL256" s="905">
        <f>IFERROR(INDEX(G256:R256,1,MATCH(Parametres!$B$3,G$1:R$1,0)-1)*IF(OR(F256="L",F256="S",F256="I"),-1,1),"")</f>
        <v>2381.0100000000002</v>
      </c>
      <c r="AM256" s="905">
        <f t="shared" si="20"/>
        <v>157.28999999999996</v>
      </c>
      <c r="AN256" s="905">
        <f>INDEX(G256:R256,1,MATCH(Parametres!$B$3,G$1:R$1,0))*IF(OR(F256="L",F256="S",F256="I"),-1,1)</f>
        <v>2538.3000000000002</v>
      </c>
      <c r="AO256" s="487" t="str">
        <f>+VLOOKUP($AJ256,Data_Validation!$A:$D,1,0)</f>
        <v>G0776</v>
      </c>
      <c r="AP256" s="487" t="str">
        <f>+VLOOKUP($AJ256,Data_Validation!$A:$D,3,0)</f>
        <v>Pièces</v>
      </c>
      <c r="AQ256" s="487" t="str">
        <f>+VLOOKUP($AJ256,Data_Validation!$A:$D,4,0)</f>
        <v>Divers</v>
      </c>
      <c r="AR256" s="487" t="s">
        <v>299</v>
      </c>
      <c r="AS256" s="487">
        <f>+VLOOKUP($AJ256,Data_Validation!$A:$E,5,0)</f>
        <v>0</v>
      </c>
      <c r="AT256" s="904" t="str">
        <f t="shared" si="21"/>
        <v>G0776</v>
      </c>
      <c r="AU256" s="488" t="str">
        <f t="shared" si="22"/>
        <v>DEPENSES DIVERSES-PCES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1613</v>
      </c>
      <c r="D257" s="706" t="s">
        <v>3272</v>
      </c>
      <c r="E257" s="706" t="s">
        <v>333</v>
      </c>
      <c r="F257" s="706" t="s">
        <v>1104</v>
      </c>
      <c r="G257" s="706">
        <v>0</v>
      </c>
      <c r="H257" s="706">
        <v>0</v>
      </c>
      <c r="I257" s="706">
        <v>0</v>
      </c>
      <c r="J257" s="706">
        <v>0</v>
      </c>
      <c r="K257" s="706">
        <v>0</v>
      </c>
      <c r="L257" s="706">
        <v>0</v>
      </c>
      <c r="M257" s="706">
        <v>0</v>
      </c>
      <c r="N257" s="706">
        <v>0</v>
      </c>
      <c r="O257" s="706">
        <v>0</v>
      </c>
      <c r="P257" s="706">
        <v>0</v>
      </c>
      <c r="Q257" s="706">
        <v>0</v>
      </c>
      <c r="R257" s="706">
        <v>0</v>
      </c>
      <c r="S257" s="706">
        <v>0</v>
      </c>
      <c r="T257" s="706">
        <v>0</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G0777</v>
      </c>
      <c r="AK257" s="905" t="str">
        <f t="shared" si="19"/>
        <v>DEPENSES DIVERSES-SAAQ</v>
      </c>
      <c r="AL257" s="905">
        <f>IFERROR(INDEX(G257:R257,1,MATCH(Parametres!$B$3,G$1:R$1,0)-1)*IF(OR(F257="L",F257="S",F257="I"),-1,1),"")</f>
        <v>0</v>
      </c>
      <c r="AM257" s="905">
        <f t="shared" si="20"/>
        <v>0</v>
      </c>
      <c r="AN257" s="905">
        <f>INDEX(G257:R257,1,MATCH(Parametres!$B$3,G$1:R$1,0))*IF(OR(F257="L",F257="S",F257="I"),-1,1)</f>
        <v>0</v>
      </c>
      <c r="AO257" s="487" t="str">
        <f>+VLOOKUP($AJ257,Data_Validation!$A:$D,1,0)</f>
        <v>G0777</v>
      </c>
      <c r="AP257" s="487" t="str">
        <f>+VLOOKUP($AJ257,Data_Validation!$A:$D,3,0)</f>
        <v>SAAQ</v>
      </c>
      <c r="AQ257" s="487" t="str">
        <f>+VLOOKUP($AJ257,Data_Validation!$A:$D,4,0)</f>
        <v>Divers</v>
      </c>
      <c r="AR257" s="487" t="s">
        <v>299</v>
      </c>
      <c r="AS257" s="487">
        <f>+VLOOKUP($AJ257,Data_Validation!$A:$E,5,0)</f>
        <v>0</v>
      </c>
      <c r="AT257" s="904" t="str">
        <f t="shared" si="21"/>
        <v>G0777</v>
      </c>
      <c r="AU257" s="488" t="str">
        <f t="shared" si="22"/>
        <v>DEPENSES DIVERSES-SAAQ</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1615</v>
      </c>
      <c r="D258" s="706" t="s">
        <v>1614</v>
      </c>
      <c r="E258" s="706" t="s">
        <v>333</v>
      </c>
      <c r="F258" s="706" t="s">
        <v>1104</v>
      </c>
      <c r="G258" s="706">
        <v>0</v>
      </c>
      <c r="H258" s="706">
        <v>0</v>
      </c>
      <c r="I258" s="706">
        <v>0</v>
      </c>
      <c r="J258" s="706">
        <v>0</v>
      </c>
      <c r="K258" s="706">
        <v>0</v>
      </c>
      <c r="L258" s="706">
        <v>0</v>
      </c>
      <c r="M258" s="706">
        <v>5619.89</v>
      </c>
      <c r="N258" s="706">
        <v>0</v>
      </c>
      <c r="O258" s="706">
        <v>0</v>
      </c>
      <c r="P258" s="706">
        <v>0</v>
      </c>
      <c r="Q258" s="706">
        <v>0</v>
      </c>
      <c r="R258" s="706">
        <v>0</v>
      </c>
      <c r="S258" s="706">
        <v>0</v>
      </c>
      <c r="T258" s="706">
        <v>0</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G0779</v>
      </c>
      <c r="AK258" s="905" t="str">
        <f t="shared" si="19"/>
        <v>DEPENSES DIVERSES-INTERCO</v>
      </c>
      <c r="AL258" s="905">
        <f>IFERROR(INDEX(G258:R258,1,MATCH(Parametres!$B$3,G$1:R$1,0)-1)*IF(OR(F258="L",F258="S",F258="I"),-1,1),"")</f>
        <v>0</v>
      </c>
      <c r="AM258" s="905">
        <f t="shared" si="20"/>
        <v>0</v>
      </c>
      <c r="AN258" s="905">
        <f>INDEX(G258:R258,1,MATCH(Parametres!$B$3,G$1:R$1,0))*IF(OR(F258="L",F258="S",F258="I"),-1,1)</f>
        <v>0</v>
      </c>
      <c r="AO258" s="487" t="str">
        <f>+VLOOKUP($AJ258,Data_Validation!$A:$D,1,0)</f>
        <v>G0779</v>
      </c>
      <c r="AP258" s="487">
        <f>+VLOOKUP($AJ258,Data_Validation!$A:$D,3,0)</f>
        <v>0</v>
      </c>
      <c r="AQ258" s="487">
        <f>+VLOOKUP($AJ258,Data_Validation!$A:$D,4,0)</f>
        <v>0</v>
      </c>
      <c r="AR258" s="487" t="s">
        <v>299</v>
      </c>
      <c r="AS258" s="487">
        <f>+VLOOKUP($AJ258,Data_Validation!$A:$E,5,0)</f>
        <v>0</v>
      </c>
      <c r="AT258" s="904" t="str">
        <f t="shared" si="21"/>
        <v>G0779</v>
      </c>
      <c r="AU258" s="488" t="str">
        <f t="shared" si="22"/>
        <v>DEPENSES DIVERSES-INTERCO</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1617</v>
      </c>
      <c r="D259" s="706" t="s">
        <v>1371</v>
      </c>
      <c r="E259" s="706" t="s">
        <v>333</v>
      </c>
      <c r="F259" s="706" t="s">
        <v>1104</v>
      </c>
      <c r="G259" s="706">
        <v>0</v>
      </c>
      <c r="H259" s="706">
        <v>0</v>
      </c>
      <c r="I259" s="706">
        <v>0</v>
      </c>
      <c r="J259" s="706">
        <v>0</v>
      </c>
      <c r="K259" s="706">
        <v>0</v>
      </c>
      <c r="L259" s="706">
        <v>0</v>
      </c>
      <c r="M259" s="706">
        <v>0</v>
      </c>
      <c r="N259" s="706">
        <v>0</v>
      </c>
      <c r="O259" s="706">
        <v>0</v>
      </c>
      <c r="P259" s="706">
        <v>0</v>
      </c>
      <c r="Q259" s="706">
        <v>0</v>
      </c>
      <c r="R259" s="706">
        <v>0</v>
      </c>
      <c r="S259" s="706">
        <v>0</v>
      </c>
      <c r="T259" s="706">
        <v>0</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G0780</v>
      </c>
      <c r="AK259" s="905" t="str">
        <f t="shared" si="19"/>
        <v>FRAIS DE BANQUE</v>
      </c>
      <c r="AL259" s="905">
        <f>IFERROR(INDEX(G259:R259,1,MATCH(Parametres!$B$3,G$1:R$1,0)-1)*IF(OR(F259="L",F259="S",F259="I"),-1,1),"")</f>
        <v>0</v>
      </c>
      <c r="AM259" s="905">
        <f t="shared" si="20"/>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t="str">
        <f t="shared" si="21"/>
        <v>G0780</v>
      </c>
      <c r="AU259" s="488" t="str">
        <f t="shared" si="22"/>
        <v>FRAIS DE BANQUE</v>
      </c>
      <c r="AV259" s="899">
        <f>IFERROR(INDEX(V259:AG259,1,MATCH(Parametres!$B$3,V$1:AG$1,0)-1)*IF(OR(C259="L",C259="S",C259="I"),-1,1),"")</f>
        <v>0</v>
      </c>
      <c r="AW259" s="899">
        <f t="shared" si="23"/>
        <v>0</v>
      </c>
      <c r="AX259" s="899">
        <f>INDEX(V259:AG259,1,MATCH(Parametres!$B$3,V$1:AG$1,0))*IF(OR(C259="L",C259="S",C259="I"),-1,1)</f>
        <v>0</v>
      </c>
      <c r="AY259" s="487" t="s">
        <v>337</v>
      </c>
      <c r="AZ259" s="487" t="e">
        <f>+VLOOKUP($AJ259,Data_Validation!$A:$E,5,0)</f>
        <v>#N/A</v>
      </c>
    </row>
    <row r="260" spans="1:52" ht="15" customHeight="1">
      <c r="A260" s="706" t="s">
        <v>1148</v>
      </c>
      <c r="B260" s="706">
        <v>2026</v>
      </c>
      <c r="C260" s="706" t="s">
        <v>1618</v>
      </c>
      <c r="D260" s="706" t="s">
        <v>1619</v>
      </c>
      <c r="E260" s="706" t="s">
        <v>333</v>
      </c>
      <c r="F260" s="706" t="s">
        <v>1104</v>
      </c>
      <c r="G260" s="706">
        <v>-210647.35</v>
      </c>
      <c r="H260" s="706">
        <v>-411790.73</v>
      </c>
      <c r="I260" s="706">
        <v>-783485.23</v>
      </c>
      <c r="J260" s="706">
        <v>-954266.99</v>
      </c>
      <c r="K260" s="706">
        <v>-1161796.28</v>
      </c>
      <c r="L260" s="706">
        <v>-1282068.6000000001</v>
      </c>
      <c r="M260" s="706">
        <v>-1282068.6000000001</v>
      </c>
      <c r="N260" s="706">
        <v>0</v>
      </c>
      <c r="O260" s="706">
        <v>0</v>
      </c>
      <c r="P260" s="706">
        <v>0</v>
      </c>
      <c r="Q260" s="706">
        <v>0</v>
      </c>
      <c r="R260" s="706">
        <v>0</v>
      </c>
      <c r="S260" s="706">
        <v>-213678.1</v>
      </c>
      <c r="T260" s="706">
        <v>-213678.1</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G0781</v>
      </c>
      <c r="AK260" s="905" t="str">
        <f t="shared" ref="AK260:AK323" si="25">D260</f>
        <v>INTERET-CREDIT FIN.STOCKS</v>
      </c>
      <c r="AL260" s="905">
        <f>IFERROR(INDEX(G260:R260,1,MATCH(Parametres!$B$3,G$1:R$1,0)-1)*IF(OR(F260="L",F260="S",F260="I"),-1,1),"")</f>
        <v>-1161796.28</v>
      </c>
      <c r="AM260" s="905">
        <f t="shared" ref="AM260:AM323" si="26">AN260-AL260</f>
        <v>-120272.32000000007</v>
      </c>
      <c r="AN260" s="905">
        <f>INDEX(G260:R260,1,MATCH(Parametres!$B$3,G$1:R$1,0))*IF(OR(F260="L",F260="S",F260="I"),-1,1)</f>
        <v>-1282068.6000000001</v>
      </c>
      <c r="AO260" s="487" t="str">
        <f>+VLOOKUP($AJ260,Data_Validation!$A:$D,1,0)</f>
        <v>G0781</v>
      </c>
      <c r="AP260" s="487" t="str">
        <f>+VLOOKUP($AJ260,Data_Validation!$A:$D,3,0)</f>
        <v>Véhicules neufs</v>
      </c>
      <c r="AQ260" s="487" t="str">
        <f>+VLOOKUP($AJ260,Data_Validation!$A:$D,4,0)</f>
        <v>Crédit Intérêts Floor Plan</v>
      </c>
      <c r="AR260" s="487" t="s">
        <v>299</v>
      </c>
      <c r="AS260" s="487">
        <f>+VLOOKUP($AJ260,Data_Validation!$A:$E,5,0)</f>
        <v>0</v>
      </c>
      <c r="AT260" s="904" t="str">
        <f t="shared" ref="AT260:AT323" si="27">C260</f>
        <v>G0781</v>
      </c>
      <c r="AU260" s="488" t="str">
        <f t="shared" ref="AU260:AU323" si="28">D260</f>
        <v>INTERET-CREDIT FIN.STOCKS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2026</v>
      </c>
      <c r="C261" s="706" t="s">
        <v>1620</v>
      </c>
      <c r="D261" s="706" t="s">
        <v>1621</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G0782</v>
      </c>
      <c r="AK261" s="905" t="str">
        <f t="shared" si="25"/>
        <v>CREDIT INT.FINANC.-USAGE</v>
      </c>
      <c r="AL261" s="905">
        <f>IFERROR(INDEX(G261:R261,1,MATCH(Parametres!$B$3,G$1:R$1,0)-1)*IF(OR(F261="L",F261="S",F261="I"),-1,1),"")</f>
        <v>0</v>
      </c>
      <c r="AM261" s="905">
        <f t="shared" si="26"/>
        <v>0</v>
      </c>
      <c r="AN261" s="905">
        <f>INDEX(G261:R261,1,MATCH(Parametres!$B$3,G$1:R$1,0))*IF(OR(F261="L",F261="S",F261="I"),-1,1)</f>
        <v>0</v>
      </c>
      <c r="AO261" s="487" t="str">
        <f>+VLOOKUP($AJ261,Data_Validation!$A:$D,1,0)</f>
        <v>G0782</v>
      </c>
      <c r="AP261" s="487" t="str">
        <f>+VLOOKUP($AJ261,Data_Validation!$A:$D,3,0)</f>
        <v>Véhicules usagés</v>
      </c>
      <c r="AQ261" s="487" t="str">
        <f>+VLOOKUP($AJ261,Data_Validation!$A:$D,4,0)</f>
        <v>Crédit Intérêts Floor Plan</v>
      </c>
      <c r="AR261" s="487" t="s">
        <v>299</v>
      </c>
      <c r="AS261" s="487">
        <f>+VLOOKUP($AJ261,Data_Validation!$A:$E,5,0)</f>
        <v>0</v>
      </c>
      <c r="AT261" s="904" t="str">
        <f t="shared" si="27"/>
        <v>G0782</v>
      </c>
      <c r="AU261" s="488" t="str">
        <f t="shared" si="28"/>
        <v>CREDIT INT.FINANC.-USAGE</v>
      </c>
      <c r="AV261" s="899">
        <f>IFERROR(INDEX(V261:AG261,1,MATCH(Parametres!$B$3,V$1:AG$1,0)-1)*IF(OR(C261="L",C261="S",C261="I"),-1,1),"")</f>
        <v>0</v>
      </c>
      <c r="AW261" s="899">
        <f t="shared" si="29"/>
        <v>0</v>
      </c>
      <c r="AX261" s="899">
        <f>INDEX(V261:AG261,1,MATCH(Parametres!$B$3,V$1:AG$1,0))*IF(OR(C261="L",C261="S",C261="I"),-1,1)</f>
        <v>0</v>
      </c>
      <c r="AY261" s="487" t="s">
        <v>337</v>
      </c>
      <c r="AZ261" s="487">
        <f>+VLOOKUP($AJ261,Data_Validation!$A:$E,5,0)</f>
        <v>0</v>
      </c>
    </row>
    <row r="262" spans="1:52" ht="15.75" customHeight="1">
      <c r="A262" s="706" t="s">
        <v>1148</v>
      </c>
      <c r="B262" s="706">
        <v>2026</v>
      </c>
      <c r="C262" s="706" t="s">
        <v>1622</v>
      </c>
      <c r="D262" s="706" t="s">
        <v>1623</v>
      </c>
      <c r="E262" s="706" t="s">
        <v>333</v>
      </c>
      <c r="F262" s="706" t="s">
        <v>1104</v>
      </c>
      <c r="G262" s="706">
        <v>0</v>
      </c>
      <c r="H262" s="706">
        <v>0</v>
      </c>
      <c r="I262" s="706">
        <v>0</v>
      </c>
      <c r="J262" s="706">
        <v>0</v>
      </c>
      <c r="K262" s="706">
        <v>0</v>
      </c>
      <c r="L262" s="706">
        <v>0</v>
      </c>
      <c r="M262" s="706">
        <v>0</v>
      </c>
      <c r="N262" s="706">
        <v>0</v>
      </c>
      <c r="O262" s="706">
        <v>0</v>
      </c>
      <c r="P262" s="706">
        <v>0</v>
      </c>
      <c r="Q262" s="706">
        <v>0</v>
      </c>
      <c r="R262" s="706">
        <v>0</v>
      </c>
      <c r="S262" s="706">
        <v>0</v>
      </c>
      <c r="T262" s="706">
        <v>0</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G0783</v>
      </c>
      <c r="AK262" s="905" t="str">
        <f t="shared" si="25"/>
        <v>CREDIT INT.FINANC.-LOC.</v>
      </c>
      <c r="AL262" s="905">
        <f>IFERROR(INDEX(G262:R262,1,MATCH(Parametres!$B$3,G$1:R$1,0)-1)*IF(OR(F262="L",F262="S",F262="I"),-1,1),"")</f>
        <v>0</v>
      </c>
      <c r="AM262" s="905">
        <f t="shared" si="26"/>
        <v>0</v>
      </c>
      <c r="AN262" s="905">
        <f>INDEX(G262:R262,1,MATCH(Parametres!$B$3,G$1:R$1,0))*IF(OR(F262="L",F262="S",F262="I"),-1,1)</f>
        <v>0</v>
      </c>
      <c r="AO262" s="487" t="str">
        <f>+VLOOKUP($AJ262,Data_Validation!$A:$D,1,0)</f>
        <v>G0783</v>
      </c>
      <c r="AP262" s="487" t="str">
        <f>+VLOOKUP($AJ262,Data_Validation!$A:$D,3,0)</f>
        <v>Wholesale autres</v>
      </c>
      <c r="AQ262" s="487" t="str">
        <f>+VLOOKUP($AJ262,Data_Validation!$A:$D,4,0)</f>
        <v>Crédit Intérêts Floor Plan</v>
      </c>
      <c r="AR262" s="487" t="s">
        <v>299</v>
      </c>
      <c r="AS262" s="487">
        <f>+VLOOKUP($AJ262,Data_Validation!$A:$E,5,0)</f>
        <v>0</v>
      </c>
      <c r="AT262" s="904" t="str">
        <f t="shared" si="27"/>
        <v>G0783</v>
      </c>
      <c r="AU262" s="488" t="str">
        <f t="shared" si="28"/>
        <v>CREDIT INT.FINANC.-LOC.</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1624</v>
      </c>
      <c r="D263" s="706" t="s">
        <v>1625</v>
      </c>
      <c r="E263" s="706" t="s">
        <v>333</v>
      </c>
      <c r="F263" s="706" t="s">
        <v>1104</v>
      </c>
      <c r="G263" s="706">
        <v>0</v>
      </c>
      <c r="H263" s="706">
        <v>0</v>
      </c>
      <c r="I263" s="706">
        <v>0</v>
      </c>
      <c r="J263" s="706">
        <v>0</v>
      </c>
      <c r="K263" s="706">
        <v>0</v>
      </c>
      <c r="L263" s="706">
        <v>0</v>
      </c>
      <c r="M263" s="706">
        <v>0</v>
      </c>
      <c r="N263" s="706">
        <v>0</v>
      </c>
      <c r="O263" s="706">
        <v>0</v>
      </c>
      <c r="P263" s="706">
        <v>0</v>
      </c>
      <c r="Q263" s="706">
        <v>0</v>
      </c>
      <c r="R263" s="706">
        <v>0</v>
      </c>
      <c r="S263" s="706">
        <v>0</v>
      </c>
      <c r="T263" s="706">
        <v>0</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G0790</v>
      </c>
      <c r="AK263" s="905" t="str">
        <f t="shared" si="25"/>
        <v>INTERETS MARGE CREDIT REP</v>
      </c>
      <c r="AL263" s="905">
        <f>IFERROR(INDEX(G263:R263,1,MATCH(Parametres!$B$3,G$1:R$1,0)-1)*IF(OR(F263="L",F263="S",F263="I"),-1,1),"")</f>
        <v>0</v>
      </c>
      <c r="AM263" s="905">
        <f t="shared" si="26"/>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t="str">
        <f t="shared" si="27"/>
        <v>G0790</v>
      </c>
      <c r="AU263" s="488" t="str">
        <f t="shared" si="28"/>
        <v>INTERETS MARGE CREDIT REP</v>
      </c>
      <c r="AV263" s="899">
        <f>IFERROR(INDEX(V263:AG263,1,MATCH(Parametres!$B$3,V$1:AG$1,0)-1)*IF(OR(C263="L",C263="S",C263="I"),-1,1),"")</f>
        <v>0</v>
      </c>
      <c r="AW263" s="899">
        <f t="shared" si="29"/>
        <v>0</v>
      </c>
      <c r="AX263" s="899">
        <f>INDEX(V263:AG263,1,MATCH(Parametres!$B$3,V$1:AG$1,0))*IF(OR(C263="L",C263="S",C263="I"),-1,1)</f>
        <v>0</v>
      </c>
      <c r="AY263" s="487" t="s">
        <v>337</v>
      </c>
      <c r="AZ263" s="487" t="e">
        <f>+VLOOKUP($AJ263,Data_Validation!$A:$E,5,0)</f>
        <v>#N/A</v>
      </c>
    </row>
    <row r="264" spans="1:52" ht="15" customHeight="1">
      <c r="A264" s="706" t="s">
        <v>1148</v>
      </c>
      <c r="B264" s="706">
        <v>2026</v>
      </c>
      <c r="C264" s="706" t="s">
        <v>1626</v>
      </c>
      <c r="D264" s="706" t="s">
        <v>1627</v>
      </c>
      <c r="E264" s="706" t="s">
        <v>333</v>
      </c>
      <c r="F264" s="706" t="s">
        <v>1104</v>
      </c>
      <c r="G264" s="706">
        <v>0</v>
      </c>
      <c r="H264" s="706">
        <v>0</v>
      </c>
      <c r="I264" s="706">
        <v>0</v>
      </c>
      <c r="J264" s="706">
        <v>0</v>
      </c>
      <c r="K264" s="706">
        <v>0</v>
      </c>
      <c r="L264" s="706">
        <v>0</v>
      </c>
      <c r="M264" s="706">
        <v>10.31</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G0791</v>
      </c>
      <c r="AK264" s="905" t="str">
        <f t="shared" si="25"/>
        <v>INTÉRETS MARGE CRÉDIT</v>
      </c>
      <c r="AL264" s="905">
        <f>IFERROR(INDEX(G264:R264,1,MATCH(Parametres!$B$3,G$1:R$1,0)-1)*IF(OR(F264="L",F264="S",F264="I"),-1,1),"")</f>
        <v>0</v>
      </c>
      <c r="AM264" s="905">
        <f t="shared" si="26"/>
        <v>0</v>
      </c>
      <c r="AN264" s="905">
        <f>INDEX(G264:R264,1,MATCH(Parametres!$B$3,G$1:R$1,0))*IF(OR(F264="L",F264="S",F264="I"),-1,1)</f>
        <v>0</v>
      </c>
      <c r="AO264" s="487" t="str">
        <f>+VLOOKUP($AJ264,Data_Validation!$A:$D,1,0)</f>
        <v>G0791</v>
      </c>
      <c r="AP264" s="487" t="str">
        <f>+VLOOKUP($AJ264,Data_Validation!$A:$D,3,0)</f>
        <v>Véhicules neufs</v>
      </c>
      <c r="AQ264" s="487" t="str">
        <f>+VLOOKUP($AJ264,Data_Validation!$A:$D,4,0)</f>
        <v>Divers</v>
      </c>
      <c r="AR264" s="487" t="s">
        <v>299</v>
      </c>
      <c r="AS264" s="487">
        <f>+VLOOKUP($AJ264,Data_Validation!$A:$E,5,0)</f>
        <v>0</v>
      </c>
      <c r="AT264" s="904" t="str">
        <f t="shared" si="27"/>
        <v>G0791</v>
      </c>
      <c r="AU264" s="488" t="str">
        <f t="shared" si="28"/>
        <v>INTÉRETS MARGE CRÉDIT</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customHeight="1">
      <c r="A265" s="706" t="s">
        <v>1148</v>
      </c>
      <c r="B265" s="706">
        <v>2026</v>
      </c>
      <c r="C265" s="706" t="s">
        <v>1628</v>
      </c>
      <c r="D265" s="706" t="s">
        <v>1629</v>
      </c>
      <c r="E265" s="706" t="s">
        <v>333</v>
      </c>
      <c r="F265" s="706" t="s">
        <v>1104</v>
      </c>
      <c r="G265" s="706">
        <v>0</v>
      </c>
      <c r="H265" s="706">
        <v>0</v>
      </c>
      <c r="I265" s="706">
        <v>0</v>
      </c>
      <c r="J265" s="706">
        <v>0</v>
      </c>
      <c r="K265" s="706">
        <v>0</v>
      </c>
      <c r="L265" s="706">
        <v>0</v>
      </c>
      <c r="M265" s="706">
        <v>6.88</v>
      </c>
      <c r="N265" s="706">
        <v>0</v>
      </c>
      <c r="O265" s="706">
        <v>0</v>
      </c>
      <c r="P265" s="706">
        <v>0</v>
      </c>
      <c r="Q265" s="706">
        <v>0</v>
      </c>
      <c r="R265" s="706">
        <v>0</v>
      </c>
      <c r="S265" s="706">
        <v>0</v>
      </c>
      <c r="T265" s="706">
        <v>0</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G0792</v>
      </c>
      <c r="AK265" s="905" t="str">
        <f t="shared" si="25"/>
        <v>INTÉRETS MARGE CREDIT</v>
      </c>
      <c r="AL265" s="905">
        <f>IFERROR(INDEX(G265:R265,1,MATCH(Parametres!$B$3,G$1:R$1,0)-1)*IF(OR(F265="L",F265="S",F265="I"),-1,1),"")</f>
        <v>0</v>
      </c>
      <c r="AM265" s="905">
        <f t="shared" si="26"/>
        <v>0</v>
      </c>
      <c r="AN265" s="905">
        <f>INDEX(G265:R265,1,MATCH(Parametres!$B$3,G$1:R$1,0))*IF(OR(F265="L",F265="S",F265="I"),-1,1)</f>
        <v>0</v>
      </c>
      <c r="AO265" s="487" t="str">
        <f>+VLOOKUP($AJ265,Data_Validation!$A:$D,1,0)</f>
        <v>G0792</v>
      </c>
      <c r="AP265" s="487" t="str">
        <f>+VLOOKUP($AJ265,Data_Validation!$A:$D,3,0)</f>
        <v>Véhicules usagés</v>
      </c>
      <c r="AQ265" s="487" t="str">
        <f>+VLOOKUP($AJ265,Data_Validation!$A:$D,4,0)</f>
        <v>Divers</v>
      </c>
      <c r="AR265" s="487" t="s">
        <v>299</v>
      </c>
      <c r="AS265" s="487">
        <f>+VLOOKUP($AJ265,Data_Validation!$A:$E,5,0)</f>
        <v>0</v>
      </c>
      <c r="AT265" s="904" t="str">
        <f t="shared" si="27"/>
        <v>G0792</v>
      </c>
      <c r="AU265" s="488" t="str">
        <f t="shared" si="28"/>
        <v>INTÉRETS MARGE CREDIT</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1630</v>
      </c>
      <c r="D266" s="706" t="s">
        <v>1631</v>
      </c>
      <c r="E266" s="706" t="s">
        <v>333</v>
      </c>
      <c r="F266" s="706" t="s">
        <v>1104</v>
      </c>
      <c r="G266" s="706">
        <v>0</v>
      </c>
      <c r="H266" s="706">
        <v>0</v>
      </c>
      <c r="I266" s="706">
        <v>0</v>
      </c>
      <c r="J266" s="706">
        <v>0</v>
      </c>
      <c r="K266" s="706">
        <v>0</v>
      </c>
      <c r="L266" s="706">
        <v>0</v>
      </c>
      <c r="M266" s="706">
        <v>10.31</v>
      </c>
      <c r="N266" s="706">
        <v>0</v>
      </c>
      <c r="O266" s="706">
        <v>0</v>
      </c>
      <c r="P266" s="706">
        <v>0</v>
      </c>
      <c r="Q266" s="706">
        <v>0</v>
      </c>
      <c r="R266" s="706">
        <v>0</v>
      </c>
      <c r="S266" s="706">
        <v>0</v>
      </c>
      <c r="T266" s="706">
        <v>0</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G0794</v>
      </c>
      <c r="AK266" s="905" t="str">
        <f t="shared" si="25"/>
        <v>INTERETS MARGE DE CREDIT</v>
      </c>
      <c r="AL266" s="905">
        <f>IFERROR(INDEX(G266:R266,1,MATCH(Parametres!$B$3,G$1:R$1,0)-1)*IF(OR(F266="L",F266="S",F266="I"),-1,1),"")</f>
        <v>0</v>
      </c>
      <c r="AM266" s="905">
        <f t="shared" si="26"/>
        <v>0</v>
      </c>
      <c r="AN266" s="905">
        <f>INDEX(G266:R266,1,MATCH(Parametres!$B$3,G$1:R$1,0))*IF(OR(F266="L",F266="S",F266="I"),-1,1)</f>
        <v>0</v>
      </c>
      <c r="AO266" s="487" t="str">
        <f>+VLOOKUP($AJ266,Data_Validation!$A:$D,1,0)</f>
        <v>G0794</v>
      </c>
      <c r="AP266" s="487" t="str">
        <f>+VLOOKUP($AJ266,Data_Validation!$A:$D,3,0)</f>
        <v>Service</v>
      </c>
      <c r="AQ266" s="487" t="str">
        <f>+VLOOKUP($AJ266,Data_Validation!$A:$D,4,0)</f>
        <v>Divers</v>
      </c>
      <c r="AR266" s="487" t="s">
        <v>299</v>
      </c>
      <c r="AS266" s="487">
        <f>+VLOOKUP($AJ266,Data_Validation!$A:$E,5,0)</f>
        <v>0</v>
      </c>
      <c r="AT266" s="904" t="str">
        <f t="shared" si="27"/>
        <v>G0794</v>
      </c>
      <c r="AU266" s="488" t="str">
        <f t="shared" si="28"/>
        <v>INTERETS MARGE DE CREDIT</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1632</v>
      </c>
      <c r="D267" s="706" t="s">
        <v>1631</v>
      </c>
      <c r="E267" s="706" t="s">
        <v>333</v>
      </c>
      <c r="F267" s="706" t="s">
        <v>1104</v>
      </c>
      <c r="G267" s="706">
        <v>0</v>
      </c>
      <c r="H267" s="706">
        <v>0</v>
      </c>
      <c r="I267" s="706">
        <v>0</v>
      </c>
      <c r="J267" s="706">
        <v>0</v>
      </c>
      <c r="K267" s="706">
        <v>0</v>
      </c>
      <c r="L267" s="706">
        <v>0</v>
      </c>
      <c r="M267" s="706">
        <v>3.44</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G0795</v>
      </c>
      <c r="AK267" s="905" t="str">
        <f t="shared" si="25"/>
        <v>INTERETS MARGE DE CREDIT</v>
      </c>
      <c r="AL267" s="905">
        <f>IFERROR(INDEX(G267:R267,1,MATCH(Parametres!$B$3,G$1:R$1,0)-1)*IF(OR(F267="L",F267="S",F267="I"),-1,1),"")</f>
        <v>0</v>
      </c>
      <c r="AM267" s="905">
        <f t="shared" si="26"/>
        <v>0</v>
      </c>
      <c r="AN267" s="905">
        <f>INDEX(G267:R267,1,MATCH(Parametres!$B$3,G$1:R$1,0))*IF(OR(F267="L",F267="S",F267="I"),-1,1)</f>
        <v>0</v>
      </c>
      <c r="AO267" s="487" t="str">
        <f>+VLOOKUP($AJ267,Data_Validation!$A:$D,1,0)</f>
        <v>G0795</v>
      </c>
      <c r="AP267" s="487" t="str">
        <f>+VLOOKUP($AJ267,Data_Validation!$A:$D,3,0)</f>
        <v>Carrosserie</v>
      </c>
      <c r="AQ267" s="487" t="str">
        <f>+VLOOKUP($AJ267,Data_Validation!$A:$D,4,0)</f>
        <v>Divers</v>
      </c>
      <c r="AR267" s="487" t="s">
        <v>299</v>
      </c>
      <c r="AS267" s="487">
        <f>+VLOOKUP($AJ267,Data_Validation!$A:$E,5,0)</f>
        <v>0</v>
      </c>
      <c r="AT267" s="904" t="str">
        <f t="shared" si="27"/>
        <v>G0795</v>
      </c>
      <c r="AU267" s="488" t="str">
        <f t="shared" si="28"/>
        <v>INTERETS MARGE DE CREDIT</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customHeight="1">
      <c r="A268" s="706" t="s">
        <v>1148</v>
      </c>
      <c r="B268" s="706">
        <v>2026</v>
      </c>
      <c r="C268" s="706" t="s">
        <v>1633</v>
      </c>
      <c r="D268" s="706" t="s">
        <v>1634</v>
      </c>
      <c r="E268" s="706" t="s">
        <v>333</v>
      </c>
      <c r="F268" s="706" t="s">
        <v>1104</v>
      </c>
      <c r="G268" s="706">
        <v>0</v>
      </c>
      <c r="H268" s="706">
        <v>0</v>
      </c>
      <c r="I268" s="706">
        <v>0</v>
      </c>
      <c r="J268" s="706">
        <v>0</v>
      </c>
      <c r="K268" s="706">
        <v>0</v>
      </c>
      <c r="L268" s="706">
        <v>0</v>
      </c>
      <c r="M268" s="706">
        <v>3.44</v>
      </c>
      <c r="N268" s="706">
        <v>0</v>
      </c>
      <c r="O268" s="706">
        <v>0</v>
      </c>
      <c r="P268" s="706">
        <v>0</v>
      </c>
      <c r="Q268" s="706">
        <v>0</v>
      </c>
      <c r="R268" s="706">
        <v>0</v>
      </c>
      <c r="S268" s="706">
        <v>0</v>
      </c>
      <c r="T268" s="706">
        <v>0</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G0796</v>
      </c>
      <c r="AK268" s="905" t="str">
        <f t="shared" si="25"/>
        <v>INTÉRETS MARGE DE CRÉDIT</v>
      </c>
      <c r="AL268" s="905">
        <f>IFERROR(INDEX(G268:R268,1,MATCH(Parametres!$B$3,G$1:R$1,0)-1)*IF(OR(F268="L",F268="S",F268="I"),-1,1),"")</f>
        <v>0</v>
      </c>
      <c r="AM268" s="905">
        <f t="shared" si="26"/>
        <v>0</v>
      </c>
      <c r="AN268" s="905">
        <f>INDEX(G268:R268,1,MATCH(Parametres!$B$3,G$1:R$1,0))*IF(OR(F268="L",F268="S",F268="I"),-1,1)</f>
        <v>0</v>
      </c>
      <c r="AO268" s="487" t="str">
        <f>+VLOOKUP($AJ268,Data_Validation!$A:$D,1,0)</f>
        <v>G0796</v>
      </c>
      <c r="AP268" s="487" t="str">
        <f>+VLOOKUP($AJ268,Data_Validation!$A:$D,3,0)</f>
        <v>Pièces</v>
      </c>
      <c r="AQ268" s="487" t="str">
        <f>+VLOOKUP($AJ268,Data_Validation!$A:$D,4,0)</f>
        <v>Divers</v>
      </c>
      <c r="AR268" s="487" t="s">
        <v>299</v>
      </c>
      <c r="AS268" s="487">
        <f>+VLOOKUP($AJ268,Data_Validation!$A:$E,5,0)</f>
        <v>0</v>
      </c>
      <c r="AT268" s="904" t="str">
        <f t="shared" si="27"/>
        <v>G0796</v>
      </c>
      <c r="AU268" s="488" t="str">
        <f t="shared" si="28"/>
        <v>INTÉRETS MARGE DE CRÉDIT</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customHeight="1">
      <c r="A269" s="706" t="s">
        <v>1148</v>
      </c>
      <c r="B269" s="706">
        <v>2026</v>
      </c>
      <c r="C269" s="706" t="s">
        <v>1635</v>
      </c>
      <c r="D269" s="706" t="s">
        <v>1636</v>
      </c>
      <c r="E269" s="706" t="s">
        <v>333</v>
      </c>
      <c r="F269" s="706" t="s">
        <v>1104</v>
      </c>
      <c r="G269" s="706">
        <v>0</v>
      </c>
      <c r="H269" s="706">
        <v>0</v>
      </c>
      <c r="I269" s="706">
        <v>0</v>
      </c>
      <c r="J269" s="706">
        <v>0</v>
      </c>
      <c r="K269" s="706">
        <v>0</v>
      </c>
      <c r="L269" s="706">
        <v>0</v>
      </c>
      <c r="M269" s="706">
        <v>0</v>
      </c>
      <c r="N269" s="706">
        <v>0</v>
      </c>
      <c r="O269" s="706">
        <v>0</v>
      </c>
      <c r="P269" s="706">
        <v>0</v>
      </c>
      <c r="Q269" s="706">
        <v>0</v>
      </c>
      <c r="R269" s="706">
        <v>0</v>
      </c>
      <c r="S269" s="706">
        <v>0</v>
      </c>
      <c r="T269" s="706">
        <v>0</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G0800</v>
      </c>
      <c r="AK269" s="905" t="str">
        <f t="shared" si="25"/>
        <v>LOCATION REP.</v>
      </c>
      <c r="AL269" s="905">
        <f>IFERROR(INDEX(G269:R269,1,MATCH(Parametres!$B$3,G$1:R$1,0)-1)*IF(OR(F269="L",F269="S",F269="I"),-1,1),"")</f>
        <v>0</v>
      </c>
      <c r="AM269" s="905">
        <f t="shared" si="26"/>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t="str">
        <f t="shared" si="27"/>
        <v>G0800</v>
      </c>
      <c r="AU269" s="488" t="str">
        <f t="shared" si="28"/>
        <v>LOCATION REP.</v>
      </c>
      <c r="AV269" s="899">
        <f>IFERROR(INDEX(V269:AG269,1,MATCH(Parametres!$B$3,V$1:AG$1,0)-1)*IF(OR(C269="L",C269="S",C269="I"),-1,1),"")</f>
        <v>0</v>
      </c>
      <c r="AW269" s="899">
        <f t="shared" si="29"/>
        <v>0</v>
      </c>
      <c r="AX269" s="899">
        <f>INDEX(V269:AG269,1,MATCH(Parametres!$B$3,V$1:AG$1,0))*IF(OR(C269="L",C269="S",C269="I"),-1,1)</f>
        <v>0</v>
      </c>
      <c r="AY269" s="487" t="s">
        <v>337</v>
      </c>
      <c r="AZ269" s="487" t="e">
        <f>+VLOOKUP($AJ269,Data_Validation!$A:$E,5,0)</f>
        <v>#N/A</v>
      </c>
    </row>
    <row r="270" spans="1:52" ht="15" customHeight="1">
      <c r="A270" s="706" t="s">
        <v>1148</v>
      </c>
      <c r="B270" s="706">
        <v>2026</v>
      </c>
      <c r="C270" s="706" t="s">
        <v>1637</v>
      </c>
      <c r="D270" s="706" t="s">
        <v>1638</v>
      </c>
      <c r="E270" s="706" t="s">
        <v>333</v>
      </c>
      <c r="F270" s="706" t="s">
        <v>1104</v>
      </c>
      <c r="G270" s="706">
        <v>21000</v>
      </c>
      <c r="H270" s="706">
        <v>42315</v>
      </c>
      <c r="I270" s="706">
        <v>66527.38</v>
      </c>
      <c r="J270" s="706">
        <v>85260.44</v>
      </c>
      <c r="K270" s="706">
        <v>106575.44</v>
      </c>
      <c r="L270" s="706">
        <v>127890.44</v>
      </c>
      <c r="M270" s="706">
        <v>149205.44</v>
      </c>
      <c r="N270" s="706">
        <v>0</v>
      </c>
      <c r="O270" s="706">
        <v>0</v>
      </c>
      <c r="P270" s="706">
        <v>0</v>
      </c>
      <c r="Q270" s="706">
        <v>0</v>
      </c>
      <c r="R270" s="706">
        <v>0</v>
      </c>
      <c r="S270" s="706">
        <v>21315.07</v>
      </c>
      <c r="T270" s="706">
        <v>21315.07</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G0801</v>
      </c>
      <c r="AK270" s="905" t="str">
        <f t="shared" si="25"/>
        <v>LOCATION-NEUFS</v>
      </c>
      <c r="AL270" s="905">
        <f>IFERROR(INDEX(G270:R270,1,MATCH(Parametres!$B$3,G$1:R$1,0)-1)*IF(OR(F270="L",F270="S",F270="I"),-1,1),"")</f>
        <v>106575.44</v>
      </c>
      <c r="AM270" s="905">
        <f t="shared" si="26"/>
        <v>21315</v>
      </c>
      <c r="AN270" s="905">
        <f>INDEX(G270:R270,1,MATCH(Parametres!$B$3,G$1:R$1,0))*IF(OR(F270="L",F270="S",F270="I"),-1,1)</f>
        <v>127890.44</v>
      </c>
      <c r="AO270" s="487" t="str">
        <f>+VLOOKUP($AJ270,Data_Validation!$A:$D,1,0)</f>
        <v>G0801</v>
      </c>
      <c r="AP270" s="487" t="str">
        <f>+VLOOKUP($AJ270,Data_Validation!$A:$D,3,0)</f>
        <v>Véhicules neufs</v>
      </c>
      <c r="AQ270" s="487" t="str">
        <f>+VLOOKUP($AJ270,Data_Validation!$A:$D,4,0)</f>
        <v>Loyer</v>
      </c>
      <c r="AR270" s="487" t="s">
        <v>299</v>
      </c>
      <c r="AS270" s="487">
        <f>+VLOOKUP($AJ270,Data_Validation!$A:$E,5,0)</f>
        <v>0</v>
      </c>
      <c r="AT270" s="904" t="str">
        <f t="shared" si="27"/>
        <v>G0801</v>
      </c>
      <c r="AU270" s="488" t="str">
        <f t="shared" si="28"/>
        <v>LOCATION-NEUFS</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customHeight="1">
      <c r="A271" s="706" t="s">
        <v>1148</v>
      </c>
      <c r="B271" s="706">
        <v>2026</v>
      </c>
      <c r="C271" s="706" t="s">
        <v>1639</v>
      </c>
      <c r="D271" s="706" t="s">
        <v>1640</v>
      </c>
      <c r="E271" s="706" t="s">
        <v>333</v>
      </c>
      <c r="F271" s="706" t="s">
        <v>1104</v>
      </c>
      <c r="G271" s="706">
        <v>14000</v>
      </c>
      <c r="H271" s="706">
        <v>28210</v>
      </c>
      <c r="I271" s="706">
        <v>44351.58</v>
      </c>
      <c r="J271" s="706">
        <v>56840.3</v>
      </c>
      <c r="K271" s="706">
        <v>71050.3</v>
      </c>
      <c r="L271" s="706">
        <v>85260.3</v>
      </c>
      <c r="M271" s="706">
        <v>99470.3</v>
      </c>
      <c r="N271" s="706">
        <v>0</v>
      </c>
      <c r="O271" s="706">
        <v>0</v>
      </c>
      <c r="P271" s="706">
        <v>0</v>
      </c>
      <c r="Q271" s="706">
        <v>0</v>
      </c>
      <c r="R271" s="706">
        <v>0</v>
      </c>
      <c r="S271" s="706">
        <v>14210.05</v>
      </c>
      <c r="T271" s="706">
        <v>14210.05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G0802</v>
      </c>
      <c r="AK271" s="905" t="str">
        <f t="shared" si="25"/>
        <v>LOCATION-USAGES</v>
      </c>
      <c r="AL271" s="905">
        <f>IFERROR(INDEX(G271:R271,1,MATCH(Parametres!$B$3,G$1:R$1,0)-1)*IF(OR(F271="L",F271="S",F271="I"),-1,1),"")</f>
        <v>71050.3</v>
      </c>
      <c r="AM271" s="905">
        <f t="shared" si="26"/>
        <v>14210</v>
      </c>
      <c r="AN271" s="905">
        <f>INDEX(G271:R271,1,MATCH(Parametres!$B$3,G$1:R$1,0))*IF(OR(F271="L",F271="S",F271="I"),-1,1)</f>
        <v>85260.3</v>
      </c>
      <c r="AO271" s="487" t="str">
        <f>+VLOOKUP($AJ271,Data_Validation!$A:$D,1,0)</f>
        <v>G0802</v>
      </c>
      <c r="AP271" s="487" t="str">
        <f>+VLOOKUP($AJ271,Data_Validation!$A:$D,3,0)</f>
        <v>Véhicules usagés</v>
      </c>
      <c r="AQ271" s="487" t="str">
        <f>+VLOOKUP($AJ271,Data_Validation!$A:$D,4,0)</f>
        <v>Loyer</v>
      </c>
      <c r="AR271" s="487" t="s">
        <v>299</v>
      </c>
      <c r="AS271" s="487">
        <f>+VLOOKUP($AJ271,Data_Validation!$A:$E,5,0)</f>
        <v>0</v>
      </c>
      <c r="AT271" s="904" t="str">
        <f t="shared" si="27"/>
        <v>G0802</v>
      </c>
      <c r="AU271" s="488" t="str">
        <f t="shared" si="28"/>
        <v>LOCATION-USAGES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1641</v>
      </c>
      <c r="D272" s="706" t="s">
        <v>1642</v>
      </c>
      <c r="E272" s="706" t="s">
        <v>333</v>
      </c>
      <c r="F272" s="706" t="s">
        <v>1104</v>
      </c>
      <c r="G272" s="706">
        <v>0</v>
      </c>
      <c r="H272" s="706">
        <v>0</v>
      </c>
      <c r="I272" s="706">
        <v>0</v>
      </c>
      <c r="J272" s="706">
        <v>0</v>
      </c>
      <c r="K272" s="706">
        <v>0</v>
      </c>
      <c r="L272" s="706">
        <v>0</v>
      </c>
      <c r="M272" s="706">
        <v>0</v>
      </c>
      <c r="N272" s="706">
        <v>0</v>
      </c>
      <c r="O272" s="706">
        <v>0</v>
      </c>
      <c r="P272" s="706">
        <v>0</v>
      </c>
      <c r="Q272" s="706">
        <v>0</v>
      </c>
      <c r="R272" s="706">
        <v>0</v>
      </c>
      <c r="S272" s="706">
        <v>0</v>
      </c>
      <c r="T272" s="706">
        <v>0</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G0803</v>
      </c>
      <c r="AK272" s="905" t="str">
        <f t="shared" si="25"/>
        <v>LOCATION U.S.A.</v>
      </c>
      <c r="AL272" s="905">
        <f>IFERROR(INDEX(G272:R272,1,MATCH(Parametres!$B$3,G$1:R$1,0)-1)*IF(OR(F272="L",F272="S",F272="I"),-1,1),"")</f>
        <v>0</v>
      </c>
      <c r="AM272" s="905">
        <f t="shared" si="26"/>
        <v>0</v>
      </c>
      <c r="AN272" s="905">
        <f>INDEX(G272:R272,1,MATCH(Parametres!$B$3,G$1:R$1,0))*IF(OR(F272="L",F272="S",F272="I"),-1,1)</f>
        <v>0</v>
      </c>
      <c r="AO272" s="487" t="str">
        <f>+VLOOKUP($AJ272,Data_Validation!$A:$D,1,0)</f>
        <v>G0803</v>
      </c>
      <c r="AP272" s="487" t="str">
        <f>+VLOOKUP($AJ272,Data_Validation!$A:$D,3,0)</f>
        <v>Wholesale autres</v>
      </c>
      <c r="AQ272" s="487" t="str">
        <f>+VLOOKUP($AJ272,Data_Validation!$A:$D,4,0)</f>
        <v>Loyer</v>
      </c>
      <c r="AR272" s="487" t="s">
        <v>299</v>
      </c>
      <c r="AS272" s="487">
        <f>+VLOOKUP($AJ272,Data_Validation!$A:$E,5,0)</f>
        <v>0</v>
      </c>
      <c r="AT272" s="904" t="str">
        <f t="shared" si="27"/>
        <v>G0803</v>
      </c>
      <c r="AU272" s="488" t="str">
        <f t="shared" si="28"/>
        <v>LOCATION U.S.A.</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1643</v>
      </c>
      <c r="D273" s="706" t="s">
        <v>1644</v>
      </c>
      <c r="E273" s="706" t="s">
        <v>333</v>
      </c>
      <c r="F273" s="706" t="s">
        <v>1104</v>
      </c>
      <c r="G273" s="706">
        <v>21000</v>
      </c>
      <c r="H273" s="706">
        <v>42315</v>
      </c>
      <c r="I273" s="706">
        <v>66527.38</v>
      </c>
      <c r="J273" s="706">
        <v>85260.44</v>
      </c>
      <c r="K273" s="706">
        <v>106575.44</v>
      </c>
      <c r="L273" s="706">
        <v>127890.44</v>
      </c>
      <c r="M273" s="706">
        <v>149205.44</v>
      </c>
      <c r="N273" s="706">
        <v>0</v>
      </c>
      <c r="O273" s="706">
        <v>0</v>
      </c>
      <c r="P273" s="706">
        <v>0</v>
      </c>
      <c r="Q273" s="706">
        <v>0</v>
      </c>
      <c r="R273" s="706">
        <v>0</v>
      </c>
      <c r="S273" s="706">
        <v>21315.07</v>
      </c>
      <c r="T273" s="706">
        <v>21315.07</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G0804</v>
      </c>
      <c r="AK273" s="905" t="str">
        <f t="shared" si="25"/>
        <v>LOCATION-SERVICE</v>
      </c>
      <c r="AL273" s="905">
        <f>IFERROR(INDEX(G273:R273,1,MATCH(Parametres!$B$3,G$1:R$1,0)-1)*IF(OR(F273="L",F273="S",F273="I"),-1,1),"")</f>
        <v>106575.44</v>
      </c>
      <c r="AM273" s="905">
        <f t="shared" si="26"/>
        <v>21315</v>
      </c>
      <c r="AN273" s="905">
        <f>INDEX(G273:R273,1,MATCH(Parametres!$B$3,G$1:R$1,0))*IF(OR(F273="L",F273="S",F273="I"),-1,1)</f>
        <v>127890.44</v>
      </c>
      <c r="AO273" s="487" t="str">
        <f>+VLOOKUP($AJ273,Data_Validation!$A:$D,1,0)</f>
        <v>G0804</v>
      </c>
      <c r="AP273" s="487" t="str">
        <f>+VLOOKUP($AJ273,Data_Validation!$A:$D,3,0)</f>
        <v>Service</v>
      </c>
      <c r="AQ273" s="487" t="str">
        <f>+VLOOKUP($AJ273,Data_Validation!$A:$D,4,0)</f>
        <v>Loyer</v>
      </c>
      <c r="AR273" s="487" t="s">
        <v>299</v>
      </c>
      <c r="AS273" s="487">
        <f>+VLOOKUP($AJ273,Data_Validation!$A:$E,5,0)</f>
        <v>0</v>
      </c>
      <c r="AT273" s="904" t="str">
        <f t="shared" si="27"/>
        <v>G0804</v>
      </c>
      <c r="AU273" s="488" t="str">
        <f t="shared" si="28"/>
        <v>LOCATION-SERVICE</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1645</v>
      </c>
      <c r="D274" s="706" t="s">
        <v>1646</v>
      </c>
      <c r="E274" s="706" t="s">
        <v>333</v>
      </c>
      <c r="F274" s="706" t="s">
        <v>1104</v>
      </c>
      <c r="G274" s="706">
        <v>7000</v>
      </c>
      <c r="H274" s="706">
        <v>14105</v>
      </c>
      <c r="I274" s="706">
        <v>22175.79</v>
      </c>
      <c r="J274" s="706">
        <v>28420.15</v>
      </c>
      <c r="K274" s="706">
        <v>35525.15</v>
      </c>
      <c r="L274" s="706">
        <v>42630.15</v>
      </c>
      <c r="M274" s="706">
        <v>49735.15</v>
      </c>
      <c r="N274" s="706">
        <v>0</v>
      </c>
      <c r="O274" s="706">
        <v>0</v>
      </c>
      <c r="P274" s="706">
        <v>0</v>
      </c>
      <c r="Q274" s="706">
        <v>0</v>
      </c>
      <c r="R274" s="706">
        <v>0</v>
      </c>
      <c r="S274" s="706">
        <v>7105.03</v>
      </c>
      <c r="T274" s="706">
        <v>7105.03</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G0805</v>
      </c>
      <c r="AK274" s="905" t="str">
        <f t="shared" si="25"/>
        <v>LOCATION-CARROSSERIE</v>
      </c>
      <c r="AL274" s="905">
        <f>IFERROR(INDEX(G274:R274,1,MATCH(Parametres!$B$3,G$1:R$1,0)-1)*IF(OR(F274="L",F274="S",F274="I"),-1,1),"")</f>
        <v>35525.15</v>
      </c>
      <c r="AM274" s="905">
        <f t="shared" si="26"/>
        <v>7105</v>
      </c>
      <c r="AN274" s="905">
        <f>INDEX(G274:R274,1,MATCH(Parametres!$B$3,G$1:R$1,0))*IF(OR(F274="L",F274="S",F274="I"),-1,1)</f>
        <v>42630.15</v>
      </c>
      <c r="AO274" s="487" t="str">
        <f>+VLOOKUP($AJ274,Data_Validation!$A:$D,1,0)</f>
        <v>G0805</v>
      </c>
      <c r="AP274" s="487" t="str">
        <f>+VLOOKUP($AJ274,Data_Validation!$A:$D,3,0)</f>
        <v>Carrosserie</v>
      </c>
      <c r="AQ274" s="487" t="str">
        <f>+VLOOKUP($AJ274,Data_Validation!$A:$D,4,0)</f>
        <v>Loyer</v>
      </c>
      <c r="AR274" s="487" t="s">
        <v>299</v>
      </c>
      <c r="AS274" s="487">
        <f>+VLOOKUP($AJ274,Data_Validation!$A:$E,5,0)</f>
        <v>0</v>
      </c>
      <c r="AT274" s="904" t="str">
        <f t="shared" si="27"/>
        <v>G0805</v>
      </c>
      <c r="AU274" s="488" t="str">
        <f t="shared" si="28"/>
        <v>LOCATION-CARROSSERIE</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2026</v>
      </c>
      <c r="C275" s="706" t="s">
        <v>1647</v>
      </c>
      <c r="D275" s="706" t="s">
        <v>1648</v>
      </c>
      <c r="E275" s="706" t="s">
        <v>333</v>
      </c>
      <c r="F275" s="706" t="s">
        <v>1104</v>
      </c>
      <c r="G275" s="706">
        <v>7000</v>
      </c>
      <c r="H275" s="706">
        <v>14105</v>
      </c>
      <c r="I275" s="706">
        <v>22175.79</v>
      </c>
      <c r="J275" s="706">
        <v>28420.15</v>
      </c>
      <c r="K275" s="706">
        <v>35525.15</v>
      </c>
      <c r="L275" s="706">
        <v>42630.15</v>
      </c>
      <c r="M275" s="706">
        <v>49735.15</v>
      </c>
      <c r="N275" s="706">
        <v>0</v>
      </c>
      <c r="O275" s="706">
        <v>0</v>
      </c>
      <c r="P275" s="706">
        <v>0</v>
      </c>
      <c r="Q275" s="706">
        <v>0</v>
      </c>
      <c r="R275" s="706">
        <v>0</v>
      </c>
      <c r="S275" s="706">
        <v>7105.03</v>
      </c>
      <c r="T275" s="706">
        <v>7105.03</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G0806</v>
      </c>
      <c r="AK275" s="905" t="str">
        <f t="shared" si="25"/>
        <v>LOCATION-PIECES</v>
      </c>
      <c r="AL275" s="905">
        <f>IFERROR(INDEX(G275:R275,1,MATCH(Parametres!$B$3,G$1:R$1,0)-1)*IF(OR(F275="L",F275="S",F275="I"),-1,1),"")</f>
        <v>35525.15</v>
      </c>
      <c r="AM275" s="905">
        <f t="shared" si="26"/>
        <v>7105</v>
      </c>
      <c r="AN275" s="905">
        <f>INDEX(G275:R275,1,MATCH(Parametres!$B$3,G$1:R$1,0))*IF(OR(F275="L",F275="S",F275="I"),-1,1)</f>
        <v>42630.15</v>
      </c>
      <c r="AO275" s="487" t="str">
        <f>+VLOOKUP($AJ275,Data_Validation!$A:$D,1,0)</f>
        <v>G0806</v>
      </c>
      <c r="AP275" s="487" t="str">
        <f>+VLOOKUP($AJ275,Data_Validation!$A:$D,3,0)</f>
        <v>Pièces</v>
      </c>
      <c r="AQ275" s="487" t="str">
        <f>+VLOOKUP($AJ275,Data_Validation!$A:$D,4,0)</f>
        <v>Loyer</v>
      </c>
      <c r="AR275" s="487" t="s">
        <v>299</v>
      </c>
      <c r="AS275" s="487">
        <f>+VLOOKUP($AJ275,Data_Validation!$A:$E,5,0)</f>
        <v>0</v>
      </c>
      <c r="AT275" s="904" t="str">
        <f t="shared" si="27"/>
        <v>G0806</v>
      </c>
      <c r="AU275" s="488" t="str">
        <f t="shared" si="28"/>
        <v>LOCATION-PIECES</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2026</v>
      </c>
      <c r="C276" s="706" t="s">
        <v>1649</v>
      </c>
      <c r="D276" s="706" t="s">
        <v>1650</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G0810</v>
      </c>
      <c r="AK276" s="905" t="str">
        <f t="shared" si="25"/>
        <v>LOYER TERRAIN</v>
      </c>
      <c r="AL276" s="905">
        <f>IFERROR(INDEX(G276:R276,1,MATCH(Parametres!$B$3,G$1:R$1,0)-1)*IF(OR(F276="L",F276="S",F276="I"),-1,1),"")</f>
        <v>0</v>
      </c>
      <c r="AM276" s="905">
        <f t="shared" si="26"/>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t="str">
        <f t="shared" si="27"/>
        <v>G0810</v>
      </c>
      <c r="AU276" s="488" t="str">
        <f t="shared" si="28"/>
        <v>LOYER TERRAIN</v>
      </c>
      <c r="AV276" s="899">
        <f>IFERROR(INDEX(V276:AG276,1,MATCH(Parametres!$B$3,V$1:AG$1,0)-1)*IF(OR(C276="L",C276="S",C276="I"),-1,1),"")</f>
        <v>0</v>
      </c>
      <c r="AW276" s="899">
        <f t="shared" si="29"/>
        <v>0</v>
      </c>
      <c r="AX276" s="899">
        <f>INDEX(V276:AG276,1,MATCH(Parametres!$B$3,V$1:AG$1,0))*IF(OR(C276="L",C276="S",C276="I"),-1,1)</f>
        <v>0</v>
      </c>
      <c r="AY276" s="487" t="s">
        <v>337</v>
      </c>
      <c r="AZ276" s="487" t="e">
        <f>+VLOOKUP($AJ276,Data_Validation!$A:$E,5,0)</f>
        <v>#N/A</v>
      </c>
    </row>
    <row r="277" spans="1:52" ht="15" customHeight="1">
      <c r="A277" s="706" t="s">
        <v>1148</v>
      </c>
      <c r="B277" s="706">
        <v>2026</v>
      </c>
      <c r="C277" s="706" t="s">
        <v>1651</v>
      </c>
      <c r="D277" s="706" t="s">
        <v>1652</v>
      </c>
      <c r="E277" s="706" t="s">
        <v>333</v>
      </c>
      <c r="F277" s="706" t="s">
        <v>1104</v>
      </c>
      <c r="G277" s="706">
        <v>3244.12</v>
      </c>
      <c r="H277" s="706">
        <v>6488.24</v>
      </c>
      <c r="I277" s="706">
        <v>7559.34</v>
      </c>
      <c r="J277" s="706">
        <v>13186.87</v>
      </c>
      <c r="K277" s="706">
        <v>16232.47</v>
      </c>
      <c r="L277" s="706">
        <v>16171.87</v>
      </c>
      <c r="M277" s="706">
        <v>16171.87</v>
      </c>
      <c r="N277" s="706">
        <v>0</v>
      </c>
      <c r="O277" s="706">
        <v>0</v>
      </c>
      <c r="P277" s="706">
        <v>0</v>
      </c>
      <c r="Q277" s="706">
        <v>0</v>
      </c>
      <c r="R277" s="706">
        <v>0</v>
      </c>
      <c r="S277" s="706">
        <v>2695.31</v>
      </c>
      <c r="T277" s="706">
        <v>2695.31</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G0811</v>
      </c>
      <c r="AK277" s="905" t="str">
        <f t="shared" si="25"/>
        <v>LOYER TERRAIN-NEUF</v>
      </c>
      <c r="AL277" s="905">
        <f>IFERROR(INDEX(G277:R277,1,MATCH(Parametres!$B$3,G$1:R$1,0)-1)*IF(OR(F277="L",F277="S",F277="I"),-1,1),"")</f>
        <v>16232.47</v>
      </c>
      <c r="AM277" s="905">
        <f t="shared" si="26"/>
        <v>-60.599999999998545</v>
      </c>
      <c r="AN277" s="905">
        <f>INDEX(G277:R277,1,MATCH(Parametres!$B$3,G$1:R$1,0))*IF(OR(F277="L",F277="S",F277="I"),-1,1)</f>
        <v>16171.87</v>
      </c>
      <c r="AO277" s="487" t="str">
        <f>+VLOOKUP($AJ277,Data_Validation!$A:$D,1,0)</f>
        <v>G0811</v>
      </c>
      <c r="AP277" s="487" t="str">
        <f>+VLOOKUP($AJ277,Data_Validation!$A:$D,3,0)</f>
        <v>Véhicules neufs</v>
      </c>
      <c r="AQ277" s="487" t="str">
        <f>+VLOOKUP($AJ277,Data_Validation!$A:$D,4,0)</f>
        <v>Loyer</v>
      </c>
      <c r="AR277" s="487" t="s">
        <v>299</v>
      </c>
      <c r="AS277" s="487">
        <f>+VLOOKUP($AJ277,Data_Validation!$A:$E,5,0)</f>
        <v>0</v>
      </c>
      <c r="AT277" s="904" t="str">
        <f t="shared" si="27"/>
        <v>G0811</v>
      </c>
      <c r="AU277" s="488" t="str">
        <f t="shared" si="28"/>
        <v>LOYER TERRAIN-NEUF</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2026</v>
      </c>
      <c r="C278" s="706" t="s">
        <v>1653</v>
      </c>
      <c r="D278" s="706" t="s">
        <v>1654</v>
      </c>
      <c r="E278" s="706" t="s">
        <v>333</v>
      </c>
      <c r="F278" s="706" t="s">
        <v>1104</v>
      </c>
      <c r="G278" s="706">
        <v>2162.75</v>
      </c>
      <c r="H278" s="706">
        <v>4325.5</v>
      </c>
      <c r="I278" s="706">
        <v>5039.55</v>
      </c>
      <c r="J278" s="706">
        <v>8791.24</v>
      </c>
      <c r="K278" s="706">
        <v>10821.64</v>
      </c>
      <c r="L278" s="706">
        <v>10781.24</v>
      </c>
      <c r="M278" s="706">
        <v>10781.24</v>
      </c>
      <c r="N278" s="706">
        <v>0</v>
      </c>
      <c r="O278" s="706">
        <v>0</v>
      </c>
      <c r="P278" s="706">
        <v>0</v>
      </c>
      <c r="Q278" s="706">
        <v>0</v>
      </c>
      <c r="R278" s="706">
        <v>0</v>
      </c>
      <c r="S278" s="706">
        <v>1796.87</v>
      </c>
      <c r="T278" s="706">
        <v>1796.87</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G0812</v>
      </c>
      <c r="AK278" s="905" t="str">
        <f t="shared" si="25"/>
        <v>LOYER TERRAIN-USAGES</v>
      </c>
      <c r="AL278" s="905">
        <f>IFERROR(INDEX(G278:R278,1,MATCH(Parametres!$B$3,G$1:R$1,0)-1)*IF(OR(F278="L",F278="S",F278="I"),-1,1),"")</f>
        <v>10821.64</v>
      </c>
      <c r="AM278" s="905">
        <f t="shared" si="26"/>
        <v>-40.399999999999636</v>
      </c>
      <c r="AN278" s="905">
        <f>INDEX(G278:R278,1,MATCH(Parametres!$B$3,G$1:R$1,0))*IF(OR(F278="L",F278="S",F278="I"),-1,1)</f>
        <v>10781.24</v>
      </c>
      <c r="AO278" s="487" t="str">
        <f>+VLOOKUP($AJ278,Data_Validation!$A:$D,1,0)</f>
        <v>G0812</v>
      </c>
      <c r="AP278" s="487" t="str">
        <f>+VLOOKUP($AJ278,Data_Validation!$A:$D,3,0)</f>
        <v>Véhicules usagés</v>
      </c>
      <c r="AQ278" s="487" t="str">
        <f>+VLOOKUP($AJ278,Data_Validation!$A:$D,4,0)</f>
        <v>Loyer</v>
      </c>
      <c r="AR278" s="487" t="s">
        <v>299</v>
      </c>
      <c r="AS278" s="487">
        <f>+VLOOKUP($AJ278,Data_Validation!$A:$E,5,0)</f>
        <v>0</v>
      </c>
      <c r="AT278" s="904" t="str">
        <f t="shared" si="27"/>
        <v>G0812</v>
      </c>
      <c r="AU278" s="488" t="str">
        <f t="shared" si="28"/>
        <v>LOYER TERRAIN-USAGES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1655</v>
      </c>
      <c r="D279" s="706" t="s">
        <v>1656</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G0813</v>
      </c>
      <c r="AK279" s="905" t="str">
        <f t="shared" si="25"/>
        <v>LOYER TERRAIN-U.S.A</v>
      </c>
      <c r="AL279" s="905">
        <f>IFERROR(INDEX(G279:R279,1,MATCH(Parametres!$B$3,G$1:R$1,0)-1)*IF(OR(F279="L",F279="S",F279="I"),-1,1),"")</f>
        <v>0</v>
      </c>
      <c r="AM279" s="905">
        <f t="shared" si="26"/>
        <v>0</v>
      </c>
      <c r="AN279" s="905">
        <f>INDEX(G279:R279,1,MATCH(Parametres!$B$3,G$1:R$1,0))*IF(OR(F279="L",F279="S",F279="I"),-1,1)</f>
        <v>0</v>
      </c>
      <c r="AO279" s="487" t="str">
        <f>+VLOOKUP($AJ279,Data_Validation!$A:$D,1,0)</f>
        <v>G0813</v>
      </c>
      <c r="AP279" s="487" t="str">
        <f>+VLOOKUP($AJ279,Data_Validation!$A:$D,3,0)</f>
        <v>Wholesale autres</v>
      </c>
      <c r="AQ279" s="487" t="str">
        <f>+VLOOKUP($AJ279,Data_Validation!$A:$D,4,0)</f>
        <v>Loyer</v>
      </c>
      <c r="AR279" s="487" t="s">
        <v>299</v>
      </c>
      <c r="AS279" s="487">
        <f>+VLOOKUP($AJ279,Data_Validation!$A:$E,5,0)</f>
        <v>0</v>
      </c>
      <c r="AT279" s="904" t="str">
        <f t="shared" si="27"/>
        <v>G0813</v>
      </c>
      <c r="AU279" s="488" t="str">
        <f t="shared" si="28"/>
        <v>LOYER TERRAIN-U.S.A</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1657</v>
      </c>
      <c r="D280" s="706" t="s">
        <v>1658</v>
      </c>
      <c r="E280" s="706" t="s">
        <v>333</v>
      </c>
      <c r="F280" s="706" t="s">
        <v>1104</v>
      </c>
      <c r="G280" s="706">
        <v>3244.12</v>
      </c>
      <c r="H280" s="706">
        <v>6488.24</v>
      </c>
      <c r="I280" s="706">
        <v>7559.34</v>
      </c>
      <c r="J280" s="706">
        <v>13186.87</v>
      </c>
      <c r="K280" s="706">
        <v>16232.47</v>
      </c>
      <c r="L280" s="706">
        <v>16171.87</v>
      </c>
      <c r="M280" s="706">
        <v>16171.87</v>
      </c>
      <c r="N280" s="706">
        <v>0</v>
      </c>
      <c r="O280" s="706">
        <v>0</v>
      </c>
      <c r="P280" s="706">
        <v>0</v>
      </c>
      <c r="Q280" s="706">
        <v>0</v>
      </c>
      <c r="R280" s="706">
        <v>0</v>
      </c>
      <c r="S280" s="706">
        <v>2695.31</v>
      </c>
      <c r="T280" s="706">
        <v>2695.31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G0814</v>
      </c>
      <c r="AK280" s="905" t="str">
        <f t="shared" si="25"/>
        <v>LOYER TERRAIN-SERVICE</v>
      </c>
      <c r="AL280" s="905">
        <f>IFERROR(INDEX(G280:R280,1,MATCH(Parametres!$B$3,G$1:R$1,0)-1)*IF(OR(F280="L",F280="S",F280="I"),-1,1),"")</f>
        <v>16232.47</v>
      </c>
      <c r="AM280" s="905">
        <f t="shared" si="26"/>
        <v>-60.599999999998545</v>
      </c>
      <c r="AN280" s="905">
        <f>INDEX(G280:R280,1,MATCH(Parametres!$B$3,G$1:R$1,0))*IF(OR(F280="L",F280="S",F280="I"),-1,1)</f>
        <v>16171.87</v>
      </c>
      <c r="AO280" s="487" t="str">
        <f>+VLOOKUP($AJ280,Data_Validation!$A:$D,1,0)</f>
        <v>G0814</v>
      </c>
      <c r="AP280" s="487" t="str">
        <f>+VLOOKUP($AJ280,Data_Validation!$A:$D,3,0)</f>
        <v>Service</v>
      </c>
      <c r="AQ280" s="487" t="str">
        <f>+VLOOKUP($AJ280,Data_Validation!$A:$D,4,0)</f>
        <v>Loyer</v>
      </c>
      <c r="AR280" s="487" t="s">
        <v>299</v>
      </c>
      <c r="AS280" s="487">
        <f>+VLOOKUP($AJ280,Data_Validation!$A:$E,5,0)</f>
        <v>0</v>
      </c>
      <c r="AT280" s="904" t="str">
        <f t="shared" si="27"/>
        <v>G0814</v>
      </c>
      <c r="AU280" s="488" t="str">
        <f t="shared" si="28"/>
        <v>LOYER TERRAIN-SERVICE</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1659</v>
      </c>
      <c r="D281" s="706" t="s">
        <v>1660</v>
      </c>
      <c r="E281" s="706" t="s">
        <v>333</v>
      </c>
      <c r="F281" s="706" t="s">
        <v>1104</v>
      </c>
      <c r="G281" s="706">
        <v>1081.3699999999999</v>
      </c>
      <c r="H281" s="706">
        <v>2162.7399999999998</v>
      </c>
      <c r="I281" s="706">
        <v>2519.7600000000002</v>
      </c>
      <c r="J281" s="706">
        <v>4395.6000000000004</v>
      </c>
      <c r="K281" s="706">
        <v>5410.8</v>
      </c>
      <c r="L281" s="706">
        <v>5390.6</v>
      </c>
      <c r="M281" s="706">
        <v>5390.6</v>
      </c>
      <c r="N281" s="706">
        <v>0</v>
      </c>
      <c r="O281" s="706">
        <v>0</v>
      </c>
      <c r="P281" s="706">
        <v>0</v>
      </c>
      <c r="Q281" s="706">
        <v>0</v>
      </c>
      <c r="R281" s="706">
        <v>0</v>
      </c>
      <c r="S281" s="706">
        <v>898.43</v>
      </c>
      <c r="T281" s="706">
        <v>898.43</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G0815</v>
      </c>
      <c r="AK281" s="905" t="str">
        <f t="shared" si="25"/>
        <v>LOYER TERRAIN-CARROSSERIE</v>
      </c>
      <c r="AL281" s="905">
        <f>IFERROR(INDEX(G281:R281,1,MATCH(Parametres!$B$3,G$1:R$1,0)-1)*IF(OR(F281="L",F281="S",F281="I"),-1,1),"")</f>
        <v>5410.8</v>
      </c>
      <c r="AM281" s="905">
        <f t="shared" si="26"/>
        <v>-20.199999999999818</v>
      </c>
      <c r="AN281" s="905">
        <f>INDEX(G281:R281,1,MATCH(Parametres!$B$3,G$1:R$1,0))*IF(OR(F281="L",F281="S",F281="I"),-1,1)</f>
        <v>5390.6</v>
      </c>
      <c r="AO281" s="487" t="str">
        <f>+VLOOKUP($AJ281,Data_Validation!$A:$D,1,0)</f>
        <v>G0815</v>
      </c>
      <c r="AP281" s="487" t="str">
        <f>+VLOOKUP($AJ281,Data_Validation!$A:$D,3,0)</f>
        <v>Carrosserie</v>
      </c>
      <c r="AQ281" s="487" t="str">
        <f>+VLOOKUP($AJ281,Data_Validation!$A:$D,4,0)</f>
        <v>Loyer</v>
      </c>
      <c r="AR281" s="487" t="s">
        <v>299</v>
      </c>
      <c r="AS281" s="487">
        <f>+VLOOKUP($AJ281,Data_Validation!$A:$E,5,0)</f>
        <v>0</v>
      </c>
      <c r="AT281" s="904" t="str">
        <f t="shared" si="27"/>
        <v>G0815</v>
      </c>
      <c r="AU281" s="488" t="str">
        <f t="shared" si="28"/>
        <v>LOYER TERRAIN-CARROSSERIE</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customHeight="1">
      <c r="A282" s="706" t="s">
        <v>1148</v>
      </c>
      <c r="B282" s="706">
        <v>2026</v>
      </c>
      <c r="C282" s="706" t="s">
        <v>1661</v>
      </c>
      <c r="D282" s="706" t="s">
        <v>1662</v>
      </c>
      <c r="E282" s="706" t="s">
        <v>333</v>
      </c>
      <c r="F282" s="706" t="s">
        <v>1104</v>
      </c>
      <c r="G282" s="706">
        <v>1081.3699999999999</v>
      </c>
      <c r="H282" s="706">
        <v>2162.7399999999998</v>
      </c>
      <c r="I282" s="706">
        <v>2519.7600000000002</v>
      </c>
      <c r="J282" s="706">
        <v>4395.6099999999997</v>
      </c>
      <c r="K282" s="706">
        <v>5410.81</v>
      </c>
      <c r="L282" s="706">
        <v>5390.61</v>
      </c>
      <c r="M282" s="706">
        <v>5390.61</v>
      </c>
      <c r="N282" s="706">
        <v>0</v>
      </c>
      <c r="O282" s="706">
        <v>0</v>
      </c>
      <c r="P282" s="706">
        <v>0</v>
      </c>
      <c r="Q282" s="706">
        <v>0</v>
      </c>
      <c r="R282" s="706">
        <v>0</v>
      </c>
      <c r="S282" s="706">
        <v>898.44</v>
      </c>
      <c r="T282" s="706">
        <v>898.44</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G0816</v>
      </c>
      <c r="AK282" s="905" t="str">
        <f t="shared" si="25"/>
        <v>LOYER TERRAIN- PIECES</v>
      </c>
      <c r="AL282" s="905">
        <f>IFERROR(INDEX(G282:R282,1,MATCH(Parametres!$B$3,G$1:R$1,0)-1)*IF(OR(F282="L",F282="S",F282="I"),-1,1),"")</f>
        <v>5410.81</v>
      </c>
      <c r="AM282" s="905">
        <f t="shared" si="26"/>
        <v>-20.200000000000728</v>
      </c>
      <c r="AN282" s="905">
        <f>INDEX(G282:R282,1,MATCH(Parametres!$B$3,G$1:R$1,0))*IF(OR(F282="L",F282="S",F282="I"),-1,1)</f>
        <v>5390.61</v>
      </c>
      <c r="AO282" s="487" t="str">
        <f>+VLOOKUP($AJ282,Data_Validation!$A:$D,1,0)</f>
        <v>G0816</v>
      </c>
      <c r="AP282" s="487" t="str">
        <f>+VLOOKUP($AJ282,Data_Validation!$A:$D,3,0)</f>
        <v>Pièces</v>
      </c>
      <c r="AQ282" s="487" t="str">
        <f>+VLOOKUP($AJ282,Data_Validation!$A:$D,4,0)</f>
        <v>Loyer</v>
      </c>
      <c r="AR282" s="487" t="s">
        <v>299</v>
      </c>
      <c r="AS282" s="487">
        <f>+VLOOKUP($AJ282,Data_Validation!$A:$E,5,0)</f>
        <v>0</v>
      </c>
      <c r="AT282" s="904" t="str">
        <f t="shared" si="27"/>
        <v>G0816</v>
      </c>
      <c r="AU282" s="488" t="str">
        <f t="shared" si="28"/>
        <v>LOYER TERRAIN- PIECES</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1663</v>
      </c>
      <c r="D283" s="706" t="s">
        <v>1664</v>
      </c>
      <c r="E283" s="706" t="s">
        <v>333</v>
      </c>
      <c r="F283" s="706" t="s">
        <v>1104</v>
      </c>
      <c r="G283" s="706">
        <v>0</v>
      </c>
      <c r="H283" s="706">
        <v>0</v>
      </c>
      <c r="I283" s="706">
        <v>0</v>
      </c>
      <c r="J283" s="706">
        <v>0</v>
      </c>
      <c r="K283" s="706">
        <v>0</v>
      </c>
      <c r="L283" s="706">
        <v>0</v>
      </c>
      <c r="M283" s="706">
        <v>0</v>
      </c>
      <c r="N283" s="706">
        <v>0</v>
      </c>
      <c r="O283" s="706">
        <v>0</v>
      </c>
      <c r="P283" s="706">
        <v>0</v>
      </c>
      <c r="Q283" s="706">
        <v>0</v>
      </c>
      <c r="R283" s="706">
        <v>0</v>
      </c>
      <c r="S283" s="706">
        <v>0</v>
      </c>
      <c r="T283" s="706">
        <v>0</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G0820</v>
      </c>
      <c r="AK283" s="905" t="str">
        <f t="shared" si="25"/>
        <v>ENT BATIMENT REP.</v>
      </c>
      <c r="AL283" s="905">
        <f>IFERROR(INDEX(G283:R283,1,MATCH(Parametres!$B$3,G$1:R$1,0)-1)*IF(OR(F283="L",F283="S",F283="I"),-1,1),"")</f>
        <v>0</v>
      </c>
      <c r="AM283" s="905">
        <f t="shared" si="26"/>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t="str">
        <f t="shared" si="27"/>
        <v>G0820</v>
      </c>
      <c r="AU283" s="488" t="str">
        <f t="shared" si="28"/>
        <v>ENT BATIMENT REP.</v>
      </c>
      <c r="AV283" s="899">
        <f>IFERROR(INDEX(V283:AG283,1,MATCH(Parametres!$B$3,V$1:AG$1,0)-1)*IF(OR(C283="L",C283="S",C283="I"),-1,1),"")</f>
        <v>0</v>
      </c>
      <c r="AW283" s="899">
        <f t="shared" si="29"/>
        <v>0</v>
      </c>
      <c r="AX283" s="899">
        <f>INDEX(V283:AG283,1,MATCH(Parametres!$B$3,V$1:AG$1,0))*IF(OR(C283="L",C283="S",C283="I"),-1,1)</f>
        <v>0</v>
      </c>
      <c r="AY283" s="487" t="s">
        <v>337</v>
      </c>
      <c r="AZ283" s="487" t="e">
        <f>+VLOOKUP($AJ283,Data_Validation!$A:$E,5,0)</f>
        <v>#N/A</v>
      </c>
    </row>
    <row r="284" spans="1:52" ht="15" customHeight="1">
      <c r="A284" s="706" t="s">
        <v>1148</v>
      </c>
      <c r="B284" s="706">
        <v>2026</v>
      </c>
      <c r="C284" s="706" t="s">
        <v>1665</v>
      </c>
      <c r="D284" s="706" t="s">
        <v>1666</v>
      </c>
      <c r="E284" s="706" t="s">
        <v>333</v>
      </c>
      <c r="F284" s="706" t="s">
        <v>1104</v>
      </c>
      <c r="G284" s="706">
        <v>5810.59</v>
      </c>
      <c r="H284" s="706">
        <v>7012.67</v>
      </c>
      <c r="I284" s="706">
        <v>11674.34</v>
      </c>
      <c r="J284" s="706">
        <v>15566.72</v>
      </c>
      <c r="K284" s="706">
        <v>16295.62</v>
      </c>
      <c r="L284" s="706">
        <v>19762.919999999998</v>
      </c>
      <c r="M284" s="706">
        <v>21249.78</v>
      </c>
      <c r="N284" s="706">
        <v>0</v>
      </c>
      <c r="O284" s="706">
        <v>0</v>
      </c>
      <c r="P284" s="706">
        <v>0</v>
      </c>
      <c r="Q284" s="706">
        <v>0</v>
      </c>
      <c r="R284" s="706">
        <v>0</v>
      </c>
      <c r="S284" s="706">
        <v>3293.82</v>
      </c>
      <c r="T284" s="706">
        <v>3293.82</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G0821</v>
      </c>
      <c r="AK284" s="905" t="str">
        <f t="shared" si="25"/>
        <v>ENT. REP. BATISSE-NEUFS</v>
      </c>
      <c r="AL284" s="905">
        <f>IFERROR(INDEX(G284:R284,1,MATCH(Parametres!$B$3,G$1:R$1,0)-1)*IF(OR(F284="L",F284="S",F284="I"),-1,1),"")</f>
        <v>16295.62</v>
      </c>
      <c r="AM284" s="905">
        <f t="shared" si="26"/>
        <v>3467.2999999999975</v>
      </c>
      <c r="AN284" s="905">
        <f>INDEX(G284:R284,1,MATCH(Parametres!$B$3,G$1:R$1,0))*IF(OR(F284="L",F284="S",F284="I"),-1,1)</f>
        <v>19762.919999999998</v>
      </c>
      <c r="AO284" s="487" t="str">
        <f>+VLOOKUP($AJ284,Data_Validation!$A:$D,1,0)</f>
        <v>G0821</v>
      </c>
      <c r="AP284" s="487" t="str">
        <f>+VLOOKUP($AJ284,Data_Validation!$A:$D,3,0)</f>
        <v>Véhicules neufs</v>
      </c>
      <c r="AQ284" s="487" t="str">
        <f>+VLOOKUP($AJ284,Data_Validation!$A:$D,4,0)</f>
        <v>Services extérieurs</v>
      </c>
      <c r="AR284" s="487" t="s">
        <v>299</v>
      </c>
      <c r="AS284" s="487">
        <f>+VLOOKUP($AJ284,Data_Validation!$A:$E,5,0)</f>
        <v>0</v>
      </c>
      <c r="AT284" s="904" t="str">
        <f t="shared" si="27"/>
        <v>G0821</v>
      </c>
      <c r="AU284" s="488" t="str">
        <f t="shared" si="28"/>
        <v>ENT. REP. BATISSE-NEUFS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customHeight="1">
      <c r="A285" s="706" t="s">
        <v>1148</v>
      </c>
      <c r="B285" s="706">
        <v>2026</v>
      </c>
      <c r="C285" s="706" t="s">
        <v>1667</v>
      </c>
      <c r="D285" s="706" t="s">
        <v>1668</v>
      </c>
      <c r="E285" s="706" t="s">
        <v>333</v>
      </c>
      <c r="F285" s="706" t="s">
        <v>1104</v>
      </c>
      <c r="G285" s="706">
        <v>3691.27</v>
      </c>
      <c r="H285" s="706">
        <v>4492.6499999999996</v>
      </c>
      <c r="I285" s="706">
        <v>7600.42</v>
      </c>
      <c r="J285" s="706">
        <v>10195.34</v>
      </c>
      <c r="K285" s="706">
        <v>10681.29</v>
      </c>
      <c r="L285" s="706">
        <v>12992.82</v>
      </c>
      <c r="M285" s="706">
        <v>13842.92</v>
      </c>
      <c r="N285" s="706">
        <v>0</v>
      </c>
      <c r="O285" s="706">
        <v>0</v>
      </c>
      <c r="P285" s="706">
        <v>0</v>
      </c>
      <c r="Q285" s="706">
        <v>0</v>
      </c>
      <c r="R285" s="706">
        <v>0</v>
      </c>
      <c r="S285" s="706">
        <v>2165.4699999999998</v>
      </c>
      <c r="T285" s="706">
        <v>2165.4699999999998</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G0822</v>
      </c>
      <c r="AK285" s="905" t="str">
        <f t="shared" si="25"/>
        <v>ENT. REP. BATISSE-USAGES</v>
      </c>
      <c r="AL285" s="905">
        <f>IFERROR(INDEX(G285:R285,1,MATCH(Parametres!$B$3,G$1:R$1,0)-1)*IF(OR(F285="L",F285="S",F285="I"),-1,1),"")</f>
        <v>10681.29</v>
      </c>
      <c r="AM285" s="905">
        <f t="shared" si="26"/>
        <v>2311.5299999999988</v>
      </c>
      <c r="AN285" s="905">
        <f>INDEX(G285:R285,1,MATCH(Parametres!$B$3,G$1:R$1,0))*IF(OR(F285="L",F285="S",F285="I"),-1,1)</f>
        <v>12992.82</v>
      </c>
      <c r="AO285" s="487" t="str">
        <f>+VLOOKUP($AJ285,Data_Validation!$A:$D,1,0)</f>
        <v>G0822</v>
      </c>
      <c r="AP285" s="487" t="str">
        <f>+VLOOKUP($AJ285,Data_Validation!$A:$D,3,0)</f>
        <v>Véhicules usagés</v>
      </c>
      <c r="AQ285" s="487" t="str">
        <f>+VLOOKUP($AJ285,Data_Validation!$A:$D,4,0)</f>
        <v>Services extérieurs</v>
      </c>
      <c r="AR285" s="487" t="s">
        <v>299</v>
      </c>
      <c r="AS285" s="487">
        <f>+VLOOKUP($AJ285,Data_Validation!$A:$E,5,0)</f>
        <v>0</v>
      </c>
      <c r="AT285" s="904" t="str">
        <f t="shared" si="27"/>
        <v>G0822</v>
      </c>
      <c r="AU285" s="488" t="str">
        <f t="shared" si="28"/>
        <v>ENT. REP. BATISSE-USAGES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1669</v>
      </c>
      <c r="D286" s="706" t="s">
        <v>1670</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G0823</v>
      </c>
      <c r="AK286" s="905" t="str">
        <f t="shared" si="25"/>
        <v>ENT. REP. BATISSE U.S.A</v>
      </c>
      <c r="AL286" s="905">
        <f>IFERROR(INDEX(G286:R286,1,MATCH(Parametres!$B$3,G$1:R$1,0)-1)*IF(OR(F286="L",F286="S",F286="I"),-1,1),"")</f>
        <v>0</v>
      </c>
      <c r="AM286" s="905">
        <f t="shared" si="26"/>
        <v>0</v>
      </c>
      <c r="AN286" s="905">
        <f>INDEX(G286:R286,1,MATCH(Parametres!$B$3,G$1:R$1,0))*IF(OR(F286="L",F286="S",F286="I"),-1,1)</f>
        <v>0</v>
      </c>
      <c r="AO286" s="487" t="str">
        <f>+VLOOKUP($AJ286,Data_Validation!$A:$D,1,0)</f>
        <v>G0823</v>
      </c>
      <c r="AP286" s="487" t="str">
        <f>+VLOOKUP($AJ286,Data_Validation!$A:$D,3,0)</f>
        <v>Wholesale autres</v>
      </c>
      <c r="AQ286" s="487" t="str">
        <f>+VLOOKUP($AJ286,Data_Validation!$A:$D,4,0)</f>
        <v>Services extérieurs</v>
      </c>
      <c r="AR286" s="487" t="s">
        <v>299</v>
      </c>
      <c r="AS286" s="487">
        <f>+VLOOKUP($AJ286,Data_Validation!$A:$E,5,0)</f>
        <v>0</v>
      </c>
      <c r="AT286" s="904" t="str">
        <f t="shared" si="27"/>
        <v>G0823</v>
      </c>
      <c r="AU286" s="488" t="str">
        <f t="shared" si="28"/>
        <v>ENT. REP. BATISSE U.S.A</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1671</v>
      </c>
      <c r="D287" s="706" t="s">
        <v>1672</v>
      </c>
      <c r="E287" s="706" t="s">
        <v>333</v>
      </c>
      <c r="F287" s="706" t="s">
        <v>1104</v>
      </c>
      <c r="G287" s="706">
        <v>5838.67</v>
      </c>
      <c r="H287" s="706">
        <v>11637.94</v>
      </c>
      <c r="I287" s="706">
        <v>17192.810000000001</v>
      </c>
      <c r="J287" s="706">
        <v>22212.19</v>
      </c>
      <c r="K287" s="706">
        <v>22941.09</v>
      </c>
      <c r="L287" s="706">
        <v>26408.39</v>
      </c>
      <c r="M287" s="706">
        <v>27683.54</v>
      </c>
      <c r="N287" s="706">
        <v>0</v>
      </c>
      <c r="O287" s="706">
        <v>0</v>
      </c>
      <c r="P287" s="706">
        <v>0</v>
      </c>
      <c r="Q287" s="706">
        <v>0</v>
      </c>
      <c r="R287" s="706">
        <v>0</v>
      </c>
      <c r="S287" s="706">
        <v>4401.3999999999996</v>
      </c>
      <c r="T287" s="706">
        <v>4401.3999999999996</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G0824</v>
      </c>
      <c r="AK287" s="905" t="str">
        <f t="shared" si="25"/>
        <v>ENT. REP. BATISSE-SERVICE</v>
      </c>
      <c r="AL287" s="905">
        <f>IFERROR(INDEX(G287:R287,1,MATCH(Parametres!$B$3,G$1:R$1,0)-1)*IF(OR(F287="L",F287="S",F287="I"),-1,1),"")</f>
        <v>22941.09</v>
      </c>
      <c r="AM287" s="905">
        <f t="shared" si="26"/>
        <v>3467.2999999999993</v>
      </c>
      <c r="AN287" s="905">
        <f>INDEX(G287:R287,1,MATCH(Parametres!$B$3,G$1:R$1,0))*IF(OR(F287="L",F287="S",F287="I"),-1,1)</f>
        <v>26408.39</v>
      </c>
      <c r="AO287" s="487" t="str">
        <f>+VLOOKUP($AJ287,Data_Validation!$A:$D,1,0)</f>
        <v>G0824</v>
      </c>
      <c r="AP287" s="487" t="str">
        <f>+VLOOKUP($AJ287,Data_Validation!$A:$D,3,0)</f>
        <v>Service</v>
      </c>
      <c r="AQ287" s="487" t="str">
        <f>+VLOOKUP($AJ287,Data_Validation!$A:$D,4,0)</f>
        <v>Services extérieurs</v>
      </c>
      <c r="AR287" s="487" t="s">
        <v>299</v>
      </c>
      <c r="AS287" s="487">
        <f>+VLOOKUP($AJ287,Data_Validation!$A:$E,5,0)</f>
        <v>0</v>
      </c>
      <c r="AT287" s="904" t="str">
        <f t="shared" si="27"/>
        <v>G0824</v>
      </c>
      <c r="AU287" s="488" t="str">
        <f t="shared" si="28"/>
        <v>ENT. REP. BATISSE-SERVICE</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customHeight="1">
      <c r="A288" s="706" t="s">
        <v>1148</v>
      </c>
      <c r="B288" s="706">
        <v>2026</v>
      </c>
      <c r="C288" s="706" t="s">
        <v>1673</v>
      </c>
      <c r="D288" s="706" t="s">
        <v>1674</v>
      </c>
      <c r="E288" s="706" t="s">
        <v>333</v>
      </c>
      <c r="F288" s="706" t="s">
        <v>1104</v>
      </c>
      <c r="G288" s="706">
        <v>2108.3200000000002</v>
      </c>
      <c r="H288" s="706">
        <v>2618.48</v>
      </c>
      <c r="I288" s="706">
        <v>5214.8599999999997</v>
      </c>
      <c r="J288" s="706">
        <v>6707.35</v>
      </c>
      <c r="K288" s="706">
        <v>10063.52</v>
      </c>
      <c r="L288" s="706">
        <v>11528.29</v>
      </c>
      <c r="M288" s="706">
        <v>11953.34</v>
      </c>
      <c r="N288" s="706">
        <v>0</v>
      </c>
      <c r="O288" s="706">
        <v>0</v>
      </c>
      <c r="P288" s="706">
        <v>0</v>
      </c>
      <c r="Q288" s="706">
        <v>0</v>
      </c>
      <c r="R288" s="706">
        <v>0</v>
      </c>
      <c r="S288" s="706">
        <v>1921.38</v>
      </c>
      <c r="T288" s="706">
        <v>1921.38</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G0825</v>
      </c>
      <c r="AK288" s="905" t="str">
        <f t="shared" si="25"/>
        <v>ENT. REP. BATISSE-CARROSS</v>
      </c>
      <c r="AL288" s="905">
        <f>IFERROR(INDEX(G288:R288,1,MATCH(Parametres!$B$3,G$1:R$1,0)-1)*IF(OR(F288="L",F288="S",F288="I"),-1,1),"")</f>
        <v>10063.52</v>
      </c>
      <c r="AM288" s="905">
        <f t="shared" si="26"/>
        <v>1464.7700000000004</v>
      </c>
      <c r="AN288" s="905">
        <f>INDEX(G288:R288,1,MATCH(Parametres!$B$3,G$1:R$1,0))*IF(OR(F288="L",F288="S",F288="I"),-1,1)</f>
        <v>11528.29</v>
      </c>
      <c r="AO288" s="487" t="str">
        <f>+VLOOKUP($AJ288,Data_Validation!$A:$D,1,0)</f>
        <v>G0825</v>
      </c>
      <c r="AP288" s="487" t="str">
        <f>+VLOOKUP($AJ288,Data_Validation!$A:$D,3,0)</f>
        <v>Carrosserie</v>
      </c>
      <c r="AQ288" s="487" t="str">
        <f>+VLOOKUP($AJ288,Data_Validation!$A:$D,4,0)</f>
        <v>Services extérieurs</v>
      </c>
      <c r="AR288" s="487" t="s">
        <v>299</v>
      </c>
      <c r="AS288" s="487">
        <f>+VLOOKUP($AJ288,Data_Validation!$A:$E,5,0)</f>
        <v>0</v>
      </c>
      <c r="AT288" s="904" t="str">
        <f t="shared" si="27"/>
        <v>G0825</v>
      </c>
      <c r="AU288" s="488" t="str">
        <f t="shared" si="28"/>
        <v>ENT. REP. BATISSE-CARROSS</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1675</v>
      </c>
      <c r="D289" s="706" t="s">
        <v>1676</v>
      </c>
      <c r="E289" s="706" t="s">
        <v>333</v>
      </c>
      <c r="F289" s="706" t="s">
        <v>1104</v>
      </c>
      <c r="G289" s="706">
        <v>1845.63</v>
      </c>
      <c r="H289" s="706">
        <v>2246.3200000000002</v>
      </c>
      <c r="I289" s="706">
        <v>3800.19</v>
      </c>
      <c r="J289" s="706">
        <v>5097.6099999999997</v>
      </c>
      <c r="K289" s="706">
        <v>7441.58</v>
      </c>
      <c r="L289" s="706">
        <v>8597.35</v>
      </c>
      <c r="M289" s="706">
        <v>9022.4</v>
      </c>
      <c r="N289" s="706">
        <v>0</v>
      </c>
      <c r="O289" s="706">
        <v>0</v>
      </c>
      <c r="P289" s="706">
        <v>0</v>
      </c>
      <c r="Q289" s="706">
        <v>0</v>
      </c>
      <c r="R289" s="706">
        <v>0</v>
      </c>
      <c r="S289" s="706">
        <v>1432.89</v>
      </c>
      <c r="T289" s="706">
        <v>1432.89</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G0826</v>
      </c>
      <c r="AK289" s="905" t="str">
        <f t="shared" si="25"/>
        <v>ENT. REP. BATISSE-PIECES</v>
      </c>
      <c r="AL289" s="905">
        <f>IFERROR(INDEX(G289:R289,1,MATCH(Parametres!$B$3,G$1:R$1,0)-1)*IF(OR(F289="L",F289="S",F289="I"),-1,1),"")</f>
        <v>7441.58</v>
      </c>
      <c r="AM289" s="905">
        <f t="shared" si="26"/>
        <v>1155.7700000000004</v>
      </c>
      <c r="AN289" s="905">
        <f>INDEX(G289:R289,1,MATCH(Parametres!$B$3,G$1:R$1,0))*IF(OR(F289="L",F289="S",F289="I"),-1,1)</f>
        <v>8597.35</v>
      </c>
      <c r="AO289" s="487" t="str">
        <f>+VLOOKUP($AJ289,Data_Validation!$A:$D,1,0)</f>
        <v>G0826</v>
      </c>
      <c r="AP289" s="487" t="str">
        <f>+VLOOKUP($AJ289,Data_Validation!$A:$D,3,0)</f>
        <v>Pièces</v>
      </c>
      <c r="AQ289" s="487" t="str">
        <f>+VLOOKUP($AJ289,Data_Validation!$A:$D,4,0)</f>
        <v>Services extérieurs</v>
      </c>
      <c r="AR289" s="487" t="s">
        <v>299</v>
      </c>
      <c r="AS289" s="487">
        <f>+VLOOKUP($AJ289,Data_Validation!$A:$E,5,0)</f>
        <v>0</v>
      </c>
      <c r="AT289" s="904" t="str">
        <f t="shared" si="27"/>
        <v>G0826</v>
      </c>
      <c r="AU289" s="488" t="str">
        <f t="shared" si="28"/>
        <v>ENT. REP. BATISSE-PIECES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1677</v>
      </c>
      <c r="D290" s="706" t="s">
        <v>1678</v>
      </c>
      <c r="E290" s="706" t="s">
        <v>333</v>
      </c>
      <c r="F290" s="706" t="s">
        <v>1104</v>
      </c>
      <c r="G290" s="706">
        <v>0</v>
      </c>
      <c r="H290" s="706">
        <v>0</v>
      </c>
      <c r="I290" s="706">
        <v>0</v>
      </c>
      <c r="J290" s="706">
        <v>0</v>
      </c>
      <c r="K290" s="706">
        <v>0</v>
      </c>
      <c r="L290" s="706">
        <v>0</v>
      </c>
      <c r="M290" s="706">
        <v>0</v>
      </c>
      <c r="N290" s="706">
        <v>0</v>
      </c>
      <c r="O290" s="706">
        <v>0</v>
      </c>
      <c r="P290" s="706">
        <v>0</v>
      </c>
      <c r="Q290" s="706">
        <v>0</v>
      </c>
      <c r="R290" s="706">
        <v>0</v>
      </c>
      <c r="S290" s="706">
        <v>0</v>
      </c>
      <c r="T290" s="706">
        <v>0</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G0830</v>
      </c>
      <c r="AK290" s="905" t="str">
        <f t="shared" si="25"/>
        <v>AMORT. BATIMENT REP</v>
      </c>
      <c r="AL290" s="905">
        <f>IFERROR(INDEX(G290:R290,1,MATCH(Parametres!$B$3,G$1:R$1,0)-1)*IF(OR(F290="L",F290="S",F290="I"),-1,1),"")</f>
        <v>0</v>
      </c>
      <c r="AM290" s="905">
        <f t="shared" si="26"/>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t="str">
        <f t="shared" si="27"/>
        <v>G0830</v>
      </c>
      <c r="AU290" s="488" t="str">
        <f t="shared" si="28"/>
        <v>AMORT. BATIMENT REP</v>
      </c>
      <c r="AV290" s="899">
        <f>IFERROR(INDEX(V290:AG290,1,MATCH(Parametres!$B$3,V$1:AG$1,0)-1)*IF(OR(C290="L",C290="S",C290="I"),-1,1),"")</f>
        <v>0</v>
      </c>
      <c r="AW290" s="899">
        <f t="shared" si="29"/>
        <v>0</v>
      </c>
      <c r="AX290" s="899">
        <f>INDEX(V290:AG290,1,MATCH(Parametres!$B$3,V$1:AG$1,0))*IF(OR(C290="L",C290="S",C290="I"),-1,1)</f>
        <v>0</v>
      </c>
      <c r="AY290" s="487" t="s">
        <v>337</v>
      </c>
      <c r="AZ290" s="487" t="e">
        <f>+VLOOKUP($AJ290,Data_Validation!$A:$E,5,0)</f>
        <v>#N/A</v>
      </c>
    </row>
    <row r="291" spans="1:52" ht="15.75" customHeight="1">
      <c r="A291" s="706" t="s">
        <v>1148</v>
      </c>
      <c r="B291" s="706">
        <v>2026</v>
      </c>
      <c r="C291" s="706" t="s">
        <v>1679</v>
      </c>
      <c r="D291" s="706" t="s">
        <v>1680</v>
      </c>
      <c r="E291" s="706" t="s">
        <v>333</v>
      </c>
      <c r="F291" s="706" t="s">
        <v>1104</v>
      </c>
      <c r="G291" s="706">
        <v>28.5</v>
      </c>
      <c r="H291" s="706">
        <v>57</v>
      </c>
      <c r="I291" s="706">
        <v>85.5</v>
      </c>
      <c r="J291" s="706">
        <v>114</v>
      </c>
      <c r="K291" s="706">
        <v>142.5</v>
      </c>
      <c r="L291" s="706">
        <v>171</v>
      </c>
      <c r="M291" s="706">
        <v>199.5</v>
      </c>
      <c r="N291" s="706">
        <v>0</v>
      </c>
      <c r="O291" s="706">
        <v>0</v>
      </c>
      <c r="P291" s="706">
        <v>0</v>
      </c>
      <c r="Q291" s="706">
        <v>0</v>
      </c>
      <c r="R291" s="706">
        <v>0</v>
      </c>
      <c r="S291" s="706">
        <v>28.5</v>
      </c>
      <c r="T291" s="706">
        <v>28.5</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G0831</v>
      </c>
      <c r="AK291" s="905" t="str">
        <f t="shared" si="25"/>
        <v>AMORT. BATISSE-NEUFS</v>
      </c>
      <c r="AL291" s="905">
        <f>IFERROR(INDEX(G291:R291,1,MATCH(Parametres!$B$3,G$1:R$1,0)-1)*IF(OR(F291="L",F291="S",F291="I"),-1,1),"")</f>
        <v>142.5</v>
      </c>
      <c r="AM291" s="905">
        <f t="shared" si="26"/>
        <v>28.5</v>
      </c>
      <c r="AN291" s="905">
        <f>INDEX(G291:R291,1,MATCH(Parametres!$B$3,G$1:R$1,0))*IF(OR(F291="L",F291="S",F291="I"),-1,1)</f>
        <v>171</v>
      </c>
      <c r="AO291" s="487" t="str">
        <f>+VLOOKUP($AJ291,Data_Validation!$A:$D,1,0)</f>
        <v>G0831</v>
      </c>
      <c r="AP291" s="487" t="str">
        <f>+VLOOKUP($AJ291,Data_Validation!$A:$D,3,0)</f>
        <v>Véhicules neufs</v>
      </c>
      <c r="AQ291" s="487" t="str">
        <f>+VLOOKUP($AJ291,Data_Validation!$A:$D,4,0)</f>
        <v>Amortissement</v>
      </c>
      <c r="AR291" s="487" t="s">
        <v>299</v>
      </c>
      <c r="AS291" s="487">
        <f>+VLOOKUP($AJ291,Data_Validation!$A:$E,5,0)</f>
        <v>0</v>
      </c>
      <c r="AT291" s="904" t="str">
        <f t="shared" si="27"/>
        <v>G0831</v>
      </c>
      <c r="AU291" s="488" t="str">
        <f t="shared" si="28"/>
        <v>AMORT. BATISSE-NEUFS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2026</v>
      </c>
      <c r="C292" s="706" t="s">
        <v>1681</v>
      </c>
      <c r="D292" s="706" t="s">
        <v>1682</v>
      </c>
      <c r="E292" s="706" t="s">
        <v>333</v>
      </c>
      <c r="F292" s="706" t="s">
        <v>1104</v>
      </c>
      <c r="G292" s="706">
        <v>19</v>
      </c>
      <c r="H292" s="706">
        <v>38</v>
      </c>
      <c r="I292" s="706">
        <v>57</v>
      </c>
      <c r="J292" s="706">
        <v>76</v>
      </c>
      <c r="K292" s="706">
        <v>95</v>
      </c>
      <c r="L292" s="706">
        <v>114</v>
      </c>
      <c r="M292" s="706">
        <v>133</v>
      </c>
      <c r="N292" s="706">
        <v>0</v>
      </c>
      <c r="O292" s="706">
        <v>0</v>
      </c>
      <c r="P292" s="706">
        <v>0</v>
      </c>
      <c r="Q292" s="706">
        <v>0</v>
      </c>
      <c r="R292" s="706">
        <v>0</v>
      </c>
      <c r="S292" s="706">
        <v>19</v>
      </c>
      <c r="T292" s="706">
        <v>19</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G0832</v>
      </c>
      <c r="AK292" s="905" t="str">
        <f t="shared" si="25"/>
        <v>AMORT. BATISSE-USAGES</v>
      </c>
      <c r="AL292" s="905">
        <f>IFERROR(INDEX(G292:R292,1,MATCH(Parametres!$B$3,G$1:R$1,0)-1)*IF(OR(F292="L",F292="S",F292="I"),-1,1),"")</f>
        <v>95</v>
      </c>
      <c r="AM292" s="905">
        <f t="shared" si="26"/>
        <v>19</v>
      </c>
      <c r="AN292" s="905">
        <f>INDEX(G292:R292,1,MATCH(Parametres!$B$3,G$1:R$1,0))*IF(OR(F292="L",F292="S",F292="I"),-1,1)</f>
        <v>114</v>
      </c>
      <c r="AO292" s="487" t="str">
        <f>+VLOOKUP($AJ292,Data_Validation!$A:$D,1,0)</f>
        <v>G0832</v>
      </c>
      <c r="AP292" s="487" t="str">
        <f>+VLOOKUP($AJ292,Data_Validation!$A:$D,3,0)</f>
        <v>Véhicules usagés</v>
      </c>
      <c r="AQ292" s="487" t="str">
        <f>+VLOOKUP($AJ292,Data_Validation!$A:$D,4,0)</f>
        <v>Amortissement</v>
      </c>
      <c r="AR292" s="487" t="s">
        <v>299</v>
      </c>
      <c r="AS292" s="487">
        <f>+VLOOKUP($AJ292,Data_Validation!$A:$E,5,0)</f>
        <v>0</v>
      </c>
      <c r="AT292" s="904" t="str">
        <f t="shared" si="27"/>
        <v>G0832</v>
      </c>
      <c r="AU292" s="488" t="str">
        <f t="shared" si="28"/>
        <v>AMORT. BATISSE-USAGES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customHeight="1">
      <c r="A293" s="706" t="s">
        <v>1148</v>
      </c>
      <c r="B293" s="706">
        <v>2026</v>
      </c>
      <c r="C293" s="706" t="s">
        <v>1683</v>
      </c>
      <c r="D293" s="706" t="s">
        <v>1684</v>
      </c>
      <c r="E293" s="706" t="s">
        <v>333</v>
      </c>
      <c r="F293" s="706" t="s">
        <v>1104</v>
      </c>
      <c r="G293" s="706">
        <v>28.5</v>
      </c>
      <c r="H293" s="706">
        <v>57</v>
      </c>
      <c r="I293" s="706">
        <v>85.5</v>
      </c>
      <c r="J293" s="706">
        <v>114</v>
      </c>
      <c r="K293" s="706">
        <v>142.5</v>
      </c>
      <c r="L293" s="706">
        <v>171</v>
      </c>
      <c r="M293" s="706">
        <v>199.5</v>
      </c>
      <c r="N293" s="706">
        <v>0</v>
      </c>
      <c r="O293" s="706">
        <v>0</v>
      </c>
      <c r="P293" s="706">
        <v>0</v>
      </c>
      <c r="Q293" s="706">
        <v>0</v>
      </c>
      <c r="R293" s="706">
        <v>0</v>
      </c>
      <c r="S293" s="706">
        <v>28.5</v>
      </c>
      <c r="T293" s="706">
        <v>28.5</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G0834</v>
      </c>
      <c r="AK293" s="905" t="str">
        <f t="shared" si="25"/>
        <v>AMORT. BATISSE-SERVICE</v>
      </c>
      <c r="AL293" s="905">
        <f>IFERROR(INDEX(G293:R293,1,MATCH(Parametres!$B$3,G$1:R$1,0)-1)*IF(OR(F293="L",F293="S",F293="I"),-1,1),"")</f>
        <v>142.5</v>
      </c>
      <c r="AM293" s="905">
        <f t="shared" si="26"/>
        <v>28.5</v>
      </c>
      <c r="AN293" s="905">
        <f>INDEX(G293:R293,1,MATCH(Parametres!$B$3,G$1:R$1,0))*IF(OR(F293="L",F293="S",F293="I"),-1,1)</f>
        <v>171</v>
      </c>
      <c r="AO293" s="487" t="str">
        <f>+VLOOKUP($AJ293,Data_Validation!$A:$D,1,0)</f>
        <v>G0834</v>
      </c>
      <c r="AP293" s="487" t="str">
        <f>+VLOOKUP($AJ293,Data_Validation!$A:$D,3,0)</f>
        <v>Service</v>
      </c>
      <c r="AQ293" s="487" t="str">
        <f>+VLOOKUP($AJ293,Data_Validation!$A:$D,4,0)</f>
        <v>Amortissement</v>
      </c>
      <c r="AR293" s="487" t="s">
        <v>299</v>
      </c>
      <c r="AS293" s="487">
        <f>+VLOOKUP($AJ293,Data_Validation!$A:$E,5,0)</f>
        <v>0</v>
      </c>
      <c r="AT293" s="904" t="str">
        <f t="shared" si="27"/>
        <v>G0834</v>
      </c>
      <c r="AU293" s="488" t="str">
        <f t="shared" si="28"/>
        <v>AMORT. BATISSE-SERVICE</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customHeight="1">
      <c r="A294" s="706" t="s">
        <v>1148</v>
      </c>
      <c r="B294" s="706">
        <v>2026</v>
      </c>
      <c r="C294" s="706" t="s">
        <v>1685</v>
      </c>
      <c r="D294" s="706" t="s">
        <v>1686</v>
      </c>
      <c r="E294" s="706" t="s">
        <v>333</v>
      </c>
      <c r="F294" s="706" t="s">
        <v>1104</v>
      </c>
      <c r="G294" s="706">
        <v>9.5</v>
      </c>
      <c r="H294" s="706">
        <v>19</v>
      </c>
      <c r="I294" s="706">
        <v>28.5</v>
      </c>
      <c r="J294" s="706">
        <v>38</v>
      </c>
      <c r="K294" s="706">
        <v>47.5</v>
      </c>
      <c r="L294" s="706">
        <v>57</v>
      </c>
      <c r="M294" s="706">
        <v>66.5</v>
      </c>
      <c r="N294" s="706">
        <v>0</v>
      </c>
      <c r="O294" s="706">
        <v>0</v>
      </c>
      <c r="P294" s="706">
        <v>0</v>
      </c>
      <c r="Q294" s="706">
        <v>0</v>
      </c>
      <c r="R294" s="706">
        <v>0</v>
      </c>
      <c r="S294" s="706">
        <v>9.5</v>
      </c>
      <c r="T294" s="706">
        <v>9.5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G0835</v>
      </c>
      <c r="AK294" s="905" t="str">
        <f t="shared" si="25"/>
        <v>AMORT. BATISSE-CARROSS.</v>
      </c>
      <c r="AL294" s="905">
        <f>IFERROR(INDEX(G294:R294,1,MATCH(Parametres!$B$3,G$1:R$1,0)-1)*IF(OR(F294="L",F294="S",F294="I"),-1,1),"")</f>
        <v>47.5</v>
      </c>
      <c r="AM294" s="905">
        <f t="shared" si="26"/>
        <v>9.5</v>
      </c>
      <c r="AN294" s="905">
        <f>INDEX(G294:R294,1,MATCH(Parametres!$B$3,G$1:R$1,0))*IF(OR(F294="L",F294="S",F294="I"),-1,1)</f>
        <v>57</v>
      </c>
      <c r="AO294" s="487" t="str">
        <f>+VLOOKUP($AJ294,Data_Validation!$A:$D,1,0)</f>
        <v>G0835</v>
      </c>
      <c r="AP294" s="487" t="str">
        <f>+VLOOKUP($AJ294,Data_Validation!$A:$D,3,0)</f>
        <v>Carrosserie</v>
      </c>
      <c r="AQ294" s="487" t="str">
        <f>+VLOOKUP($AJ294,Data_Validation!$A:$D,4,0)</f>
        <v>Amortissement</v>
      </c>
      <c r="AR294" s="487" t="s">
        <v>299</v>
      </c>
      <c r="AS294" s="487">
        <f>+VLOOKUP($AJ294,Data_Validation!$A:$E,5,0)</f>
        <v>0</v>
      </c>
      <c r="AT294" s="904" t="str">
        <f t="shared" si="27"/>
        <v>G0835</v>
      </c>
      <c r="AU294" s="488" t="str">
        <f t="shared" si="28"/>
        <v>AMORT. BATISSE-CARROSS.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1687</v>
      </c>
      <c r="D295" s="706" t="s">
        <v>1688</v>
      </c>
      <c r="E295" s="706" t="s">
        <v>333</v>
      </c>
      <c r="F295" s="706" t="s">
        <v>1104</v>
      </c>
      <c r="G295" s="706">
        <v>9.5</v>
      </c>
      <c r="H295" s="706">
        <v>19</v>
      </c>
      <c r="I295" s="706">
        <v>28.5</v>
      </c>
      <c r="J295" s="706">
        <v>38</v>
      </c>
      <c r="K295" s="706">
        <v>47.5</v>
      </c>
      <c r="L295" s="706">
        <v>57</v>
      </c>
      <c r="M295" s="706">
        <v>66.5</v>
      </c>
      <c r="N295" s="706">
        <v>0</v>
      </c>
      <c r="O295" s="706">
        <v>0</v>
      </c>
      <c r="P295" s="706">
        <v>0</v>
      </c>
      <c r="Q295" s="706">
        <v>0</v>
      </c>
      <c r="R295" s="706">
        <v>0</v>
      </c>
      <c r="S295" s="706">
        <v>9.5</v>
      </c>
      <c r="T295" s="706">
        <v>9.5</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G0836</v>
      </c>
      <c r="AK295" s="905" t="str">
        <f t="shared" si="25"/>
        <v>AMORT. BATISSE-PIECES</v>
      </c>
      <c r="AL295" s="905">
        <f>IFERROR(INDEX(G295:R295,1,MATCH(Parametres!$B$3,G$1:R$1,0)-1)*IF(OR(F295="L",F295="S",F295="I"),-1,1),"")</f>
        <v>47.5</v>
      </c>
      <c r="AM295" s="905">
        <f t="shared" si="26"/>
        <v>9.5</v>
      </c>
      <c r="AN295" s="905">
        <f>INDEX(G295:R295,1,MATCH(Parametres!$B$3,G$1:R$1,0))*IF(OR(F295="L",F295="S",F295="I"),-1,1)</f>
        <v>57</v>
      </c>
      <c r="AO295" s="487" t="str">
        <f>+VLOOKUP($AJ295,Data_Validation!$A:$D,1,0)</f>
        <v>G0836</v>
      </c>
      <c r="AP295" s="487" t="str">
        <f>+VLOOKUP($AJ295,Data_Validation!$A:$D,3,0)</f>
        <v>Pièces</v>
      </c>
      <c r="AQ295" s="487" t="str">
        <f>+VLOOKUP($AJ295,Data_Validation!$A:$D,4,0)</f>
        <v>Amortissement</v>
      </c>
      <c r="AR295" s="487" t="s">
        <v>299</v>
      </c>
      <c r="AS295" s="487">
        <f>+VLOOKUP($AJ295,Data_Validation!$A:$E,5,0)</f>
        <v>0</v>
      </c>
      <c r="AT295" s="904" t="str">
        <f t="shared" si="27"/>
        <v>G0836</v>
      </c>
      <c r="AU295" s="488" t="str">
        <f t="shared" si="28"/>
        <v>AMORT. BATISSE-PIECES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1689</v>
      </c>
      <c r="D296" s="706" t="s">
        <v>1690</v>
      </c>
      <c r="E296" s="706" t="s">
        <v>333</v>
      </c>
      <c r="F296" s="706" t="s">
        <v>1104</v>
      </c>
      <c r="G296" s="706">
        <v>0</v>
      </c>
      <c r="H296" s="706">
        <v>0</v>
      </c>
      <c r="I296" s="706">
        <v>0</v>
      </c>
      <c r="J296" s="706">
        <v>0</v>
      </c>
      <c r="K296" s="706">
        <v>0</v>
      </c>
      <c r="L296" s="706">
        <v>0</v>
      </c>
      <c r="M296" s="706">
        <v>0</v>
      </c>
      <c r="N296" s="706">
        <v>0</v>
      </c>
      <c r="O296" s="706">
        <v>0</v>
      </c>
      <c r="P296" s="706">
        <v>0</v>
      </c>
      <c r="Q296" s="706">
        <v>0</v>
      </c>
      <c r="R296" s="706">
        <v>0</v>
      </c>
      <c r="S296" s="706">
        <v>0</v>
      </c>
      <c r="T296" s="706">
        <v>0</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G0840</v>
      </c>
      <c r="AK296" s="905" t="str">
        <f t="shared" si="25"/>
        <v>IMPOTS FONCIERS REP.</v>
      </c>
      <c r="AL296" s="905">
        <f>IFERROR(INDEX(G296:R296,1,MATCH(Parametres!$B$3,G$1:R$1,0)-1)*IF(OR(F296="L",F296="S",F296="I"),-1,1),"")</f>
        <v>0</v>
      </c>
      <c r="AM296" s="905">
        <f t="shared" si="26"/>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t="str">
        <f t="shared" si="27"/>
        <v>G0840</v>
      </c>
      <c r="AU296" s="488" t="str">
        <f t="shared" si="28"/>
        <v>IMPOTS FONCIERS REP.</v>
      </c>
      <c r="AV296" s="899">
        <f>IFERROR(INDEX(V296:AG296,1,MATCH(Parametres!$B$3,V$1:AG$1,0)-1)*IF(OR(C296="L",C296="S",C296="I"),-1,1),"")</f>
        <v>0</v>
      </c>
      <c r="AW296" s="899">
        <f t="shared" si="29"/>
        <v>0</v>
      </c>
      <c r="AX296" s="899">
        <f>INDEX(V296:AG296,1,MATCH(Parametres!$B$3,V$1:AG$1,0))*IF(OR(C296="L",C296="S",C296="I"),-1,1)</f>
        <v>0</v>
      </c>
      <c r="AY296" s="487" t="s">
        <v>337</v>
      </c>
      <c r="AZ296" s="487" t="e">
        <f>+VLOOKUP($AJ296,Data_Validation!$A:$E,5,0)</f>
        <v>#N/A</v>
      </c>
    </row>
    <row r="297" spans="1:52" ht="15.75" customHeight="1">
      <c r="A297" s="706" t="s">
        <v>1148</v>
      </c>
      <c r="B297" s="706">
        <v>2026</v>
      </c>
      <c r="C297" s="706" t="s">
        <v>1691</v>
      </c>
      <c r="D297" s="706" t="s">
        <v>1692</v>
      </c>
      <c r="E297" s="706" t="s">
        <v>333</v>
      </c>
      <c r="F297" s="706" t="s">
        <v>1104</v>
      </c>
      <c r="G297" s="706">
        <v>3690</v>
      </c>
      <c r="H297" s="706">
        <v>7380</v>
      </c>
      <c r="I297" s="706">
        <v>9585</v>
      </c>
      <c r="J297" s="706">
        <v>11790</v>
      </c>
      <c r="K297" s="706">
        <v>13995</v>
      </c>
      <c r="L297" s="706">
        <v>16200</v>
      </c>
      <c r="M297" s="706">
        <v>18405</v>
      </c>
      <c r="N297" s="706">
        <v>0</v>
      </c>
      <c r="O297" s="706">
        <v>0</v>
      </c>
      <c r="P297" s="706">
        <v>0</v>
      </c>
      <c r="Q297" s="706">
        <v>0</v>
      </c>
      <c r="R297" s="706">
        <v>0</v>
      </c>
      <c r="S297" s="706">
        <v>2700</v>
      </c>
      <c r="T297" s="706">
        <v>2700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G0841</v>
      </c>
      <c r="AK297" s="905" t="str">
        <f t="shared" si="25"/>
        <v>IMPOT FONCIERS-NEUFS</v>
      </c>
      <c r="AL297" s="905">
        <f>IFERROR(INDEX(G297:R297,1,MATCH(Parametres!$B$3,G$1:R$1,0)-1)*IF(OR(F297="L",F297="S",F297="I"),-1,1),"")</f>
        <v>13995</v>
      </c>
      <c r="AM297" s="905">
        <f t="shared" si="26"/>
        <v>2205</v>
      </c>
      <c r="AN297" s="905">
        <f>INDEX(G297:R297,1,MATCH(Parametres!$B$3,G$1:R$1,0))*IF(OR(F297="L",F297="S",F297="I"),-1,1)</f>
        <v>16200</v>
      </c>
      <c r="AO297" s="487" t="str">
        <f>+VLOOKUP($AJ297,Data_Validation!$A:$D,1,0)</f>
        <v>G0841</v>
      </c>
      <c r="AP297" s="487" t="str">
        <f>+VLOOKUP($AJ297,Data_Validation!$A:$D,3,0)</f>
        <v>Véhicules neufs</v>
      </c>
      <c r="AQ297" s="487" t="str">
        <f>+VLOOKUP($AJ297,Data_Validation!$A:$D,4,0)</f>
        <v>Taxes foncières</v>
      </c>
      <c r="AR297" s="487" t="s">
        <v>299</v>
      </c>
      <c r="AS297" s="487">
        <f>+VLOOKUP($AJ297,Data_Validation!$A:$E,5,0)</f>
        <v>0</v>
      </c>
      <c r="AT297" s="904" t="str">
        <f t="shared" si="27"/>
        <v>G0841</v>
      </c>
      <c r="AU297" s="488" t="str">
        <f t="shared" si="28"/>
        <v>IMPOT FONCIERS-NEUFS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2026</v>
      </c>
      <c r="C298" s="706" t="s">
        <v>1693</v>
      </c>
      <c r="D298" s="706" t="s">
        <v>1694</v>
      </c>
      <c r="E298" s="706" t="s">
        <v>333</v>
      </c>
      <c r="F298" s="706" t="s">
        <v>1104</v>
      </c>
      <c r="G298" s="706">
        <v>2460</v>
      </c>
      <c r="H298" s="706">
        <v>4920</v>
      </c>
      <c r="I298" s="706">
        <v>6390</v>
      </c>
      <c r="J298" s="706">
        <v>7860</v>
      </c>
      <c r="K298" s="706">
        <v>9330</v>
      </c>
      <c r="L298" s="706">
        <v>10800</v>
      </c>
      <c r="M298" s="706">
        <v>12270</v>
      </c>
      <c r="N298" s="706">
        <v>0</v>
      </c>
      <c r="O298" s="706">
        <v>0</v>
      </c>
      <c r="P298" s="706">
        <v>0</v>
      </c>
      <c r="Q298" s="706">
        <v>0</v>
      </c>
      <c r="R298" s="706">
        <v>0</v>
      </c>
      <c r="S298" s="706">
        <v>1800</v>
      </c>
      <c r="T298" s="706">
        <v>1800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G0842</v>
      </c>
      <c r="AK298" s="905" t="str">
        <f t="shared" si="25"/>
        <v>IMPOT FONCIERS-USAGES</v>
      </c>
      <c r="AL298" s="905">
        <f>IFERROR(INDEX(G298:R298,1,MATCH(Parametres!$B$3,G$1:R$1,0)-1)*IF(OR(F298="L",F298="S",F298="I"),-1,1),"")</f>
        <v>9330</v>
      </c>
      <c r="AM298" s="905">
        <f t="shared" si="26"/>
        <v>1470</v>
      </c>
      <c r="AN298" s="905">
        <f>INDEX(G298:R298,1,MATCH(Parametres!$B$3,G$1:R$1,0))*IF(OR(F298="L",F298="S",F298="I"),-1,1)</f>
        <v>10800</v>
      </c>
      <c r="AO298" s="487" t="str">
        <f>+VLOOKUP($AJ298,Data_Validation!$A:$D,1,0)</f>
        <v>G0842</v>
      </c>
      <c r="AP298" s="487" t="str">
        <f>+VLOOKUP($AJ298,Data_Validation!$A:$D,3,0)</f>
        <v>Véhicules usagés</v>
      </c>
      <c r="AQ298" s="487" t="str">
        <f>+VLOOKUP($AJ298,Data_Validation!$A:$D,4,0)</f>
        <v>Taxes foncières</v>
      </c>
      <c r="AR298" s="487" t="s">
        <v>299</v>
      </c>
      <c r="AS298" s="487">
        <f>+VLOOKUP($AJ298,Data_Validation!$A:$E,5,0)</f>
        <v>0</v>
      </c>
      <c r="AT298" s="904" t="str">
        <f t="shared" si="27"/>
        <v>G0842</v>
      </c>
      <c r="AU298" s="488" t="str">
        <f t="shared" si="28"/>
        <v>IMPOT FONCIERS-USAGES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customHeight="1">
      <c r="A299" s="706" t="s">
        <v>1148</v>
      </c>
      <c r="B299" s="706">
        <v>2026</v>
      </c>
      <c r="C299" s="706" t="s">
        <v>1695</v>
      </c>
      <c r="D299" s="706" t="s">
        <v>1696</v>
      </c>
      <c r="E299" s="706" t="s">
        <v>333</v>
      </c>
      <c r="F299" s="706" t="s">
        <v>1104</v>
      </c>
      <c r="G299" s="706">
        <v>3690</v>
      </c>
      <c r="H299" s="706">
        <v>7380</v>
      </c>
      <c r="I299" s="706">
        <v>9585</v>
      </c>
      <c r="J299" s="706">
        <v>11790</v>
      </c>
      <c r="K299" s="706">
        <v>13995</v>
      </c>
      <c r="L299" s="706">
        <v>16200</v>
      </c>
      <c r="M299" s="706">
        <v>18405</v>
      </c>
      <c r="N299" s="706">
        <v>0</v>
      </c>
      <c r="O299" s="706">
        <v>0</v>
      </c>
      <c r="P299" s="706">
        <v>0</v>
      </c>
      <c r="Q299" s="706">
        <v>0</v>
      </c>
      <c r="R299" s="706">
        <v>0</v>
      </c>
      <c r="S299" s="706">
        <v>2700</v>
      </c>
      <c r="T299" s="706">
        <v>2700</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G0844</v>
      </c>
      <c r="AK299" s="905" t="str">
        <f t="shared" si="25"/>
        <v>IMPOT FONCIERS-SERVICE</v>
      </c>
      <c r="AL299" s="905">
        <f>IFERROR(INDEX(G299:R299,1,MATCH(Parametres!$B$3,G$1:R$1,0)-1)*IF(OR(F299="L",F299="S",F299="I"),-1,1),"")</f>
        <v>13995</v>
      </c>
      <c r="AM299" s="905">
        <f t="shared" si="26"/>
        <v>2205</v>
      </c>
      <c r="AN299" s="905">
        <f>INDEX(G299:R299,1,MATCH(Parametres!$B$3,G$1:R$1,0))*IF(OR(F299="L",F299="S",F299="I"),-1,1)</f>
        <v>16200</v>
      </c>
      <c r="AO299" s="487" t="str">
        <f>+VLOOKUP($AJ299,Data_Validation!$A:$D,1,0)</f>
        <v>G0844</v>
      </c>
      <c r="AP299" s="487" t="str">
        <f>+VLOOKUP($AJ299,Data_Validation!$A:$D,3,0)</f>
        <v>Service</v>
      </c>
      <c r="AQ299" s="487" t="str">
        <f>+VLOOKUP($AJ299,Data_Validation!$A:$D,4,0)</f>
        <v>Taxes foncières</v>
      </c>
      <c r="AR299" s="487" t="s">
        <v>299</v>
      </c>
      <c r="AS299" s="487">
        <f>+VLOOKUP($AJ299,Data_Validation!$A:$E,5,0)</f>
        <v>0</v>
      </c>
      <c r="AT299" s="904" t="str">
        <f t="shared" si="27"/>
        <v>G0844</v>
      </c>
      <c r="AU299" s="488" t="str">
        <f t="shared" si="28"/>
        <v>IMPOT FONCIERS-SERVICE</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customHeight="1">
      <c r="A300" s="706" t="s">
        <v>1148</v>
      </c>
      <c r="B300" s="706">
        <v>2026</v>
      </c>
      <c r="C300" s="706" t="s">
        <v>1697</v>
      </c>
      <c r="D300" s="706" t="s">
        <v>1698</v>
      </c>
      <c r="E300" s="706" t="s">
        <v>333</v>
      </c>
      <c r="F300" s="706" t="s">
        <v>1104</v>
      </c>
      <c r="G300" s="706">
        <v>1230</v>
      </c>
      <c r="H300" s="706">
        <v>2460</v>
      </c>
      <c r="I300" s="706">
        <v>3195</v>
      </c>
      <c r="J300" s="706">
        <v>3930</v>
      </c>
      <c r="K300" s="706">
        <v>4665</v>
      </c>
      <c r="L300" s="706">
        <v>5400</v>
      </c>
      <c r="M300" s="706">
        <v>6135</v>
      </c>
      <c r="N300" s="706">
        <v>0</v>
      </c>
      <c r="O300" s="706">
        <v>0</v>
      </c>
      <c r="P300" s="706">
        <v>0</v>
      </c>
      <c r="Q300" s="706">
        <v>0</v>
      </c>
      <c r="R300" s="706">
        <v>0</v>
      </c>
      <c r="S300" s="706">
        <v>900</v>
      </c>
      <c r="T300" s="706">
        <v>900</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G0845</v>
      </c>
      <c r="AK300" s="905" t="str">
        <f t="shared" si="25"/>
        <v>IMPOT FONCIERS-CARROSS.</v>
      </c>
      <c r="AL300" s="905">
        <f>IFERROR(INDEX(G300:R300,1,MATCH(Parametres!$B$3,G$1:R$1,0)-1)*IF(OR(F300="L",F300="S",F300="I"),-1,1),"")</f>
        <v>4665</v>
      </c>
      <c r="AM300" s="905">
        <f t="shared" si="26"/>
        <v>735</v>
      </c>
      <c r="AN300" s="905">
        <f>INDEX(G300:R300,1,MATCH(Parametres!$B$3,G$1:R$1,0))*IF(OR(F300="L",F300="S",F300="I"),-1,1)</f>
        <v>5400</v>
      </c>
      <c r="AO300" s="487" t="str">
        <f>+VLOOKUP($AJ300,Data_Validation!$A:$D,1,0)</f>
        <v>G0845</v>
      </c>
      <c r="AP300" s="487" t="str">
        <f>+VLOOKUP($AJ300,Data_Validation!$A:$D,3,0)</f>
        <v>Carrosserie</v>
      </c>
      <c r="AQ300" s="487" t="str">
        <f>+VLOOKUP($AJ300,Data_Validation!$A:$D,4,0)</f>
        <v>Taxes foncières</v>
      </c>
      <c r="AR300" s="487" t="s">
        <v>299</v>
      </c>
      <c r="AS300" s="487">
        <f>+VLOOKUP($AJ300,Data_Validation!$A:$E,5,0)</f>
        <v>0</v>
      </c>
      <c r="AT300" s="904" t="str">
        <f t="shared" si="27"/>
        <v>G0845</v>
      </c>
      <c r="AU300" s="488" t="str">
        <f t="shared" si="28"/>
        <v>IMPOT FONCIERS-CARROSS.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1699</v>
      </c>
      <c r="D301" s="706" t="s">
        <v>1700</v>
      </c>
      <c r="E301" s="706" t="s">
        <v>333</v>
      </c>
      <c r="F301" s="706" t="s">
        <v>1104</v>
      </c>
      <c r="G301" s="706">
        <v>1230</v>
      </c>
      <c r="H301" s="706">
        <v>2460</v>
      </c>
      <c r="I301" s="706">
        <v>3195</v>
      </c>
      <c r="J301" s="706">
        <v>3930</v>
      </c>
      <c r="K301" s="706">
        <v>4665</v>
      </c>
      <c r="L301" s="706">
        <v>5400</v>
      </c>
      <c r="M301" s="706">
        <v>6135</v>
      </c>
      <c r="N301" s="706">
        <v>0</v>
      </c>
      <c r="O301" s="706">
        <v>0</v>
      </c>
      <c r="P301" s="706">
        <v>0</v>
      </c>
      <c r="Q301" s="706">
        <v>0</v>
      </c>
      <c r="R301" s="706">
        <v>0</v>
      </c>
      <c r="S301" s="706">
        <v>900</v>
      </c>
      <c r="T301" s="706">
        <v>900</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G0846</v>
      </c>
      <c r="AK301" s="905" t="str">
        <f t="shared" si="25"/>
        <v>IMPOT FONCIERS-PIECES</v>
      </c>
      <c r="AL301" s="905">
        <f>IFERROR(INDEX(G301:R301,1,MATCH(Parametres!$B$3,G$1:R$1,0)-1)*IF(OR(F301="L",F301="S",F301="I"),-1,1),"")</f>
        <v>4665</v>
      </c>
      <c r="AM301" s="905">
        <f t="shared" si="26"/>
        <v>735</v>
      </c>
      <c r="AN301" s="905">
        <f>INDEX(G301:R301,1,MATCH(Parametres!$B$3,G$1:R$1,0))*IF(OR(F301="L",F301="S",F301="I"),-1,1)</f>
        <v>5400</v>
      </c>
      <c r="AO301" s="487" t="str">
        <f>+VLOOKUP($AJ301,Data_Validation!$A:$D,1,0)</f>
        <v>G0846</v>
      </c>
      <c r="AP301" s="487" t="str">
        <f>+VLOOKUP($AJ301,Data_Validation!$A:$D,3,0)</f>
        <v>Pièces</v>
      </c>
      <c r="AQ301" s="487" t="str">
        <f>+VLOOKUP($AJ301,Data_Validation!$A:$D,4,0)</f>
        <v>Taxes foncières</v>
      </c>
      <c r="AR301" s="487" t="s">
        <v>299</v>
      </c>
      <c r="AS301" s="487">
        <f>+VLOOKUP($AJ301,Data_Validation!$A:$E,5,0)</f>
        <v>0</v>
      </c>
      <c r="AT301" s="904" t="str">
        <f t="shared" si="27"/>
        <v>G0846</v>
      </c>
      <c r="AU301" s="488" t="str">
        <f t="shared" si="28"/>
        <v>IMPOT FONCIERS-PIECES</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1701</v>
      </c>
      <c r="D302" s="706" t="s">
        <v>1702</v>
      </c>
      <c r="E302" s="706" t="s">
        <v>333</v>
      </c>
      <c r="F302" s="706" t="s">
        <v>1104</v>
      </c>
      <c r="G302" s="706">
        <v>0</v>
      </c>
      <c r="H302" s="706">
        <v>0</v>
      </c>
      <c r="I302" s="706">
        <v>0</v>
      </c>
      <c r="J302" s="706">
        <v>0</v>
      </c>
      <c r="K302" s="706">
        <v>0</v>
      </c>
      <c r="L302" s="706">
        <v>0</v>
      </c>
      <c r="M302" s="706">
        <v>0</v>
      </c>
      <c r="N302" s="706">
        <v>0</v>
      </c>
      <c r="O302" s="706">
        <v>0</v>
      </c>
      <c r="P302" s="706">
        <v>0</v>
      </c>
      <c r="Q302" s="706">
        <v>0</v>
      </c>
      <c r="R302" s="706">
        <v>0</v>
      </c>
      <c r="S302" s="706">
        <v>0</v>
      </c>
      <c r="T302" s="706">
        <v>0</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G0850</v>
      </c>
      <c r="AK302" s="905" t="str">
        <f t="shared" si="25"/>
        <v>ASSURANCE BATIMENT REP</v>
      </c>
      <c r="AL302" s="905">
        <f>IFERROR(INDEX(G302:R302,1,MATCH(Parametres!$B$3,G$1:R$1,0)-1)*IF(OR(F302="L",F302="S",F302="I"),-1,1),"")</f>
        <v>0</v>
      </c>
      <c r="AM302" s="905">
        <f t="shared" si="26"/>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t="str">
        <f t="shared" si="27"/>
        <v>G0850</v>
      </c>
      <c r="AU302" s="488" t="str">
        <f t="shared" si="28"/>
        <v>ASSURANCE BATIMENT REP</v>
      </c>
      <c r="AV302" s="899">
        <f>IFERROR(INDEX(V302:AG302,1,MATCH(Parametres!$B$3,V$1:AG$1,0)-1)*IF(OR(C302="L",C302="S",C302="I"),-1,1),"")</f>
        <v>0</v>
      </c>
      <c r="AW302" s="899">
        <f t="shared" si="29"/>
        <v>0</v>
      </c>
      <c r="AX302" s="899">
        <f>INDEX(V302:AG302,1,MATCH(Parametres!$B$3,V$1:AG$1,0))*IF(OR(C302="L",C302="S",C302="I"),-1,1)</f>
        <v>0</v>
      </c>
      <c r="AY302" s="487" t="s">
        <v>337</v>
      </c>
      <c r="AZ302" s="487" t="e">
        <f>+VLOOKUP($AJ302,Data_Validation!$A:$E,5,0)</f>
        <v>#N/A</v>
      </c>
    </row>
    <row r="303" spans="1:52" ht="15" customHeight="1">
      <c r="A303" s="706" t="s">
        <v>1148</v>
      </c>
      <c r="B303" s="706">
        <v>2026</v>
      </c>
      <c r="C303" s="706" t="s">
        <v>1703</v>
      </c>
      <c r="D303" s="706" t="s">
        <v>1704</v>
      </c>
      <c r="E303" s="706" t="s">
        <v>333</v>
      </c>
      <c r="F303" s="706" t="s">
        <v>1104</v>
      </c>
      <c r="G303" s="706">
        <v>2016.34</v>
      </c>
      <c r="H303" s="706">
        <v>4032.68</v>
      </c>
      <c r="I303" s="706">
        <v>6049.02</v>
      </c>
      <c r="J303" s="706">
        <v>8065.36</v>
      </c>
      <c r="K303" s="706">
        <v>10081.700000000001</v>
      </c>
      <c r="L303" s="706">
        <v>12098.04</v>
      </c>
      <c r="M303" s="706">
        <v>14114.38</v>
      </c>
      <c r="N303" s="706">
        <v>0</v>
      </c>
      <c r="O303" s="706">
        <v>0</v>
      </c>
      <c r="P303" s="706">
        <v>0</v>
      </c>
      <c r="Q303" s="706">
        <v>0</v>
      </c>
      <c r="R303" s="706">
        <v>0</v>
      </c>
      <c r="S303" s="706">
        <v>2016.34</v>
      </c>
      <c r="T303" s="706">
        <v>2016.34</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G0851</v>
      </c>
      <c r="AK303" s="905" t="str">
        <f t="shared" si="25"/>
        <v>ASSURANCE BATISSE-NEUFS</v>
      </c>
      <c r="AL303" s="905">
        <f>IFERROR(INDEX(G303:R303,1,MATCH(Parametres!$B$3,G$1:R$1,0)-1)*IF(OR(F303="L",F303="S",F303="I"),-1,1),"")</f>
        <v>10081.700000000001</v>
      </c>
      <c r="AM303" s="905">
        <f t="shared" si="26"/>
        <v>2016.3400000000001</v>
      </c>
      <c r="AN303" s="905">
        <f>INDEX(G303:R303,1,MATCH(Parametres!$B$3,G$1:R$1,0))*IF(OR(F303="L",F303="S",F303="I"),-1,1)</f>
        <v>12098.04</v>
      </c>
      <c r="AO303" s="487" t="str">
        <f>+VLOOKUP($AJ303,Data_Validation!$A:$D,1,0)</f>
        <v>G0851</v>
      </c>
      <c r="AP303" s="487" t="str">
        <f>+VLOOKUP($AJ303,Data_Validation!$A:$D,3,0)</f>
        <v>Véhicules neufs</v>
      </c>
      <c r="AQ303" s="487" t="str">
        <f>+VLOOKUP($AJ303,Data_Validation!$A:$D,4,0)</f>
        <v>Assurances</v>
      </c>
      <c r="AR303" s="487" t="s">
        <v>299</v>
      </c>
      <c r="AS303" s="487">
        <f>+VLOOKUP($AJ303,Data_Validation!$A:$E,5,0)</f>
        <v>0</v>
      </c>
      <c r="AT303" s="904" t="str">
        <f t="shared" si="27"/>
        <v>G0851</v>
      </c>
      <c r="AU303" s="488" t="str">
        <f t="shared" si="28"/>
        <v>ASSURANCE BATISSE-NEUFS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2026</v>
      </c>
      <c r="C304" s="706" t="s">
        <v>1705</v>
      </c>
      <c r="D304" s="706" t="s">
        <v>1706</v>
      </c>
      <c r="E304" s="706" t="s">
        <v>333</v>
      </c>
      <c r="F304" s="706" t="s">
        <v>1104</v>
      </c>
      <c r="G304" s="706">
        <v>1344.22</v>
      </c>
      <c r="H304" s="706">
        <v>2688.44</v>
      </c>
      <c r="I304" s="706">
        <v>4032.66</v>
      </c>
      <c r="J304" s="706">
        <v>5411.78</v>
      </c>
      <c r="K304" s="706">
        <v>6756</v>
      </c>
      <c r="L304" s="706">
        <v>8100.22</v>
      </c>
      <c r="M304" s="706">
        <v>9444.44</v>
      </c>
      <c r="N304" s="706">
        <v>0</v>
      </c>
      <c r="O304" s="706">
        <v>0</v>
      </c>
      <c r="P304" s="706">
        <v>0</v>
      </c>
      <c r="Q304" s="706">
        <v>0</v>
      </c>
      <c r="R304" s="706">
        <v>0</v>
      </c>
      <c r="S304" s="706">
        <v>1350.04</v>
      </c>
      <c r="T304" s="706">
        <v>1350.04</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G0852</v>
      </c>
      <c r="AK304" s="905" t="str">
        <f t="shared" si="25"/>
        <v>ASSURANCE BATISSE-USAGES</v>
      </c>
      <c r="AL304" s="905">
        <f>IFERROR(INDEX(G304:R304,1,MATCH(Parametres!$B$3,G$1:R$1,0)-1)*IF(OR(F304="L",F304="S",F304="I"),-1,1),"")</f>
        <v>6756</v>
      </c>
      <c r="AM304" s="905">
        <f t="shared" si="26"/>
        <v>1344.2200000000003</v>
      </c>
      <c r="AN304" s="905">
        <f>INDEX(G304:R304,1,MATCH(Parametres!$B$3,G$1:R$1,0))*IF(OR(F304="L",F304="S",F304="I"),-1,1)</f>
        <v>8100.22</v>
      </c>
      <c r="AO304" s="487" t="str">
        <f>+VLOOKUP($AJ304,Data_Validation!$A:$D,1,0)</f>
        <v>G0852</v>
      </c>
      <c r="AP304" s="487" t="str">
        <f>+VLOOKUP($AJ304,Data_Validation!$A:$D,3,0)</f>
        <v>Véhicules usagés</v>
      </c>
      <c r="AQ304" s="487" t="str">
        <f>+VLOOKUP($AJ304,Data_Validation!$A:$D,4,0)</f>
        <v>Assurances</v>
      </c>
      <c r="AR304" s="487" t="s">
        <v>299</v>
      </c>
      <c r="AS304" s="487">
        <f>+VLOOKUP($AJ304,Data_Validation!$A:$E,5,0)</f>
        <v>0</v>
      </c>
      <c r="AT304" s="904" t="str">
        <f t="shared" si="27"/>
        <v>G0852</v>
      </c>
      <c r="AU304" s="488" t="str">
        <f t="shared" si="28"/>
        <v>ASSURANCE BATISSE-USAGES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customHeight="1">
      <c r="A305" s="706" t="s">
        <v>1148</v>
      </c>
      <c r="B305" s="706">
        <v>2026</v>
      </c>
      <c r="C305" s="706" t="s">
        <v>1707</v>
      </c>
      <c r="D305" s="706" t="s">
        <v>1708</v>
      </c>
      <c r="E305" s="706" t="s">
        <v>333</v>
      </c>
      <c r="F305" s="706" t="s">
        <v>1104</v>
      </c>
      <c r="G305" s="706">
        <v>2016.34</v>
      </c>
      <c r="H305" s="706">
        <v>4032.68</v>
      </c>
      <c r="I305" s="706">
        <v>6049.02</v>
      </c>
      <c r="J305" s="706">
        <v>8065.36</v>
      </c>
      <c r="K305" s="706">
        <v>10081.700000000001</v>
      </c>
      <c r="L305" s="706">
        <v>12098.04</v>
      </c>
      <c r="M305" s="706">
        <v>14114.38</v>
      </c>
      <c r="N305" s="706">
        <v>0</v>
      </c>
      <c r="O305" s="706">
        <v>0</v>
      </c>
      <c r="P305" s="706">
        <v>0</v>
      </c>
      <c r="Q305" s="706">
        <v>0</v>
      </c>
      <c r="R305" s="706">
        <v>0</v>
      </c>
      <c r="S305" s="706">
        <v>2016.34</v>
      </c>
      <c r="T305" s="706">
        <v>2016.34</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G0854</v>
      </c>
      <c r="AK305" s="905" t="str">
        <f t="shared" si="25"/>
        <v>ASSURANCE BATISSE-SERVICE</v>
      </c>
      <c r="AL305" s="905">
        <f>IFERROR(INDEX(G305:R305,1,MATCH(Parametres!$B$3,G$1:R$1,0)-1)*IF(OR(F305="L",F305="S",F305="I"),-1,1),"")</f>
        <v>10081.700000000001</v>
      </c>
      <c r="AM305" s="905">
        <f t="shared" si="26"/>
        <v>2016.3400000000001</v>
      </c>
      <c r="AN305" s="905">
        <f>INDEX(G305:R305,1,MATCH(Parametres!$B$3,G$1:R$1,0))*IF(OR(F305="L",F305="S",F305="I"),-1,1)</f>
        <v>12098.04</v>
      </c>
      <c r="AO305" s="487" t="str">
        <f>+VLOOKUP($AJ305,Data_Validation!$A:$D,1,0)</f>
        <v>G0854</v>
      </c>
      <c r="AP305" s="487" t="str">
        <f>+VLOOKUP($AJ305,Data_Validation!$A:$D,3,0)</f>
        <v>Service</v>
      </c>
      <c r="AQ305" s="487" t="str">
        <f>+VLOOKUP($AJ305,Data_Validation!$A:$D,4,0)</f>
        <v>Assurances</v>
      </c>
      <c r="AR305" s="487" t="s">
        <v>299</v>
      </c>
      <c r="AS305" s="487">
        <f>+VLOOKUP($AJ305,Data_Validation!$A:$E,5,0)</f>
        <v>0</v>
      </c>
      <c r="AT305" s="904" t="str">
        <f t="shared" si="27"/>
        <v>G0854</v>
      </c>
      <c r="AU305" s="488" t="str">
        <f t="shared" si="28"/>
        <v>ASSURANCE BATISSE-SERVICE</v>
      </c>
      <c r="AV305" s="899">
        <f>IFERROR(INDEX(V305:AG305,1,MATCH(Parametres!$B$3,V$1:AG$1,0)-1)*IF(OR(C305="L",C305="S",C305="I"),-1,1),"")</f>
        <v>0</v>
      </c>
      <c r="AW305" s="899">
        <f t="shared" si="29"/>
        <v>0</v>
      </c>
      <c r="AX305" s="899">
        <f>INDEX(V305:AG305,1,MATCH(Parametres!$B$3,V$1:AG$1,0))*IF(OR(C305="L",C305="S",C305="I"),-1,1)</f>
        <v>0</v>
      </c>
      <c r="AY305" s="487" t="s">
        <v>337</v>
      </c>
      <c r="AZ305" s="487">
        <f>+VLOOKUP($AJ305,Data_Validation!$A:$E,5,0)</f>
        <v>0</v>
      </c>
    </row>
    <row r="306" spans="1:52" ht="15" customHeight="1">
      <c r="A306" s="706" t="s">
        <v>1148</v>
      </c>
      <c r="B306" s="706">
        <v>2026</v>
      </c>
      <c r="C306" s="706" t="s">
        <v>1709</v>
      </c>
      <c r="D306" s="706" t="s">
        <v>1710</v>
      </c>
      <c r="E306" s="706" t="s">
        <v>333</v>
      </c>
      <c r="F306" s="706" t="s">
        <v>1104</v>
      </c>
      <c r="G306" s="706">
        <v>672.11</v>
      </c>
      <c r="H306" s="706">
        <v>1344.22</v>
      </c>
      <c r="I306" s="706">
        <v>2016.33</v>
      </c>
      <c r="J306" s="706">
        <v>2688.44</v>
      </c>
      <c r="K306" s="706">
        <v>3360.55</v>
      </c>
      <c r="L306" s="706">
        <v>4032.66</v>
      </c>
      <c r="M306" s="706">
        <v>4704.7700000000004</v>
      </c>
      <c r="N306" s="706">
        <v>0</v>
      </c>
      <c r="O306" s="706">
        <v>0</v>
      </c>
      <c r="P306" s="706">
        <v>0</v>
      </c>
      <c r="Q306" s="706">
        <v>0</v>
      </c>
      <c r="R306" s="706">
        <v>0</v>
      </c>
      <c r="S306" s="706">
        <v>672.11</v>
      </c>
      <c r="T306" s="706">
        <v>672.11</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G0855</v>
      </c>
      <c r="AK306" s="905" t="str">
        <f t="shared" si="25"/>
        <v>ASSURANCE BATISSE-CARROS</v>
      </c>
      <c r="AL306" s="905">
        <f>IFERROR(INDEX(G306:R306,1,MATCH(Parametres!$B$3,G$1:R$1,0)-1)*IF(OR(F306="L",F306="S",F306="I"),-1,1),"")</f>
        <v>3360.55</v>
      </c>
      <c r="AM306" s="905">
        <f t="shared" si="26"/>
        <v>672.10999999999967</v>
      </c>
      <c r="AN306" s="905">
        <f>INDEX(G306:R306,1,MATCH(Parametres!$B$3,G$1:R$1,0))*IF(OR(F306="L",F306="S",F306="I"),-1,1)</f>
        <v>4032.66</v>
      </c>
      <c r="AO306" s="487" t="str">
        <f>+VLOOKUP($AJ306,Data_Validation!$A:$D,1,0)</f>
        <v>G0855</v>
      </c>
      <c r="AP306" s="487" t="str">
        <f>+VLOOKUP($AJ306,Data_Validation!$A:$D,3,0)</f>
        <v>Carrosserie</v>
      </c>
      <c r="AQ306" s="487" t="str">
        <f>+VLOOKUP($AJ306,Data_Validation!$A:$D,4,0)</f>
        <v>Assurances</v>
      </c>
      <c r="AR306" s="487" t="s">
        <v>299</v>
      </c>
      <c r="AS306" s="487">
        <f>+VLOOKUP($AJ306,Data_Validation!$A:$E,5,0)</f>
        <v>0</v>
      </c>
      <c r="AT306" s="904" t="str">
        <f t="shared" si="27"/>
        <v>G0855</v>
      </c>
      <c r="AU306" s="488" t="str">
        <f t="shared" si="28"/>
        <v>ASSURANCE BATISSE-CARROS</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1711</v>
      </c>
      <c r="D307" s="706" t="s">
        <v>1712</v>
      </c>
      <c r="E307" s="706" t="s">
        <v>333</v>
      </c>
      <c r="F307" s="706" t="s">
        <v>1104</v>
      </c>
      <c r="G307" s="706">
        <v>672.11</v>
      </c>
      <c r="H307" s="706">
        <v>1344.22</v>
      </c>
      <c r="I307" s="706">
        <v>2016.33</v>
      </c>
      <c r="J307" s="706">
        <v>2688.44</v>
      </c>
      <c r="K307" s="706">
        <v>3360.55</v>
      </c>
      <c r="L307" s="706">
        <v>4032.66</v>
      </c>
      <c r="M307" s="706">
        <v>4704.7700000000004</v>
      </c>
      <c r="N307" s="706">
        <v>0</v>
      </c>
      <c r="O307" s="706">
        <v>0</v>
      </c>
      <c r="P307" s="706">
        <v>0</v>
      </c>
      <c r="Q307" s="706">
        <v>0</v>
      </c>
      <c r="R307" s="706">
        <v>0</v>
      </c>
      <c r="S307" s="706">
        <v>672.11</v>
      </c>
      <c r="T307" s="706">
        <v>672.11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G0856</v>
      </c>
      <c r="AK307" s="905" t="str">
        <f t="shared" si="25"/>
        <v>ASSURANCE BATISSE-PIECES</v>
      </c>
      <c r="AL307" s="905">
        <f>IFERROR(INDEX(G307:R307,1,MATCH(Parametres!$B$3,G$1:R$1,0)-1)*IF(OR(F307="L",F307="S",F307="I"),-1,1),"")</f>
        <v>3360.55</v>
      </c>
      <c r="AM307" s="905">
        <f t="shared" si="26"/>
        <v>672.10999999999967</v>
      </c>
      <c r="AN307" s="905">
        <f>INDEX(G307:R307,1,MATCH(Parametres!$B$3,G$1:R$1,0))*IF(OR(F307="L",F307="S",F307="I"),-1,1)</f>
        <v>4032.66</v>
      </c>
      <c r="AO307" s="487" t="str">
        <f>+VLOOKUP($AJ307,Data_Validation!$A:$D,1,0)</f>
        <v>G0856</v>
      </c>
      <c r="AP307" s="487" t="str">
        <f>+VLOOKUP($AJ307,Data_Validation!$A:$D,3,0)</f>
        <v>Pièces</v>
      </c>
      <c r="AQ307" s="487" t="str">
        <f>+VLOOKUP($AJ307,Data_Validation!$A:$D,4,0)</f>
        <v>Assurances</v>
      </c>
      <c r="AR307" s="487" t="s">
        <v>299</v>
      </c>
      <c r="AS307" s="487">
        <f>+VLOOKUP($AJ307,Data_Validation!$A:$E,5,0)</f>
        <v>0</v>
      </c>
      <c r="AT307" s="904" t="str">
        <f t="shared" si="27"/>
        <v>G0856</v>
      </c>
      <c r="AU307" s="488" t="str">
        <f t="shared" si="28"/>
        <v>ASSURANCE BATISSE-PIECES</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1713</v>
      </c>
      <c r="D308" s="706" t="s">
        <v>1714</v>
      </c>
      <c r="E308" s="706" t="s">
        <v>333</v>
      </c>
      <c r="F308" s="706" t="s">
        <v>1104</v>
      </c>
      <c r="G308" s="706">
        <v>0</v>
      </c>
      <c r="H308" s="706">
        <v>0</v>
      </c>
      <c r="I308" s="706">
        <v>0</v>
      </c>
      <c r="J308" s="706">
        <v>0</v>
      </c>
      <c r="K308" s="706">
        <v>0</v>
      </c>
      <c r="L308" s="706">
        <v>0</v>
      </c>
      <c r="M308" s="706">
        <v>0</v>
      </c>
      <c r="N308" s="706">
        <v>0</v>
      </c>
      <c r="O308" s="706">
        <v>0</v>
      </c>
      <c r="P308" s="706">
        <v>0</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G0870</v>
      </c>
      <c r="AK308" s="905" t="str">
        <f t="shared" si="25"/>
        <v>ELECTRICITE/GAZ REP</v>
      </c>
      <c r="AL308" s="905">
        <f>IFERROR(INDEX(G308:R308,1,MATCH(Parametres!$B$3,G$1:R$1,0)-1)*IF(OR(F308="L",F308="S",F308="I"),-1,1),"")</f>
        <v>0</v>
      </c>
      <c r="AM308" s="905">
        <f t="shared" si="26"/>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t="str">
        <f t="shared" si="27"/>
        <v>G0870</v>
      </c>
      <c r="AU308" s="488" t="str">
        <f t="shared" si="28"/>
        <v>ELECTRICITE/GAZ REP</v>
      </c>
      <c r="AV308" s="899">
        <f>IFERROR(INDEX(V308:AG308,1,MATCH(Parametres!$B$3,V$1:AG$1,0)-1)*IF(OR(C308="L",C308="S",C308="I"),-1,1),"")</f>
        <v>0</v>
      </c>
      <c r="AW308" s="899">
        <f t="shared" si="29"/>
        <v>0</v>
      </c>
      <c r="AX308" s="899">
        <f>INDEX(V308:AG308,1,MATCH(Parametres!$B$3,V$1:AG$1,0))*IF(OR(C308="L",C308="S",C308="I"),-1,1)</f>
        <v>0</v>
      </c>
      <c r="AY308" s="487" t="s">
        <v>337</v>
      </c>
      <c r="AZ308" s="487" t="e">
        <f>+VLOOKUP($AJ308,Data_Validation!$A:$E,5,0)</f>
        <v>#N/A</v>
      </c>
    </row>
    <row r="309" spans="1:52" ht="15.75" customHeight="1">
      <c r="A309" s="706" t="s">
        <v>1148</v>
      </c>
      <c r="B309" s="706">
        <v>2026</v>
      </c>
      <c r="C309" s="706" t="s">
        <v>1715</v>
      </c>
      <c r="D309" s="706" t="s">
        <v>1716</v>
      </c>
      <c r="E309" s="706" t="s">
        <v>333</v>
      </c>
      <c r="F309" s="706" t="s">
        <v>1104</v>
      </c>
      <c r="G309" s="706">
        <v>3330</v>
      </c>
      <c r="H309" s="706">
        <v>6660</v>
      </c>
      <c r="I309" s="706">
        <v>9990</v>
      </c>
      <c r="J309" s="706">
        <v>13320</v>
      </c>
      <c r="K309" s="706">
        <v>16650</v>
      </c>
      <c r="L309" s="706">
        <v>19980</v>
      </c>
      <c r="M309" s="706">
        <v>23310</v>
      </c>
      <c r="N309" s="706">
        <v>0</v>
      </c>
      <c r="O309" s="706">
        <v>0</v>
      </c>
      <c r="P309" s="706">
        <v>0</v>
      </c>
      <c r="Q309" s="706">
        <v>0</v>
      </c>
      <c r="R309" s="706">
        <v>0</v>
      </c>
      <c r="S309" s="706">
        <v>3330</v>
      </c>
      <c r="T309" s="706">
        <v>3330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G0871</v>
      </c>
      <c r="AK309" s="905" t="str">
        <f t="shared" si="25"/>
        <v>ELECTRICITE,GAZ-NEUFS</v>
      </c>
      <c r="AL309" s="905">
        <f>IFERROR(INDEX(G309:R309,1,MATCH(Parametres!$B$3,G$1:R$1,0)-1)*IF(OR(F309="L",F309="S",F309="I"),-1,1),"")</f>
        <v>16650</v>
      </c>
      <c r="AM309" s="905">
        <f t="shared" si="26"/>
        <v>3330</v>
      </c>
      <c r="AN309" s="905">
        <f>INDEX(G309:R309,1,MATCH(Parametres!$B$3,G$1:R$1,0))*IF(OR(F309="L",F309="S",F309="I"),-1,1)</f>
        <v>19980</v>
      </c>
      <c r="AO309" s="487" t="str">
        <f>+VLOOKUP($AJ309,Data_Validation!$A:$D,1,0)</f>
        <v>G0871</v>
      </c>
      <c r="AP309" s="487" t="str">
        <f>+VLOOKUP($AJ309,Data_Validation!$A:$D,3,0)</f>
        <v>Véhicules neufs</v>
      </c>
      <c r="AQ309" s="487" t="str">
        <f>+VLOOKUP($AJ309,Data_Validation!$A:$D,4,0)</f>
        <v>Chauffage, éclairage</v>
      </c>
      <c r="AR309" s="487" t="s">
        <v>299</v>
      </c>
      <c r="AS309" s="487">
        <f>+VLOOKUP($AJ309,Data_Validation!$A:$E,5,0)</f>
        <v>0</v>
      </c>
      <c r="AT309" s="904" t="str">
        <f t="shared" si="27"/>
        <v>G0871</v>
      </c>
      <c r="AU309" s="488" t="str">
        <f t="shared" si="28"/>
        <v>ELECTRICITE,GAZ-NEUFS</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customHeight="1">
      <c r="A310" s="706" t="s">
        <v>1148</v>
      </c>
      <c r="B310" s="706">
        <v>2026</v>
      </c>
      <c r="C310" s="706" t="s">
        <v>1717</v>
      </c>
      <c r="D310" s="706" t="s">
        <v>1718</v>
      </c>
      <c r="E310" s="706" t="s">
        <v>333</v>
      </c>
      <c r="F310" s="706" t="s">
        <v>1104</v>
      </c>
      <c r="G310" s="706">
        <v>2220</v>
      </c>
      <c r="H310" s="706">
        <v>4440</v>
      </c>
      <c r="I310" s="706">
        <v>6660</v>
      </c>
      <c r="J310" s="706">
        <v>8880</v>
      </c>
      <c r="K310" s="706">
        <v>11100</v>
      </c>
      <c r="L310" s="706">
        <v>13320</v>
      </c>
      <c r="M310" s="706">
        <v>15540</v>
      </c>
      <c r="N310" s="706">
        <v>0</v>
      </c>
      <c r="O310" s="706">
        <v>0</v>
      </c>
      <c r="P310" s="706">
        <v>0</v>
      </c>
      <c r="Q310" s="706">
        <v>0</v>
      </c>
      <c r="R310" s="706">
        <v>0</v>
      </c>
      <c r="S310" s="706">
        <v>2220</v>
      </c>
      <c r="T310" s="706">
        <v>2220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G0872</v>
      </c>
      <c r="AK310" s="905" t="str">
        <f t="shared" si="25"/>
        <v>ELECTRICITE,GAZ-USAGES</v>
      </c>
      <c r="AL310" s="905">
        <f>IFERROR(INDEX(G310:R310,1,MATCH(Parametres!$B$3,G$1:R$1,0)-1)*IF(OR(F310="L",F310="S",F310="I"),-1,1),"")</f>
        <v>11100</v>
      </c>
      <c r="AM310" s="905">
        <f t="shared" si="26"/>
        <v>2220</v>
      </c>
      <c r="AN310" s="905">
        <f>INDEX(G310:R310,1,MATCH(Parametres!$B$3,G$1:R$1,0))*IF(OR(F310="L",F310="S",F310="I"),-1,1)</f>
        <v>13320</v>
      </c>
      <c r="AO310" s="487" t="str">
        <f>+VLOOKUP($AJ310,Data_Validation!$A:$D,1,0)</f>
        <v>G0872</v>
      </c>
      <c r="AP310" s="487" t="str">
        <f>+VLOOKUP($AJ310,Data_Validation!$A:$D,3,0)</f>
        <v>Véhicules usagés</v>
      </c>
      <c r="AQ310" s="487" t="str">
        <f>+VLOOKUP($AJ310,Data_Validation!$A:$D,4,0)</f>
        <v>Chauffage, éclairage</v>
      </c>
      <c r="AR310" s="487" t="s">
        <v>299</v>
      </c>
      <c r="AS310" s="487">
        <f>+VLOOKUP($AJ310,Data_Validation!$A:$E,5,0)</f>
        <v>0</v>
      </c>
      <c r="AT310" s="904" t="str">
        <f t="shared" si="27"/>
        <v>G0872</v>
      </c>
      <c r="AU310" s="488" t="str">
        <f t="shared" si="28"/>
        <v>ELECTRICITE,GAZ-USAGES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1148</v>
      </c>
      <c r="B311" s="706">
        <v>2026</v>
      </c>
      <c r="C311" s="706" t="s">
        <v>1719</v>
      </c>
      <c r="D311" s="706" t="s">
        <v>1720</v>
      </c>
      <c r="E311" s="706" t="s">
        <v>333</v>
      </c>
      <c r="F311" s="706" t="s">
        <v>1104</v>
      </c>
      <c r="G311" s="706">
        <v>3330</v>
      </c>
      <c r="H311" s="706">
        <v>6660</v>
      </c>
      <c r="I311" s="706">
        <v>9990</v>
      </c>
      <c r="J311" s="706">
        <v>13320</v>
      </c>
      <c r="K311" s="706">
        <v>16650</v>
      </c>
      <c r="L311" s="706">
        <v>19980</v>
      </c>
      <c r="M311" s="706">
        <v>23310</v>
      </c>
      <c r="N311" s="706">
        <v>0</v>
      </c>
      <c r="O311" s="706">
        <v>0</v>
      </c>
      <c r="P311" s="706">
        <v>0</v>
      </c>
      <c r="Q311" s="706">
        <v>0</v>
      </c>
      <c r="R311" s="706">
        <v>0</v>
      </c>
      <c r="S311" s="706">
        <v>3330</v>
      </c>
      <c r="T311" s="706">
        <v>3330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G0874</v>
      </c>
      <c r="AK311" s="905" t="str">
        <f t="shared" si="25"/>
        <v>ELECTRICITE,GAZ-SERVICE</v>
      </c>
      <c r="AL311" s="905">
        <f>IFERROR(INDEX(G311:R311,1,MATCH(Parametres!$B$3,G$1:R$1,0)-1)*IF(OR(F311="L",F311="S",F311="I"),-1,1),"")</f>
        <v>16650</v>
      </c>
      <c r="AM311" s="905">
        <f t="shared" si="26"/>
        <v>3330</v>
      </c>
      <c r="AN311" s="905">
        <f>INDEX(G311:R311,1,MATCH(Parametres!$B$3,G$1:R$1,0))*IF(OR(F311="L",F311="S",F311="I"),-1,1)</f>
        <v>19980</v>
      </c>
      <c r="AO311" s="487" t="str">
        <f>+VLOOKUP($AJ311,Data_Validation!$A:$D,1,0)</f>
        <v>G0874</v>
      </c>
      <c r="AP311" s="487" t="str">
        <f>+VLOOKUP($AJ311,Data_Validation!$A:$D,3,0)</f>
        <v>Service</v>
      </c>
      <c r="AQ311" s="487" t="str">
        <f>+VLOOKUP($AJ311,Data_Validation!$A:$D,4,0)</f>
        <v>Chauffage, éclairage</v>
      </c>
      <c r="AR311" s="487" t="s">
        <v>299</v>
      </c>
      <c r="AS311" s="487">
        <f>+VLOOKUP($AJ311,Data_Validation!$A:$E,5,0)</f>
        <v>0</v>
      </c>
      <c r="AT311" s="904" t="str">
        <f t="shared" si="27"/>
        <v>G0874</v>
      </c>
      <c r="AU311" s="488" t="str">
        <f t="shared" si="28"/>
        <v>ELECTRICITE,GAZ-SERVICE</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customHeight="1">
      <c r="A312" s="706" t="s">
        <v>1148</v>
      </c>
      <c r="B312" s="706">
        <v>2026</v>
      </c>
      <c r="C312" s="706" t="s">
        <v>1721</v>
      </c>
      <c r="D312" s="706" t="s">
        <v>1722</v>
      </c>
      <c r="E312" s="706" t="s">
        <v>333</v>
      </c>
      <c r="F312" s="706" t="s">
        <v>1104</v>
      </c>
      <c r="G312" s="706">
        <v>1110</v>
      </c>
      <c r="H312" s="706">
        <v>2220</v>
      </c>
      <c r="I312" s="706">
        <v>3330</v>
      </c>
      <c r="J312" s="706">
        <v>4440</v>
      </c>
      <c r="K312" s="706">
        <v>5550</v>
      </c>
      <c r="L312" s="706">
        <v>6660</v>
      </c>
      <c r="M312" s="706">
        <v>7770</v>
      </c>
      <c r="N312" s="706">
        <v>0</v>
      </c>
      <c r="O312" s="706">
        <v>0</v>
      </c>
      <c r="P312" s="706">
        <v>0</v>
      </c>
      <c r="Q312" s="706">
        <v>0</v>
      </c>
      <c r="R312" s="706">
        <v>0</v>
      </c>
      <c r="S312" s="706">
        <v>1110</v>
      </c>
      <c r="T312" s="706">
        <v>1110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G0875</v>
      </c>
      <c r="AK312" s="905" t="str">
        <f t="shared" si="25"/>
        <v>ELECTRICITE,GAZ-CARROSS.</v>
      </c>
      <c r="AL312" s="905">
        <f>IFERROR(INDEX(G312:R312,1,MATCH(Parametres!$B$3,G$1:R$1,0)-1)*IF(OR(F312="L",F312="S",F312="I"),-1,1),"")</f>
        <v>5550</v>
      </c>
      <c r="AM312" s="905">
        <f t="shared" si="26"/>
        <v>1110</v>
      </c>
      <c r="AN312" s="905">
        <f>INDEX(G312:R312,1,MATCH(Parametres!$B$3,G$1:R$1,0))*IF(OR(F312="L",F312="S",F312="I"),-1,1)</f>
        <v>6660</v>
      </c>
      <c r="AO312" s="487" t="str">
        <f>+VLOOKUP($AJ312,Data_Validation!$A:$D,1,0)</f>
        <v>G0875</v>
      </c>
      <c r="AP312" s="487" t="str">
        <f>+VLOOKUP($AJ312,Data_Validation!$A:$D,3,0)</f>
        <v>Carrosserie</v>
      </c>
      <c r="AQ312" s="487" t="str">
        <f>+VLOOKUP($AJ312,Data_Validation!$A:$D,4,0)</f>
        <v>Chauffage, éclairage</v>
      </c>
      <c r="AR312" s="487" t="s">
        <v>299</v>
      </c>
      <c r="AS312" s="487">
        <f>+VLOOKUP($AJ312,Data_Validation!$A:$E,5,0)</f>
        <v>0</v>
      </c>
      <c r="AT312" s="904" t="str">
        <f t="shared" si="27"/>
        <v>G0875</v>
      </c>
      <c r="AU312" s="488" t="str">
        <f t="shared" si="28"/>
        <v>ELECTRICITE,GAZ-CARROSS.</v>
      </c>
      <c r="AV312" s="899">
        <f>IFERROR(INDEX(V312:AG312,1,MATCH(Parametres!$B$3,V$1:AG$1,0)-1)*IF(OR(C312="L",C312="S",C312="I"),-1,1),"")</f>
        <v>0</v>
      </c>
      <c r="AW312" s="899">
        <f t="shared" si="29"/>
        <v>0</v>
      </c>
      <c r="AX312" s="899">
        <f>INDEX(V312:AG312,1,MATCH(Parametres!$B$3,V$1:AG$1,0))*IF(OR(C312="L",C312="S",C312="I"),-1,1)</f>
        <v>0</v>
      </c>
      <c r="AY312" s="487" t="s">
        <v>337</v>
      </c>
      <c r="AZ312" s="487">
        <f>+VLOOKUP($AJ312,Data_Validation!$A:$E,5,0)</f>
        <v>0</v>
      </c>
    </row>
    <row r="313" spans="1:52" ht="15" customHeight="1">
      <c r="A313" s="706" t="s">
        <v>1148</v>
      </c>
      <c r="B313" s="706">
        <v>2026</v>
      </c>
      <c r="C313" s="706" t="s">
        <v>1723</v>
      </c>
      <c r="D313" s="706" t="s">
        <v>1724</v>
      </c>
      <c r="E313" s="706" t="s">
        <v>333</v>
      </c>
      <c r="F313" s="706" t="s">
        <v>1104</v>
      </c>
      <c r="G313" s="706">
        <v>1110</v>
      </c>
      <c r="H313" s="706">
        <v>2220</v>
      </c>
      <c r="I313" s="706">
        <v>3330</v>
      </c>
      <c r="J313" s="706">
        <v>4440</v>
      </c>
      <c r="K313" s="706">
        <v>5550</v>
      </c>
      <c r="L313" s="706">
        <v>6660</v>
      </c>
      <c r="M313" s="706">
        <v>7770</v>
      </c>
      <c r="N313" s="706">
        <v>0</v>
      </c>
      <c r="O313" s="706">
        <v>0</v>
      </c>
      <c r="P313" s="706">
        <v>0</v>
      </c>
      <c r="Q313" s="706">
        <v>0</v>
      </c>
      <c r="R313" s="706">
        <v>0</v>
      </c>
      <c r="S313" s="706">
        <v>1110</v>
      </c>
      <c r="T313" s="706">
        <v>1110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G0876</v>
      </c>
      <c r="AK313" s="905" t="str">
        <f t="shared" si="25"/>
        <v>ELECTRICITE,GAZ-PIECES</v>
      </c>
      <c r="AL313" s="905">
        <f>IFERROR(INDEX(G313:R313,1,MATCH(Parametres!$B$3,G$1:R$1,0)-1)*IF(OR(F313="L",F313="S",F313="I"),-1,1),"")</f>
        <v>5550</v>
      </c>
      <c r="AM313" s="905">
        <f t="shared" si="26"/>
        <v>1110</v>
      </c>
      <c r="AN313" s="905">
        <f>INDEX(G313:R313,1,MATCH(Parametres!$B$3,G$1:R$1,0))*IF(OR(F313="L",F313="S",F313="I"),-1,1)</f>
        <v>6660</v>
      </c>
      <c r="AO313" s="487" t="str">
        <f>+VLOOKUP($AJ313,Data_Validation!$A:$D,1,0)</f>
        <v>G0876</v>
      </c>
      <c r="AP313" s="487" t="str">
        <f>+VLOOKUP($AJ313,Data_Validation!$A:$D,3,0)</f>
        <v>Pièces</v>
      </c>
      <c r="AQ313" s="487" t="str">
        <f>+VLOOKUP($AJ313,Data_Validation!$A:$D,4,0)</f>
        <v>Chauffage, éclairage</v>
      </c>
      <c r="AR313" s="487" t="s">
        <v>299</v>
      </c>
      <c r="AS313" s="487">
        <f>+VLOOKUP($AJ313,Data_Validation!$A:$E,5,0)</f>
        <v>0</v>
      </c>
      <c r="AT313" s="904" t="str">
        <f t="shared" si="27"/>
        <v>G0876</v>
      </c>
      <c r="AU313" s="488" t="str">
        <f t="shared" si="28"/>
        <v>ELECTRICITE,GAZ-PIECES</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1725</v>
      </c>
      <c r="D314" s="706" t="s">
        <v>1726</v>
      </c>
      <c r="E314" s="706" t="s">
        <v>333</v>
      </c>
      <c r="F314" s="706" t="s">
        <v>1104</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G0880</v>
      </c>
      <c r="AK314" s="905" t="str">
        <f t="shared" si="25"/>
        <v>ASSURANCES DIVERSES REP</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G0880</v>
      </c>
      <c r="AU314" s="488" t="str">
        <f t="shared" si="28"/>
        <v>ASSURANCES DIVERSES REP</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customHeight="1">
      <c r="A315" s="706" t="s">
        <v>1148</v>
      </c>
      <c r="B315" s="706">
        <v>2026</v>
      </c>
      <c r="C315" s="706" t="s">
        <v>1727</v>
      </c>
      <c r="D315" s="706" t="s">
        <v>1728</v>
      </c>
      <c r="E315" s="706" t="s">
        <v>333</v>
      </c>
      <c r="F315" s="706" t="s">
        <v>1104</v>
      </c>
      <c r="G315" s="706">
        <v>0</v>
      </c>
      <c r="H315" s="706">
        <v>0</v>
      </c>
      <c r="I315" s="706">
        <v>0</v>
      </c>
      <c r="J315" s="706">
        <v>0</v>
      </c>
      <c r="K315" s="706">
        <v>0</v>
      </c>
      <c r="L315" s="706">
        <v>0</v>
      </c>
      <c r="M315" s="706">
        <v>0</v>
      </c>
      <c r="N315" s="706">
        <v>0</v>
      </c>
      <c r="O315" s="706">
        <v>0</v>
      </c>
      <c r="P315" s="706">
        <v>0</v>
      </c>
      <c r="Q315" s="706">
        <v>0</v>
      </c>
      <c r="R315" s="706">
        <v>0</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G0881</v>
      </c>
      <c r="AK315" s="905" t="str">
        <f t="shared" si="25"/>
        <v>ASSURANCES DIVERSES-NEUFS</v>
      </c>
      <c r="AL315" s="905">
        <f>IFERROR(INDEX(G315:R315,1,MATCH(Parametres!$B$3,G$1:R$1,0)-1)*IF(OR(F315="L",F315="S",F315="I"),-1,1),"")</f>
        <v>0</v>
      </c>
      <c r="AM315" s="905">
        <f t="shared" si="26"/>
        <v>0</v>
      </c>
      <c r="AN315" s="905">
        <f>INDEX(G315:R315,1,MATCH(Parametres!$B$3,G$1:R$1,0))*IF(OR(F315="L",F315="S",F315="I"),-1,1)</f>
        <v>0</v>
      </c>
      <c r="AO315" s="487" t="str">
        <f>+VLOOKUP($AJ315,Data_Validation!$A:$D,1,0)</f>
        <v>G0881</v>
      </c>
      <c r="AP315" s="487">
        <f>+VLOOKUP($AJ315,Data_Validation!$A:$D,3,0)</f>
        <v>0</v>
      </c>
      <c r="AQ315" s="487">
        <f>+VLOOKUP($AJ315,Data_Validation!$A:$D,4,0)</f>
        <v>0</v>
      </c>
      <c r="AR315" s="487" t="s">
        <v>299</v>
      </c>
      <c r="AS315" s="487">
        <f>+VLOOKUP($AJ315,Data_Validation!$A:$E,5,0)</f>
        <v>0</v>
      </c>
      <c r="AT315" s="904" t="str">
        <f t="shared" si="27"/>
        <v>G0881</v>
      </c>
      <c r="AU315" s="488" t="str">
        <f t="shared" si="28"/>
        <v>ASSURANCES DIVERSES-NEUFS</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customHeight="1">
      <c r="A316" s="706" t="s">
        <v>1148</v>
      </c>
      <c r="B316" s="706">
        <v>2026</v>
      </c>
      <c r="C316" s="706" t="s">
        <v>1729</v>
      </c>
      <c r="D316" s="706" t="s">
        <v>1730</v>
      </c>
      <c r="E316" s="706" t="s">
        <v>333</v>
      </c>
      <c r="F316" s="706" t="s">
        <v>1104</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G0882</v>
      </c>
      <c r="AK316" s="905" t="str">
        <f t="shared" si="25"/>
        <v>ASSURANCES DIVERSES-USAGE</v>
      </c>
      <c r="AL316" s="905">
        <f>IFERROR(INDEX(G316:R316,1,MATCH(Parametres!$B$3,G$1:R$1,0)-1)*IF(OR(F316="L",F316="S",F316="I"),-1,1),"")</f>
        <v>0</v>
      </c>
      <c r="AM316" s="905">
        <f t="shared" si="26"/>
        <v>0</v>
      </c>
      <c r="AN316" s="905">
        <f>INDEX(G316:R316,1,MATCH(Parametres!$B$3,G$1:R$1,0))*IF(OR(F316="L",F316="S",F316="I"),-1,1)</f>
        <v>0</v>
      </c>
      <c r="AO316" s="487" t="str">
        <f>+VLOOKUP($AJ316,Data_Validation!$A:$D,1,0)</f>
        <v>G0882</v>
      </c>
      <c r="AP316" s="487">
        <f>+VLOOKUP($AJ316,Data_Validation!$A:$D,3,0)</f>
        <v>0</v>
      </c>
      <c r="AQ316" s="487">
        <f>+VLOOKUP($AJ316,Data_Validation!$A:$D,4,0)</f>
        <v>0</v>
      </c>
      <c r="AR316" s="487" t="s">
        <v>299</v>
      </c>
      <c r="AS316" s="487">
        <f>+VLOOKUP($AJ316,Data_Validation!$A:$E,5,0)</f>
        <v>0</v>
      </c>
      <c r="AT316" s="904" t="str">
        <f t="shared" si="27"/>
        <v>G0882</v>
      </c>
      <c r="AU316" s="488" t="str">
        <f t="shared" si="28"/>
        <v>ASSURANCES DIVERSES-USAGE</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1148</v>
      </c>
      <c r="B317" s="706">
        <v>2026</v>
      </c>
      <c r="C317" s="706" t="s">
        <v>1731</v>
      </c>
      <c r="D317" s="706" t="s">
        <v>1732</v>
      </c>
      <c r="E317" s="706" t="s">
        <v>333</v>
      </c>
      <c r="F317" s="706" t="s">
        <v>1104</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G0884</v>
      </c>
      <c r="AK317" s="905" t="str">
        <f t="shared" si="25"/>
        <v>ASSURANCES DIVERSES-SERV.</v>
      </c>
      <c r="AL317" s="905">
        <f>IFERROR(INDEX(G317:R317,1,MATCH(Parametres!$B$3,G$1:R$1,0)-1)*IF(OR(F317="L",F317="S",F317="I"),-1,1),"")</f>
        <v>0</v>
      </c>
      <c r="AM317" s="905">
        <f t="shared" si="26"/>
        <v>0</v>
      </c>
      <c r="AN317" s="905">
        <f>INDEX(G317:R317,1,MATCH(Parametres!$B$3,G$1:R$1,0))*IF(OR(F317="L",F317="S",F317="I"),-1,1)</f>
        <v>0</v>
      </c>
      <c r="AO317" s="487" t="str">
        <f>+VLOOKUP($AJ317,Data_Validation!$A:$D,1,0)</f>
        <v>G0884</v>
      </c>
      <c r="AP317" s="487">
        <f>+VLOOKUP($AJ317,Data_Validation!$A:$D,3,0)</f>
        <v>0</v>
      </c>
      <c r="AQ317" s="487">
        <f>+VLOOKUP($AJ317,Data_Validation!$A:$D,4,0)</f>
        <v>0</v>
      </c>
      <c r="AR317" s="487" t="s">
        <v>299</v>
      </c>
      <c r="AS317" s="487">
        <f>+VLOOKUP($AJ317,Data_Validation!$A:$E,5,0)</f>
        <v>0</v>
      </c>
      <c r="AT317" s="904" t="str">
        <f t="shared" si="27"/>
        <v>G0884</v>
      </c>
      <c r="AU317" s="488" t="str">
        <f t="shared" si="28"/>
        <v>ASSURANCES DIVERSES-SERV.</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1733</v>
      </c>
      <c r="D318" s="706" t="s">
        <v>1734</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G0885</v>
      </c>
      <c r="AK318" s="905" t="str">
        <f t="shared" si="25"/>
        <v>ASSURANCES DIVERSES-CARR.</v>
      </c>
      <c r="AL318" s="905">
        <f>IFERROR(INDEX(G318:R318,1,MATCH(Parametres!$B$3,G$1:R$1,0)-1)*IF(OR(F318="L",F318="S",F318="I"),-1,1),"")</f>
        <v>0</v>
      </c>
      <c r="AM318" s="905">
        <f t="shared" si="26"/>
        <v>0</v>
      </c>
      <c r="AN318" s="905">
        <f>INDEX(G318:R318,1,MATCH(Parametres!$B$3,G$1:R$1,0))*IF(OR(F318="L",F318="S",F318="I"),-1,1)</f>
        <v>0</v>
      </c>
      <c r="AO318" s="487" t="str">
        <f>+VLOOKUP($AJ318,Data_Validation!$A:$D,1,0)</f>
        <v>G0885</v>
      </c>
      <c r="AP318" s="487">
        <f>+VLOOKUP($AJ318,Data_Validation!$A:$D,3,0)</f>
        <v>0</v>
      </c>
      <c r="AQ318" s="487">
        <f>+VLOOKUP($AJ318,Data_Validation!$A:$D,4,0)</f>
        <v>0</v>
      </c>
      <c r="AR318" s="487" t="s">
        <v>299</v>
      </c>
      <c r="AS318" s="487">
        <f>+VLOOKUP($AJ318,Data_Validation!$A:$E,5,0)</f>
        <v>0</v>
      </c>
      <c r="AT318" s="904" t="str">
        <f t="shared" si="27"/>
        <v>G0885</v>
      </c>
      <c r="AU318" s="488" t="str">
        <f t="shared" si="28"/>
        <v>ASSURANCES DIVERSES-CARR.</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customHeight="1">
      <c r="A319" s="706" t="s">
        <v>1148</v>
      </c>
      <c r="B319" s="706">
        <v>2026</v>
      </c>
      <c r="C319" s="706" t="s">
        <v>1735</v>
      </c>
      <c r="D319" s="706" t="s">
        <v>1736</v>
      </c>
      <c r="E319" s="706" t="s">
        <v>333</v>
      </c>
      <c r="F319" s="706" t="s">
        <v>1104</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G0886</v>
      </c>
      <c r="AK319" s="905" t="str">
        <f t="shared" si="25"/>
        <v>ASSURANCES DIVERSES-PCES</v>
      </c>
      <c r="AL319" s="905">
        <f>IFERROR(INDEX(G319:R319,1,MATCH(Parametres!$B$3,G$1:R$1,0)-1)*IF(OR(F319="L",F319="S",F319="I"),-1,1),"")</f>
        <v>0</v>
      </c>
      <c r="AM319" s="905">
        <f t="shared" si="26"/>
        <v>0</v>
      </c>
      <c r="AN319" s="905">
        <f>INDEX(G319:R319,1,MATCH(Parametres!$B$3,G$1:R$1,0))*IF(OR(F319="L",F319="S",F319="I"),-1,1)</f>
        <v>0</v>
      </c>
      <c r="AO319" s="487" t="str">
        <f>+VLOOKUP($AJ319,Data_Validation!$A:$D,1,0)</f>
        <v>G0886</v>
      </c>
      <c r="AP319" s="487">
        <f>+VLOOKUP($AJ319,Data_Validation!$A:$D,3,0)</f>
        <v>0</v>
      </c>
      <c r="AQ319" s="487">
        <f>+VLOOKUP($AJ319,Data_Validation!$A:$D,4,0)</f>
        <v>0</v>
      </c>
      <c r="AR319" s="487" t="s">
        <v>299</v>
      </c>
      <c r="AS319" s="487">
        <f>+VLOOKUP($AJ319,Data_Validation!$A:$E,5,0)</f>
        <v>0</v>
      </c>
      <c r="AT319" s="904" t="str">
        <f t="shared" si="27"/>
        <v>G0886</v>
      </c>
      <c r="AU319" s="488" t="str">
        <f t="shared" si="28"/>
        <v>ASSURANCES DIVERSES-PCES</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1737</v>
      </c>
      <c r="D320" s="706" t="s">
        <v>1738</v>
      </c>
      <c r="E320" s="706" t="s">
        <v>333</v>
      </c>
      <c r="F320" s="706" t="s">
        <v>1104</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G0890</v>
      </c>
      <c r="AK320" s="905" t="str">
        <f t="shared" si="25"/>
        <v>TAXES DIVERSES REP</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G0890</v>
      </c>
      <c r="AU320" s="488" t="str">
        <f t="shared" si="28"/>
        <v>TAXES DIVERSES REP</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customHeight="1">
      <c r="A321" s="706" t="s">
        <v>1148</v>
      </c>
      <c r="B321" s="706">
        <v>2026</v>
      </c>
      <c r="C321" s="706" t="s">
        <v>1739</v>
      </c>
      <c r="D321" s="706" t="s">
        <v>1740</v>
      </c>
      <c r="E321" s="706" t="s">
        <v>333</v>
      </c>
      <c r="F321" s="706" t="s">
        <v>1104</v>
      </c>
      <c r="G321" s="706">
        <v>3000</v>
      </c>
      <c r="H321" s="706">
        <v>6000</v>
      </c>
      <c r="I321" s="706">
        <v>9000</v>
      </c>
      <c r="J321" s="706">
        <v>13418.28</v>
      </c>
      <c r="K321" s="706">
        <v>17836.560000000001</v>
      </c>
      <c r="L321" s="706">
        <v>22254.84</v>
      </c>
      <c r="M321" s="706">
        <v>26673.119999999999</v>
      </c>
      <c r="N321" s="706">
        <v>0</v>
      </c>
      <c r="O321" s="706">
        <v>0</v>
      </c>
      <c r="P321" s="706">
        <v>0</v>
      </c>
      <c r="Q321" s="706">
        <v>0</v>
      </c>
      <c r="R321" s="706">
        <v>0</v>
      </c>
      <c r="S321" s="706">
        <v>3709.14</v>
      </c>
      <c r="T321" s="706">
        <v>3709.14</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G0891</v>
      </c>
      <c r="AK321" s="905" t="str">
        <f t="shared" si="25"/>
        <v>TAXES DIVERSES-NEUFS</v>
      </c>
      <c r="AL321" s="905">
        <f>IFERROR(INDEX(G321:R321,1,MATCH(Parametres!$B$3,G$1:R$1,0)-1)*IF(OR(F321="L",F321="S",F321="I"),-1,1),"")</f>
        <v>17836.560000000001</v>
      </c>
      <c r="AM321" s="905">
        <f t="shared" si="26"/>
        <v>4418.2799999999988</v>
      </c>
      <c r="AN321" s="905">
        <f>INDEX(G321:R321,1,MATCH(Parametres!$B$3,G$1:R$1,0))*IF(OR(F321="L",F321="S",F321="I"),-1,1)</f>
        <v>22254.84</v>
      </c>
      <c r="AO321" s="487" t="str">
        <f>+VLOOKUP($AJ321,Data_Validation!$A:$D,1,0)</f>
        <v>G0891</v>
      </c>
      <c r="AP321" s="487" t="str">
        <f>+VLOOKUP($AJ321,Data_Validation!$A:$D,3,0)</f>
        <v>Véhicules neufs</v>
      </c>
      <c r="AQ321" s="487" t="str">
        <f>+VLOOKUP($AJ321,Data_Validation!$A:$D,4,0)</f>
        <v>Taxes d`affaires</v>
      </c>
      <c r="AR321" s="487" t="s">
        <v>299</v>
      </c>
      <c r="AS321" s="487">
        <f>+VLOOKUP($AJ321,Data_Validation!$A:$E,5,0)</f>
        <v>0</v>
      </c>
      <c r="AT321" s="904" t="str">
        <f t="shared" si="27"/>
        <v>G0891</v>
      </c>
      <c r="AU321" s="488" t="str">
        <f t="shared" si="28"/>
        <v>TAXES DIVERSES-NEUFS</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customHeight="1">
      <c r="A322" s="706" t="s">
        <v>1148</v>
      </c>
      <c r="B322" s="706">
        <v>2026</v>
      </c>
      <c r="C322" s="706" t="s">
        <v>1741</v>
      </c>
      <c r="D322" s="706" t="s">
        <v>1742</v>
      </c>
      <c r="E322" s="706" t="s">
        <v>333</v>
      </c>
      <c r="F322" s="706" t="s">
        <v>1104</v>
      </c>
      <c r="G322" s="706">
        <v>2000</v>
      </c>
      <c r="H322" s="706">
        <v>4000</v>
      </c>
      <c r="I322" s="706">
        <v>6000</v>
      </c>
      <c r="J322" s="706">
        <v>8945.52</v>
      </c>
      <c r="K322" s="706">
        <v>11891.04</v>
      </c>
      <c r="L322" s="706">
        <v>14836.56</v>
      </c>
      <c r="M322" s="706">
        <v>17782.080000000002</v>
      </c>
      <c r="N322" s="706">
        <v>0</v>
      </c>
      <c r="O322" s="706">
        <v>0</v>
      </c>
      <c r="P322" s="706">
        <v>0</v>
      </c>
      <c r="Q322" s="706">
        <v>0</v>
      </c>
      <c r="R322" s="706">
        <v>0</v>
      </c>
      <c r="S322" s="706">
        <v>2472.7600000000002</v>
      </c>
      <c r="T322" s="706">
        <v>2472.7600000000002</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G0892</v>
      </c>
      <c r="AK322" s="905" t="str">
        <f t="shared" si="25"/>
        <v>TAXES DIVERSES-USAGES</v>
      </c>
      <c r="AL322" s="905">
        <f>IFERROR(INDEX(G322:R322,1,MATCH(Parametres!$B$3,G$1:R$1,0)-1)*IF(OR(F322="L",F322="S",F322="I"),-1,1),"")</f>
        <v>11891.04</v>
      </c>
      <c r="AM322" s="905">
        <f t="shared" si="26"/>
        <v>2945.5199999999986</v>
      </c>
      <c r="AN322" s="905">
        <f>INDEX(G322:R322,1,MATCH(Parametres!$B$3,G$1:R$1,0))*IF(OR(F322="L",F322="S",F322="I"),-1,1)</f>
        <v>14836.56</v>
      </c>
      <c r="AO322" s="487" t="str">
        <f>+VLOOKUP($AJ322,Data_Validation!$A:$D,1,0)</f>
        <v>G0892</v>
      </c>
      <c r="AP322" s="487" t="str">
        <f>+VLOOKUP($AJ322,Data_Validation!$A:$D,3,0)</f>
        <v>Véhicules usagés</v>
      </c>
      <c r="AQ322" s="487" t="str">
        <f>+VLOOKUP($AJ322,Data_Validation!$A:$D,4,0)</f>
        <v>Taxes d`affaires</v>
      </c>
      <c r="AR322" s="487" t="s">
        <v>299</v>
      </c>
      <c r="AS322" s="487">
        <f>+VLOOKUP($AJ322,Data_Validation!$A:$E,5,0)</f>
        <v>0</v>
      </c>
      <c r="AT322" s="904" t="str">
        <f t="shared" si="27"/>
        <v>G0892</v>
      </c>
      <c r="AU322" s="488" t="str">
        <f t="shared" si="28"/>
        <v>TAXES DIVERSES-USAGES</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1148</v>
      </c>
      <c r="B323" s="706">
        <v>2026</v>
      </c>
      <c r="C323" s="706" t="s">
        <v>1743</v>
      </c>
      <c r="D323" s="706" t="s">
        <v>1744</v>
      </c>
      <c r="E323" s="706" t="s">
        <v>333</v>
      </c>
      <c r="F323" s="706" t="s">
        <v>1104</v>
      </c>
      <c r="G323" s="706">
        <v>0</v>
      </c>
      <c r="H323" s="706">
        <v>0</v>
      </c>
      <c r="I323" s="706">
        <v>0</v>
      </c>
      <c r="J323" s="706">
        <v>0</v>
      </c>
      <c r="K323" s="706">
        <v>0</v>
      </c>
      <c r="L323" s="706">
        <v>0</v>
      </c>
      <c r="M323" s="706">
        <v>0</v>
      </c>
      <c r="N323" s="706">
        <v>0</v>
      </c>
      <c r="O323" s="706">
        <v>0</v>
      </c>
      <c r="P323" s="706">
        <v>0</v>
      </c>
      <c r="Q323" s="706">
        <v>0</v>
      </c>
      <c r="R323" s="706">
        <v>0</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G0893</v>
      </c>
      <c r="AK323" s="905" t="str">
        <f t="shared" si="25"/>
        <v>TAXES DIVERSES-LOCAT.</v>
      </c>
      <c r="AL323" s="905">
        <f>IFERROR(INDEX(G323:R323,1,MATCH(Parametres!$B$3,G$1:R$1,0)-1)*IF(OR(F323="L",F323="S",F323="I"),-1,1),"")</f>
        <v>0</v>
      </c>
      <c r="AM323" s="905">
        <f t="shared" si="26"/>
        <v>0</v>
      </c>
      <c r="AN323" s="905">
        <f>INDEX(G323:R323,1,MATCH(Parametres!$B$3,G$1:R$1,0))*IF(OR(F323="L",F323="S",F323="I"),-1,1)</f>
        <v>0</v>
      </c>
      <c r="AO323" s="487" t="str">
        <f>+VLOOKUP($AJ323,Data_Validation!$A:$D,1,0)</f>
        <v>G0893</v>
      </c>
      <c r="AP323" s="487" t="str">
        <f>+VLOOKUP($AJ323,Data_Validation!$A:$D,3,0)</f>
        <v>Wholesale autres</v>
      </c>
      <c r="AQ323" s="487" t="str">
        <f>+VLOOKUP($AJ323,Data_Validation!$A:$D,4,0)</f>
        <v>Taxes d`affaires</v>
      </c>
      <c r="AR323" s="487" t="s">
        <v>299</v>
      </c>
      <c r="AS323" s="487">
        <f>+VLOOKUP($AJ323,Data_Validation!$A:$E,5,0)</f>
        <v>0</v>
      </c>
      <c r="AT323" s="904" t="str">
        <f t="shared" si="27"/>
        <v>G0893</v>
      </c>
      <c r="AU323" s="488" t="str">
        <f t="shared" si="28"/>
        <v>TAXES DIVERSES-LOCAT.</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1745</v>
      </c>
      <c r="D324" s="706" t="s">
        <v>1746</v>
      </c>
      <c r="E324" s="706" t="s">
        <v>333</v>
      </c>
      <c r="F324" s="706" t="s">
        <v>1104</v>
      </c>
      <c r="G324" s="706">
        <v>3000</v>
      </c>
      <c r="H324" s="706">
        <v>6000</v>
      </c>
      <c r="I324" s="706">
        <v>9000</v>
      </c>
      <c r="J324" s="706">
        <v>13418.28</v>
      </c>
      <c r="K324" s="706">
        <v>17836.560000000001</v>
      </c>
      <c r="L324" s="706">
        <v>22254.84</v>
      </c>
      <c r="M324" s="706">
        <v>26673.119999999999</v>
      </c>
      <c r="N324" s="706">
        <v>0</v>
      </c>
      <c r="O324" s="706">
        <v>0</v>
      </c>
      <c r="P324" s="706">
        <v>0</v>
      </c>
      <c r="Q324" s="706">
        <v>0</v>
      </c>
      <c r="R324" s="706">
        <v>0</v>
      </c>
      <c r="S324" s="706">
        <v>3709.14</v>
      </c>
      <c r="T324" s="706">
        <v>3709.14</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G0894</v>
      </c>
      <c r="AK324" s="905" t="str">
        <f t="shared" ref="AK324:AK387" si="31">D324</f>
        <v>TAXES DIVERSES-SERVICE</v>
      </c>
      <c r="AL324" s="905">
        <f>IFERROR(INDEX(G324:R324,1,MATCH(Parametres!$B$3,G$1:R$1,0)-1)*IF(OR(F324="L",F324="S",F324="I"),-1,1),"")</f>
        <v>17836.560000000001</v>
      </c>
      <c r="AM324" s="905">
        <f t="shared" ref="AM324:AM387" si="32">AN324-AL324</f>
        <v>4418.2799999999988</v>
      </c>
      <c r="AN324" s="905">
        <f>INDEX(G324:R324,1,MATCH(Parametres!$B$3,G$1:R$1,0))*IF(OR(F324="L",F324="S",F324="I"),-1,1)</f>
        <v>22254.84</v>
      </c>
      <c r="AO324" s="487" t="str">
        <f>+VLOOKUP($AJ324,Data_Validation!$A:$D,1,0)</f>
        <v>G0894</v>
      </c>
      <c r="AP324" s="487" t="str">
        <f>+VLOOKUP($AJ324,Data_Validation!$A:$D,3,0)</f>
        <v>Service</v>
      </c>
      <c r="AQ324" s="487" t="str">
        <f>+VLOOKUP($AJ324,Data_Validation!$A:$D,4,0)</f>
        <v>Taxes d`affaires</v>
      </c>
      <c r="AR324" s="487" t="s">
        <v>299</v>
      </c>
      <c r="AS324" s="487">
        <f>+VLOOKUP($AJ324,Data_Validation!$A:$E,5,0)</f>
        <v>0</v>
      </c>
      <c r="AT324" s="904" t="str">
        <f t="shared" ref="AT324:AT387" si="33">C324</f>
        <v>G0894</v>
      </c>
      <c r="AU324" s="488" t="str">
        <f t="shared" ref="AU324:AU387" si="34">D324</f>
        <v>TAXES DIVERSES-SERVICE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customHeight="1">
      <c r="A325" s="706" t="s">
        <v>1148</v>
      </c>
      <c r="B325" s="706">
        <v>2026</v>
      </c>
      <c r="C325" s="706" t="s">
        <v>1747</v>
      </c>
      <c r="D325" s="706" t="s">
        <v>1748</v>
      </c>
      <c r="E325" s="706" t="s">
        <v>333</v>
      </c>
      <c r="F325" s="706" t="s">
        <v>1104</v>
      </c>
      <c r="G325" s="706">
        <v>1000</v>
      </c>
      <c r="H325" s="706">
        <v>2000</v>
      </c>
      <c r="I325" s="706">
        <v>3000</v>
      </c>
      <c r="J325" s="706">
        <v>4472.76</v>
      </c>
      <c r="K325" s="706">
        <v>5945.52</v>
      </c>
      <c r="L325" s="706">
        <v>7418.28</v>
      </c>
      <c r="M325" s="706">
        <v>8891.0400000000009</v>
      </c>
      <c r="N325" s="706">
        <v>0</v>
      </c>
      <c r="O325" s="706">
        <v>0</v>
      </c>
      <c r="P325" s="706">
        <v>0</v>
      </c>
      <c r="Q325" s="706">
        <v>0</v>
      </c>
      <c r="R325" s="706">
        <v>0</v>
      </c>
      <c r="S325" s="706">
        <v>1236.3800000000001</v>
      </c>
      <c r="T325" s="706">
        <v>1236.3800000000001</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G0895</v>
      </c>
      <c r="AK325" s="905" t="str">
        <f t="shared" si="31"/>
        <v>TAXES DIVERSES-CARROSS.</v>
      </c>
      <c r="AL325" s="905">
        <f>IFERROR(INDEX(G325:R325,1,MATCH(Parametres!$B$3,G$1:R$1,0)-1)*IF(OR(F325="L",F325="S",F325="I"),-1,1),"")</f>
        <v>5945.52</v>
      </c>
      <c r="AM325" s="905">
        <f t="shared" si="32"/>
        <v>1472.7599999999993</v>
      </c>
      <c r="AN325" s="905">
        <f>INDEX(G325:R325,1,MATCH(Parametres!$B$3,G$1:R$1,0))*IF(OR(F325="L",F325="S",F325="I"),-1,1)</f>
        <v>7418.28</v>
      </c>
      <c r="AO325" s="487" t="str">
        <f>+VLOOKUP($AJ325,Data_Validation!$A:$D,1,0)</f>
        <v>G0895</v>
      </c>
      <c r="AP325" s="487" t="str">
        <f>+VLOOKUP($AJ325,Data_Validation!$A:$D,3,0)</f>
        <v>Carrosserie</v>
      </c>
      <c r="AQ325" s="487" t="str">
        <f>+VLOOKUP($AJ325,Data_Validation!$A:$D,4,0)</f>
        <v>Taxes d`affaires</v>
      </c>
      <c r="AR325" s="487" t="s">
        <v>299</v>
      </c>
      <c r="AS325" s="487">
        <f>+VLOOKUP($AJ325,Data_Validation!$A:$E,5,0)</f>
        <v>0</v>
      </c>
      <c r="AT325" s="904" t="str">
        <f t="shared" si="33"/>
        <v>G0895</v>
      </c>
      <c r="AU325" s="488" t="str">
        <f t="shared" si="34"/>
        <v>TAXES DIVERSES-CARROSS.</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1749</v>
      </c>
      <c r="D326" s="706" t="s">
        <v>1750</v>
      </c>
      <c r="E326" s="706" t="s">
        <v>333</v>
      </c>
      <c r="F326" s="706" t="s">
        <v>1104</v>
      </c>
      <c r="G326" s="706">
        <v>1000</v>
      </c>
      <c r="H326" s="706">
        <v>2000</v>
      </c>
      <c r="I326" s="706">
        <v>3000</v>
      </c>
      <c r="J326" s="706">
        <v>4472.7700000000004</v>
      </c>
      <c r="K326" s="706">
        <v>5945.54</v>
      </c>
      <c r="L326" s="706">
        <v>7418.31</v>
      </c>
      <c r="M326" s="706">
        <v>8891.08</v>
      </c>
      <c r="N326" s="706">
        <v>0</v>
      </c>
      <c r="O326" s="706">
        <v>0</v>
      </c>
      <c r="P326" s="706">
        <v>0</v>
      </c>
      <c r="Q326" s="706">
        <v>0</v>
      </c>
      <c r="R326" s="706">
        <v>0</v>
      </c>
      <c r="S326" s="706">
        <v>1236.3900000000001</v>
      </c>
      <c r="T326" s="706">
        <v>1236.3900000000001</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G0896</v>
      </c>
      <c r="AK326" s="905" t="str">
        <f t="shared" si="31"/>
        <v>TAXES DIVERSES-PIECES</v>
      </c>
      <c r="AL326" s="905">
        <f>IFERROR(INDEX(G326:R326,1,MATCH(Parametres!$B$3,G$1:R$1,0)-1)*IF(OR(F326="L",F326="S",F326="I"),-1,1),"")</f>
        <v>5945.54</v>
      </c>
      <c r="AM326" s="905">
        <f t="shared" si="32"/>
        <v>1472.7700000000004</v>
      </c>
      <c r="AN326" s="905">
        <f>INDEX(G326:R326,1,MATCH(Parametres!$B$3,G$1:R$1,0))*IF(OR(F326="L",F326="S",F326="I"),-1,1)</f>
        <v>7418.31</v>
      </c>
      <c r="AO326" s="487" t="str">
        <f>+VLOOKUP($AJ326,Data_Validation!$A:$D,1,0)</f>
        <v>G0896</v>
      </c>
      <c r="AP326" s="487" t="str">
        <f>+VLOOKUP($AJ326,Data_Validation!$A:$D,3,0)</f>
        <v>Pièces</v>
      </c>
      <c r="AQ326" s="487" t="str">
        <f>+VLOOKUP($AJ326,Data_Validation!$A:$D,4,0)</f>
        <v>Taxes d`affaires</v>
      </c>
      <c r="AR326" s="487" t="s">
        <v>299</v>
      </c>
      <c r="AS326" s="487">
        <f>+VLOOKUP($AJ326,Data_Validation!$A:$E,5,0)</f>
        <v>0</v>
      </c>
      <c r="AT326" s="904" t="str">
        <f t="shared" si="33"/>
        <v>G0896</v>
      </c>
      <c r="AU326" s="488" t="str">
        <f t="shared" si="34"/>
        <v>TAXES DIVERSES-PIECES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1751</v>
      </c>
      <c r="D327" s="706" t="s">
        <v>1752</v>
      </c>
      <c r="E327" s="706" t="s">
        <v>333</v>
      </c>
      <c r="F327" s="706" t="s">
        <v>1104</v>
      </c>
      <c r="G327" s="706">
        <v>0</v>
      </c>
      <c r="H327" s="706">
        <v>0</v>
      </c>
      <c r="I327" s="706">
        <v>0</v>
      </c>
      <c r="J327" s="706">
        <v>0</v>
      </c>
      <c r="K327" s="706">
        <v>0</v>
      </c>
      <c r="L327" s="706">
        <v>0</v>
      </c>
      <c r="M327" s="706">
        <v>0</v>
      </c>
      <c r="N327" s="706">
        <v>0</v>
      </c>
      <c r="O327" s="706">
        <v>0</v>
      </c>
      <c r="P327" s="706">
        <v>0</v>
      </c>
      <c r="Q327" s="706">
        <v>0</v>
      </c>
      <c r="R327" s="706">
        <v>0</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G0900</v>
      </c>
      <c r="AK327" s="905" t="str">
        <f t="shared" si="31"/>
        <v>ENT &amp; REPAR.EQUIP. REP</v>
      </c>
      <c r="AL327" s="905">
        <f>IFERROR(INDEX(G327:R327,1,MATCH(Parametres!$B$3,G$1:R$1,0)-1)*IF(OR(F327="L",F327="S",F327="I"),-1,1),"")</f>
        <v>0</v>
      </c>
      <c r="AM327" s="905">
        <f t="shared" si="32"/>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t="str">
        <f t="shared" si="33"/>
        <v>G0900</v>
      </c>
      <c r="AU327" s="488" t="str">
        <f t="shared" si="34"/>
        <v>ENT &amp; REPAR.EQUIP. REP</v>
      </c>
      <c r="AV327" s="899">
        <f>IFERROR(INDEX(V327:AG327,1,MATCH(Parametres!$B$3,V$1:AG$1,0)-1)*IF(OR(C327="L",C327="S",C327="I"),-1,1),"")</f>
        <v>0</v>
      </c>
      <c r="AW327" s="899">
        <f t="shared" si="35"/>
        <v>0</v>
      </c>
      <c r="AX327" s="899">
        <f>INDEX(V327:AG327,1,MATCH(Parametres!$B$3,V$1:AG$1,0))*IF(OR(C327="L",C327="S",C327="I"),-1,1)</f>
        <v>0</v>
      </c>
      <c r="AY327" s="487" t="s">
        <v>337</v>
      </c>
      <c r="AZ327" s="487" t="e">
        <f>+VLOOKUP($AJ327,Data_Validation!$A:$E,5,0)</f>
        <v>#N/A</v>
      </c>
    </row>
    <row r="328" spans="1:52" ht="15" customHeight="1">
      <c r="A328" s="706" t="s">
        <v>1148</v>
      </c>
      <c r="B328" s="706">
        <v>2026</v>
      </c>
      <c r="C328" s="706" t="s">
        <v>1753</v>
      </c>
      <c r="D328" s="706" t="s">
        <v>1754</v>
      </c>
      <c r="E328" s="706" t="s">
        <v>333</v>
      </c>
      <c r="F328" s="706" t="s">
        <v>1104</v>
      </c>
      <c r="G328" s="706">
        <v>0</v>
      </c>
      <c r="H328" s="706">
        <v>0</v>
      </c>
      <c r="I328" s="706">
        <v>0</v>
      </c>
      <c r="J328" s="706">
        <v>0</v>
      </c>
      <c r="K328" s="706">
        <v>0</v>
      </c>
      <c r="L328" s="706">
        <v>0</v>
      </c>
      <c r="M328" s="706">
        <v>0</v>
      </c>
      <c r="N328" s="706">
        <v>0</v>
      </c>
      <c r="O328" s="706">
        <v>0</v>
      </c>
      <c r="P328" s="706">
        <v>0</v>
      </c>
      <c r="Q328" s="706">
        <v>0</v>
      </c>
      <c r="R328" s="706">
        <v>0</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G0901</v>
      </c>
      <c r="AK328" s="905" t="str">
        <f t="shared" si="31"/>
        <v>ENT. REP. EQUIPEMENT-NEUF</v>
      </c>
      <c r="AL328" s="905">
        <f>IFERROR(INDEX(G328:R328,1,MATCH(Parametres!$B$3,G$1:R$1,0)-1)*IF(OR(F328="L",F328="S",F328="I"),-1,1),"")</f>
        <v>0</v>
      </c>
      <c r="AM328" s="905">
        <f t="shared" si="32"/>
        <v>0</v>
      </c>
      <c r="AN328" s="905">
        <f>INDEX(G328:R328,1,MATCH(Parametres!$B$3,G$1:R$1,0))*IF(OR(F328="L",F328="S",F328="I"),-1,1)</f>
        <v>0</v>
      </c>
      <c r="AO328" s="487" t="str">
        <f>+VLOOKUP($AJ328,Data_Validation!$A:$D,1,0)</f>
        <v>G0901</v>
      </c>
      <c r="AP328" s="487" t="str">
        <f>+VLOOKUP($AJ328,Data_Validation!$A:$D,3,0)</f>
        <v>Véhicules neufs</v>
      </c>
      <c r="AQ328" s="487" t="str">
        <f>+VLOOKUP($AJ328,Data_Validation!$A:$D,4,0)</f>
        <v>Réparation équipement</v>
      </c>
      <c r="AR328" s="487" t="s">
        <v>299</v>
      </c>
      <c r="AS328" s="487">
        <f>+VLOOKUP($AJ328,Data_Validation!$A:$E,5,0)</f>
        <v>0</v>
      </c>
      <c r="AT328" s="904" t="str">
        <f t="shared" si="33"/>
        <v>G0901</v>
      </c>
      <c r="AU328" s="488" t="str">
        <f t="shared" si="34"/>
        <v>ENT. REP. EQUIPEMENT-NEUF</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customHeight="1">
      <c r="A329" s="706" t="s">
        <v>1148</v>
      </c>
      <c r="B329" s="706">
        <v>2026</v>
      </c>
      <c r="C329" s="706" t="s">
        <v>1755</v>
      </c>
      <c r="D329" s="706" t="s">
        <v>1756</v>
      </c>
      <c r="E329" s="706" t="s">
        <v>333</v>
      </c>
      <c r="F329" s="706" t="s">
        <v>1104</v>
      </c>
      <c r="G329" s="706">
        <v>0</v>
      </c>
      <c r="H329" s="706">
        <v>0</v>
      </c>
      <c r="I329" s="706">
        <v>0</v>
      </c>
      <c r="J329" s="706">
        <v>0</v>
      </c>
      <c r="K329" s="706">
        <v>0</v>
      </c>
      <c r="L329" s="706">
        <v>0</v>
      </c>
      <c r="M329" s="706">
        <v>0</v>
      </c>
      <c r="N329" s="706">
        <v>0</v>
      </c>
      <c r="O329" s="706">
        <v>0</v>
      </c>
      <c r="P329" s="706">
        <v>0</v>
      </c>
      <c r="Q329" s="706">
        <v>0</v>
      </c>
      <c r="R329" s="706">
        <v>0</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G0902</v>
      </c>
      <c r="AK329" s="905" t="str">
        <f t="shared" si="31"/>
        <v>ENT. REP. EQUIPEMENT-USAG</v>
      </c>
      <c r="AL329" s="905">
        <f>IFERROR(INDEX(G329:R329,1,MATCH(Parametres!$B$3,G$1:R$1,0)-1)*IF(OR(F329="L",F329="S",F329="I"),-1,1),"")</f>
        <v>0</v>
      </c>
      <c r="AM329" s="905">
        <f t="shared" si="32"/>
        <v>0</v>
      </c>
      <c r="AN329" s="905">
        <f>INDEX(G329:R329,1,MATCH(Parametres!$B$3,G$1:R$1,0))*IF(OR(F329="L",F329="S",F329="I"),-1,1)</f>
        <v>0</v>
      </c>
      <c r="AO329" s="487" t="str">
        <f>+VLOOKUP($AJ329,Data_Validation!$A:$D,1,0)</f>
        <v>G0902</v>
      </c>
      <c r="AP329" s="487" t="str">
        <f>+VLOOKUP($AJ329,Data_Validation!$A:$D,3,0)</f>
        <v>Véhicules usagés</v>
      </c>
      <c r="AQ329" s="487" t="str">
        <f>+VLOOKUP($AJ329,Data_Validation!$A:$D,4,0)</f>
        <v>Réparation équipement</v>
      </c>
      <c r="AR329" s="487" t="s">
        <v>299</v>
      </c>
      <c r="AS329" s="487">
        <f>+VLOOKUP($AJ329,Data_Validation!$A:$E,5,0)</f>
        <v>0</v>
      </c>
      <c r="AT329" s="904" t="str">
        <f t="shared" si="33"/>
        <v>G0902</v>
      </c>
      <c r="AU329" s="488" t="str">
        <f t="shared" si="34"/>
        <v>ENT. REP. EQUIPEMENT-USAG</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customHeight="1">
      <c r="A330" s="706" t="s">
        <v>1148</v>
      </c>
      <c r="B330" s="706">
        <v>2026</v>
      </c>
      <c r="C330" s="706" t="s">
        <v>1757</v>
      </c>
      <c r="D330" s="706" t="s">
        <v>1758</v>
      </c>
      <c r="E330" s="706" t="s">
        <v>333</v>
      </c>
      <c r="F330" s="706" t="s">
        <v>1104</v>
      </c>
      <c r="G330" s="706">
        <v>1733.3</v>
      </c>
      <c r="H330" s="706">
        <v>3794.6</v>
      </c>
      <c r="I330" s="706">
        <v>5336.13</v>
      </c>
      <c r="J330" s="706">
        <v>8939.43</v>
      </c>
      <c r="K330" s="706">
        <v>8916.2000000000007</v>
      </c>
      <c r="L330" s="706">
        <v>10321.200000000001</v>
      </c>
      <c r="M330" s="706">
        <v>10581.2</v>
      </c>
      <c r="N330" s="706">
        <v>0</v>
      </c>
      <c r="O330" s="706">
        <v>0</v>
      </c>
      <c r="P330" s="706">
        <v>0</v>
      </c>
      <c r="Q330" s="706">
        <v>0</v>
      </c>
      <c r="R330" s="706">
        <v>0</v>
      </c>
      <c r="S330" s="706">
        <v>1720.2</v>
      </c>
      <c r="T330" s="706">
        <v>1720.2</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G0904</v>
      </c>
      <c r="AK330" s="905" t="str">
        <f t="shared" si="31"/>
        <v>ENT. REP. EQUIPEMENT-SERV</v>
      </c>
      <c r="AL330" s="905">
        <f>IFERROR(INDEX(G330:R330,1,MATCH(Parametres!$B$3,G$1:R$1,0)-1)*IF(OR(F330="L",F330="S",F330="I"),-1,1),"")</f>
        <v>8916.2000000000007</v>
      </c>
      <c r="AM330" s="905">
        <f t="shared" si="32"/>
        <v>1405</v>
      </c>
      <c r="AN330" s="905">
        <f>INDEX(G330:R330,1,MATCH(Parametres!$B$3,G$1:R$1,0))*IF(OR(F330="L",F330="S",F330="I"),-1,1)</f>
        <v>10321.200000000001</v>
      </c>
      <c r="AO330" s="487" t="str">
        <f>+VLOOKUP($AJ330,Data_Validation!$A:$D,1,0)</f>
        <v>G0904</v>
      </c>
      <c r="AP330" s="487" t="str">
        <f>+VLOOKUP($AJ330,Data_Validation!$A:$D,3,0)</f>
        <v>Service</v>
      </c>
      <c r="AQ330" s="487" t="str">
        <f>+VLOOKUP($AJ330,Data_Validation!$A:$D,4,0)</f>
        <v>Réparation équipement</v>
      </c>
      <c r="AR330" s="487" t="s">
        <v>299</v>
      </c>
      <c r="AS330" s="487">
        <f>+VLOOKUP($AJ330,Data_Validation!$A:$E,5,0)</f>
        <v>0</v>
      </c>
      <c r="AT330" s="904" t="str">
        <f t="shared" si="33"/>
        <v>G0904</v>
      </c>
      <c r="AU330" s="488" t="str">
        <f t="shared" si="34"/>
        <v>ENT. REP. EQUIPEMENT-SERV</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customHeight="1">
      <c r="A331" s="706" t="s">
        <v>1148</v>
      </c>
      <c r="B331" s="706">
        <v>2026</v>
      </c>
      <c r="C331" s="706" t="s">
        <v>1759</v>
      </c>
      <c r="D331" s="706" t="s">
        <v>1760</v>
      </c>
      <c r="E331" s="706" t="s">
        <v>333</v>
      </c>
      <c r="F331" s="706" t="s">
        <v>1104</v>
      </c>
      <c r="G331" s="706">
        <v>420</v>
      </c>
      <c r="H331" s="706">
        <v>1918</v>
      </c>
      <c r="I331" s="706">
        <v>4035.5</v>
      </c>
      <c r="J331" s="706">
        <v>4935</v>
      </c>
      <c r="K331" s="706">
        <v>5138.7</v>
      </c>
      <c r="L331" s="706">
        <v>5530.7</v>
      </c>
      <c r="M331" s="706">
        <v>5851.04</v>
      </c>
      <c r="N331" s="706">
        <v>0</v>
      </c>
      <c r="O331" s="706">
        <v>0</v>
      </c>
      <c r="P331" s="706">
        <v>0</v>
      </c>
      <c r="Q331" s="706">
        <v>0</v>
      </c>
      <c r="R331" s="706">
        <v>0</v>
      </c>
      <c r="S331" s="706">
        <v>921.78</v>
      </c>
      <c r="T331" s="706">
        <v>921.78</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G0905</v>
      </c>
      <c r="AK331" s="905" t="str">
        <f t="shared" si="31"/>
        <v>ENT. REP. EQUIPEMENT-CARR</v>
      </c>
      <c r="AL331" s="905">
        <f>IFERROR(INDEX(G331:R331,1,MATCH(Parametres!$B$3,G$1:R$1,0)-1)*IF(OR(F331="L",F331="S",F331="I"),-1,1),"")</f>
        <v>5138.7</v>
      </c>
      <c r="AM331" s="905">
        <f t="shared" si="32"/>
        <v>392</v>
      </c>
      <c r="AN331" s="905">
        <f>INDEX(G331:R331,1,MATCH(Parametres!$B$3,G$1:R$1,0))*IF(OR(F331="L",F331="S",F331="I"),-1,1)</f>
        <v>5530.7</v>
      </c>
      <c r="AO331" s="487" t="str">
        <f>+VLOOKUP($AJ331,Data_Validation!$A:$D,1,0)</f>
        <v>G0905</v>
      </c>
      <c r="AP331" s="487" t="str">
        <f>+VLOOKUP($AJ331,Data_Validation!$A:$D,3,0)</f>
        <v>Carrosserie</v>
      </c>
      <c r="AQ331" s="487" t="str">
        <f>+VLOOKUP($AJ331,Data_Validation!$A:$D,4,0)</f>
        <v>Réparation équipement</v>
      </c>
      <c r="AR331" s="487" t="s">
        <v>299</v>
      </c>
      <c r="AS331" s="487">
        <f>+VLOOKUP($AJ331,Data_Validation!$A:$E,5,0)</f>
        <v>0</v>
      </c>
      <c r="AT331" s="904" t="str">
        <f t="shared" si="33"/>
        <v>G0905</v>
      </c>
      <c r="AU331" s="488" t="str">
        <f t="shared" si="34"/>
        <v>ENT. REP. EQUIPEMENT-CARR</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customHeight="1">
      <c r="A332" s="706" t="s">
        <v>1148</v>
      </c>
      <c r="B332" s="706">
        <v>2026</v>
      </c>
      <c r="C332" s="706" t="s">
        <v>1761</v>
      </c>
      <c r="D332" s="706" t="s">
        <v>1762</v>
      </c>
      <c r="E332" s="706" t="s">
        <v>333</v>
      </c>
      <c r="F332" s="706" t="s">
        <v>1104</v>
      </c>
      <c r="G332" s="706">
        <v>0</v>
      </c>
      <c r="H332" s="706">
        <v>0</v>
      </c>
      <c r="I332" s="706">
        <v>0</v>
      </c>
      <c r="J332" s="706">
        <v>82</v>
      </c>
      <c r="K332" s="706">
        <v>82</v>
      </c>
      <c r="L332" s="706">
        <v>82</v>
      </c>
      <c r="M332" s="706">
        <v>82</v>
      </c>
      <c r="N332" s="706">
        <v>0</v>
      </c>
      <c r="O332" s="706">
        <v>0</v>
      </c>
      <c r="P332" s="706">
        <v>0</v>
      </c>
      <c r="Q332" s="706">
        <v>0</v>
      </c>
      <c r="R332" s="706">
        <v>0</v>
      </c>
      <c r="S332" s="706">
        <v>13.67</v>
      </c>
      <c r="T332" s="706">
        <v>13.67</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G0906</v>
      </c>
      <c r="AK332" s="905" t="str">
        <f t="shared" si="31"/>
        <v>ENT. REP. EQUIPEMENT-PCES</v>
      </c>
      <c r="AL332" s="905">
        <f>IFERROR(INDEX(G332:R332,1,MATCH(Parametres!$B$3,G$1:R$1,0)-1)*IF(OR(F332="L",F332="S",F332="I"),-1,1),"")</f>
        <v>82</v>
      </c>
      <c r="AM332" s="905">
        <f t="shared" si="32"/>
        <v>0</v>
      </c>
      <c r="AN332" s="905">
        <f>INDEX(G332:R332,1,MATCH(Parametres!$B$3,G$1:R$1,0))*IF(OR(F332="L",F332="S",F332="I"),-1,1)</f>
        <v>82</v>
      </c>
      <c r="AO332" s="487" t="str">
        <f>+VLOOKUP($AJ332,Data_Validation!$A:$D,1,0)</f>
        <v>G0906</v>
      </c>
      <c r="AP332" s="487" t="str">
        <f>+VLOOKUP($AJ332,Data_Validation!$A:$D,3,0)</f>
        <v>Pièces</v>
      </c>
      <c r="AQ332" s="487" t="str">
        <f>+VLOOKUP($AJ332,Data_Validation!$A:$D,4,0)</f>
        <v>Réparation équipement</v>
      </c>
      <c r="AR332" s="487" t="s">
        <v>299</v>
      </c>
      <c r="AS332" s="487">
        <f>+VLOOKUP($AJ332,Data_Validation!$A:$E,5,0)</f>
        <v>0</v>
      </c>
      <c r="AT332" s="904" t="str">
        <f t="shared" si="33"/>
        <v>G0906</v>
      </c>
      <c r="AU332" s="488" t="str">
        <f t="shared" si="34"/>
        <v>ENT. REP. EQUIPEMENT-PCES</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customHeight="1">
      <c r="A333" s="706" t="s">
        <v>1148</v>
      </c>
      <c r="B333" s="706">
        <v>2026</v>
      </c>
      <c r="C333" s="706" t="s">
        <v>1763</v>
      </c>
      <c r="D333" s="706" t="s">
        <v>1764</v>
      </c>
      <c r="E333" s="706" t="s">
        <v>333</v>
      </c>
      <c r="F333" s="706" t="s">
        <v>1104</v>
      </c>
      <c r="G333" s="706">
        <v>0</v>
      </c>
      <c r="H333" s="706">
        <v>0</v>
      </c>
      <c r="I333" s="706">
        <v>0</v>
      </c>
      <c r="J333" s="706">
        <v>0</v>
      </c>
      <c r="K333" s="706">
        <v>0</v>
      </c>
      <c r="L333" s="706">
        <v>0</v>
      </c>
      <c r="M333" s="706">
        <v>0</v>
      </c>
      <c r="N333" s="706">
        <v>0</v>
      </c>
      <c r="O333" s="706">
        <v>0</v>
      </c>
      <c r="P333" s="706">
        <v>0</v>
      </c>
      <c r="Q333" s="706">
        <v>0</v>
      </c>
      <c r="R333" s="706">
        <v>0</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G0910</v>
      </c>
      <c r="AK333" s="905" t="str">
        <f t="shared" si="31"/>
        <v>AMORT. EQUIPEMENT REP.</v>
      </c>
      <c r="AL333" s="905">
        <f>IFERROR(INDEX(G333:R333,1,MATCH(Parametres!$B$3,G$1:R$1,0)-1)*IF(OR(F333="L",F333="S",F333="I"),-1,1),"")</f>
        <v>0</v>
      </c>
      <c r="AM333" s="905">
        <f t="shared" si="32"/>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t="str">
        <f t="shared" si="33"/>
        <v>G0910</v>
      </c>
      <c r="AU333" s="488" t="str">
        <f t="shared" si="34"/>
        <v>AMORT. EQUIPEMENT REP.</v>
      </c>
      <c r="AV333" s="899">
        <f>IFERROR(INDEX(V333:AG333,1,MATCH(Parametres!$B$3,V$1:AG$1,0)-1)*IF(OR(C333="L",C333="S",C333="I"),-1,1),"")</f>
        <v>0</v>
      </c>
      <c r="AW333" s="899">
        <f t="shared" si="35"/>
        <v>0</v>
      </c>
      <c r="AX333" s="899">
        <f>INDEX(V333:AG333,1,MATCH(Parametres!$B$3,V$1:AG$1,0))*IF(OR(C333="L",C333="S",C333="I"),-1,1)</f>
        <v>0</v>
      </c>
      <c r="AY333" s="487" t="s">
        <v>337</v>
      </c>
      <c r="AZ333" s="487" t="e">
        <f>+VLOOKUP($AJ333,Data_Validation!$A:$E,5,0)</f>
        <v>#N/A</v>
      </c>
    </row>
    <row r="334" spans="1:52" ht="15.75" customHeight="1">
      <c r="A334" s="706" t="s">
        <v>1148</v>
      </c>
      <c r="B334" s="706">
        <v>2026</v>
      </c>
      <c r="C334" s="706" t="s">
        <v>1765</v>
      </c>
      <c r="D334" s="706" t="s">
        <v>1766</v>
      </c>
      <c r="E334" s="706" t="s">
        <v>333</v>
      </c>
      <c r="F334" s="706" t="s">
        <v>1104</v>
      </c>
      <c r="G334" s="706">
        <v>3214.5</v>
      </c>
      <c r="H334" s="706">
        <v>6429</v>
      </c>
      <c r="I334" s="706">
        <v>9643.5</v>
      </c>
      <c r="J334" s="706">
        <v>12858</v>
      </c>
      <c r="K334" s="706">
        <v>16072.5</v>
      </c>
      <c r="L334" s="706">
        <v>19287</v>
      </c>
      <c r="M334" s="706">
        <v>22501.5</v>
      </c>
      <c r="N334" s="706">
        <v>0</v>
      </c>
      <c r="O334" s="706">
        <v>0</v>
      </c>
      <c r="P334" s="706">
        <v>0</v>
      </c>
      <c r="Q334" s="706">
        <v>0</v>
      </c>
      <c r="R334" s="706">
        <v>0</v>
      </c>
      <c r="S334" s="706">
        <v>3214.5</v>
      </c>
      <c r="T334" s="706">
        <v>3214.5</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G0911</v>
      </c>
      <c r="AK334" s="905" t="str">
        <f t="shared" si="31"/>
        <v>AMORT. EQUIPEMENT-NEUFS</v>
      </c>
      <c r="AL334" s="905">
        <f>IFERROR(INDEX(G334:R334,1,MATCH(Parametres!$B$3,G$1:R$1,0)-1)*IF(OR(F334="L",F334="S",F334="I"),-1,1),"")</f>
        <v>16072.5</v>
      </c>
      <c r="AM334" s="905">
        <f t="shared" si="32"/>
        <v>3214.5</v>
      </c>
      <c r="AN334" s="905">
        <f>INDEX(G334:R334,1,MATCH(Parametres!$B$3,G$1:R$1,0))*IF(OR(F334="L",F334="S",F334="I"),-1,1)</f>
        <v>19287</v>
      </c>
      <c r="AO334" s="487" t="str">
        <f>+VLOOKUP($AJ334,Data_Validation!$A:$D,1,0)</f>
        <v>G0911</v>
      </c>
      <c r="AP334" s="487" t="str">
        <f>+VLOOKUP($AJ334,Data_Validation!$A:$D,3,0)</f>
        <v>Véhicules neufs</v>
      </c>
      <c r="AQ334" s="487" t="str">
        <f>+VLOOKUP($AJ334,Data_Validation!$A:$D,4,0)</f>
        <v>Amortissement</v>
      </c>
      <c r="AR334" s="487" t="s">
        <v>299</v>
      </c>
      <c r="AS334" s="487">
        <f>+VLOOKUP($AJ334,Data_Validation!$A:$E,5,0)</f>
        <v>0</v>
      </c>
      <c r="AT334" s="904" t="str">
        <f t="shared" si="33"/>
        <v>G0911</v>
      </c>
      <c r="AU334" s="488" t="str">
        <f t="shared" si="34"/>
        <v>AMORT. EQUIPEMENT-NEUFS</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customHeight="1">
      <c r="A335" s="706" t="s">
        <v>1148</v>
      </c>
      <c r="B335" s="706">
        <v>2026</v>
      </c>
      <c r="C335" s="706" t="s">
        <v>1767</v>
      </c>
      <c r="D335" s="706" t="s">
        <v>1768</v>
      </c>
      <c r="E335" s="706" t="s">
        <v>333</v>
      </c>
      <c r="F335" s="706" t="s">
        <v>1104</v>
      </c>
      <c r="G335" s="706">
        <v>2143</v>
      </c>
      <c r="H335" s="706">
        <v>4286</v>
      </c>
      <c r="I335" s="706">
        <v>6429</v>
      </c>
      <c r="J335" s="706">
        <v>8572</v>
      </c>
      <c r="K335" s="706">
        <v>10715</v>
      </c>
      <c r="L335" s="706">
        <v>12858</v>
      </c>
      <c r="M335" s="706">
        <v>15001</v>
      </c>
      <c r="N335" s="706">
        <v>0</v>
      </c>
      <c r="O335" s="706">
        <v>0</v>
      </c>
      <c r="P335" s="706">
        <v>0</v>
      </c>
      <c r="Q335" s="706">
        <v>0</v>
      </c>
      <c r="R335" s="706">
        <v>0</v>
      </c>
      <c r="S335" s="706">
        <v>2143</v>
      </c>
      <c r="T335" s="706">
        <v>2143</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G0912</v>
      </c>
      <c r="AK335" s="905" t="str">
        <f t="shared" si="31"/>
        <v>AMORT. EQUIPEMENT-USAGES</v>
      </c>
      <c r="AL335" s="905">
        <f>IFERROR(INDEX(G335:R335,1,MATCH(Parametres!$B$3,G$1:R$1,0)-1)*IF(OR(F335="L",F335="S",F335="I"),-1,1),"")</f>
        <v>10715</v>
      </c>
      <c r="AM335" s="905">
        <f t="shared" si="32"/>
        <v>2143</v>
      </c>
      <c r="AN335" s="905">
        <f>INDEX(G335:R335,1,MATCH(Parametres!$B$3,G$1:R$1,0))*IF(OR(F335="L",F335="S",F335="I"),-1,1)</f>
        <v>12858</v>
      </c>
      <c r="AO335" s="487" t="str">
        <f>+VLOOKUP($AJ335,Data_Validation!$A:$D,1,0)</f>
        <v>G0912</v>
      </c>
      <c r="AP335" s="487" t="str">
        <f>+VLOOKUP($AJ335,Data_Validation!$A:$D,3,0)</f>
        <v>Véhicules usagés</v>
      </c>
      <c r="AQ335" s="487" t="str">
        <f>+VLOOKUP($AJ335,Data_Validation!$A:$D,4,0)</f>
        <v>Amortissement</v>
      </c>
      <c r="AR335" s="487" t="s">
        <v>299</v>
      </c>
      <c r="AS335" s="487">
        <f>+VLOOKUP($AJ335,Data_Validation!$A:$E,5,0)</f>
        <v>0</v>
      </c>
      <c r="AT335" s="904" t="str">
        <f t="shared" si="33"/>
        <v>G0912</v>
      </c>
      <c r="AU335" s="488" t="str">
        <f t="shared" si="34"/>
        <v>AMORT. EQUIPEMENT-USAGES</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customHeight="1">
      <c r="A336" s="706" t="s">
        <v>1148</v>
      </c>
      <c r="B336" s="706">
        <v>2026</v>
      </c>
      <c r="C336" s="706" t="s">
        <v>1769</v>
      </c>
      <c r="D336" s="706" t="s">
        <v>1770</v>
      </c>
      <c r="E336" s="706" t="s">
        <v>333</v>
      </c>
      <c r="F336" s="706" t="s">
        <v>1104</v>
      </c>
      <c r="G336" s="706">
        <v>3214.5</v>
      </c>
      <c r="H336" s="706">
        <v>6429</v>
      </c>
      <c r="I336" s="706">
        <v>9643.5</v>
      </c>
      <c r="J336" s="706">
        <v>12858</v>
      </c>
      <c r="K336" s="706">
        <v>16072.5</v>
      </c>
      <c r="L336" s="706">
        <v>19287</v>
      </c>
      <c r="M336" s="706">
        <v>22694.33</v>
      </c>
      <c r="N336" s="706">
        <v>0</v>
      </c>
      <c r="O336" s="706">
        <v>0</v>
      </c>
      <c r="P336" s="706">
        <v>0</v>
      </c>
      <c r="Q336" s="706">
        <v>0</v>
      </c>
      <c r="R336" s="706">
        <v>0</v>
      </c>
      <c r="S336" s="706">
        <v>3214.5</v>
      </c>
      <c r="T336" s="706">
        <v>3214.5</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G0914</v>
      </c>
      <c r="AK336" s="905" t="str">
        <f t="shared" si="31"/>
        <v>AMORT. EQUIPEMENT-SERVICE</v>
      </c>
      <c r="AL336" s="905">
        <f>IFERROR(INDEX(G336:R336,1,MATCH(Parametres!$B$3,G$1:R$1,0)-1)*IF(OR(F336="L",F336="S",F336="I"),-1,1),"")</f>
        <v>16072.5</v>
      </c>
      <c r="AM336" s="905">
        <f t="shared" si="32"/>
        <v>3214.5</v>
      </c>
      <c r="AN336" s="905">
        <f>INDEX(G336:R336,1,MATCH(Parametres!$B$3,G$1:R$1,0))*IF(OR(F336="L",F336="S",F336="I"),-1,1)</f>
        <v>19287</v>
      </c>
      <c r="AO336" s="487" t="str">
        <f>+VLOOKUP($AJ336,Data_Validation!$A:$D,1,0)</f>
        <v>G0914</v>
      </c>
      <c r="AP336" s="487" t="str">
        <f>+VLOOKUP($AJ336,Data_Validation!$A:$D,3,0)</f>
        <v>Service</v>
      </c>
      <c r="AQ336" s="487" t="str">
        <f>+VLOOKUP($AJ336,Data_Validation!$A:$D,4,0)</f>
        <v>Amortissement</v>
      </c>
      <c r="AR336" s="487" t="s">
        <v>299</v>
      </c>
      <c r="AS336" s="487">
        <f>+VLOOKUP($AJ336,Data_Validation!$A:$E,5,0)</f>
        <v>0</v>
      </c>
      <c r="AT336" s="904" t="str">
        <f t="shared" si="33"/>
        <v>G0914</v>
      </c>
      <c r="AU336" s="488" t="str">
        <f t="shared" si="34"/>
        <v>AMORT. EQUIPEMENT-SERVICE</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customHeight="1">
      <c r="A337" s="706" t="s">
        <v>1148</v>
      </c>
      <c r="B337" s="706">
        <v>2026</v>
      </c>
      <c r="C337" s="706" t="s">
        <v>1771</v>
      </c>
      <c r="D337" s="706" t="s">
        <v>1772</v>
      </c>
      <c r="E337" s="706" t="s">
        <v>333</v>
      </c>
      <c r="F337" s="706" t="s">
        <v>1104</v>
      </c>
      <c r="G337" s="706">
        <v>1071.5</v>
      </c>
      <c r="H337" s="706">
        <v>2143</v>
      </c>
      <c r="I337" s="706">
        <v>3214.5</v>
      </c>
      <c r="J337" s="706">
        <v>4286</v>
      </c>
      <c r="K337" s="706">
        <v>5357.5</v>
      </c>
      <c r="L337" s="706">
        <v>6429</v>
      </c>
      <c r="M337" s="706">
        <v>7500.5</v>
      </c>
      <c r="N337" s="706">
        <v>0</v>
      </c>
      <c r="O337" s="706">
        <v>0</v>
      </c>
      <c r="P337" s="706">
        <v>0</v>
      </c>
      <c r="Q337" s="706">
        <v>0</v>
      </c>
      <c r="R337" s="706">
        <v>0</v>
      </c>
      <c r="S337" s="706">
        <v>1071.5</v>
      </c>
      <c r="T337" s="706">
        <v>1071.5</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G0915</v>
      </c>
      <c r="AK337" s="905" t="str">
        <f t="shared" si="31"/>
        <v>AMORT. EQUIPEMENT-CARROSS</v>
      </c>
      <c r="AL337" s="905">
        <f>IFERROR(INDEX(G337:R337,1,MATCH(Parametres!$B$3,G$1:R$1,0)-1)*IF(OR(F337="L",F337="S",F337="I"),-1,1),"")</f>
        <v>5357.5</v>
      </c>
      <c r="AM337" s="905">
        <f t="shared" si="32"/>
        <v>1071.5</v>
      </c>
      <c r="AN337" s="905">
        <f>INDEX(G337:R337,1,MATCH(Parametres!$B$3,G$1:R$1,0))*IF(OR(F337="L",F337="S",F337="I"),-1,1)</f>
        <v>6429</v>
      </c>
      <c r="AO337" s="487" t="str">
        <f>+VLOOKUP($AJ337,Data_Validation!$A:$D,1,0)</f>
        <v>G0915</v>
      </c>
      <c r="AP337" s="487" t="str">
        <f>+VLOOKUP($AJ337,Data_Validation!$A:$D,3,0)</f>
        <v>Carrosserie</v>
      </c>
      <c r="AQ337" s="487" t="str">
        <f>+VLOOKUP($AJ337,Data_Validation!$A:$D,4,0)</f>
        <v>Amortissement</v>
      </c>
      <c r="AR337" s="487" t="s">
        <v>299</v>
      </c>
      <c r="AS337" s="487">
        <f>+VLOOKUP($AJ337,Data_Validation!$A:$E,5,0)</f>
        <v>0</v>
      </c>
      <c r="AT337" s="904" t="str">
        <f t="shared" si="33"/>
        <v>G0915</v>
      </c>
      <c r="AU337" s="488" t="str">
        <f t="shared" si="34"/>
        <v>AMORT. EQUIPEMENT-CARROSS</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customHeight="1">
      <c r="A338" s="706" t="s">
        <v>1148</v>
      </c>
      <c r="B338" s="706">
        <v>2026</v>
      </c>
      <c r="C338" s="706" t="s">
        <v>1773</v>
      </c>
      <c r="D338" s="706" t="s">
        <v>1774</v>
      </c>
      <c r="E338" s="706" t="s">
        <v>333</v>
      </c>
      <c r="F338" s="706" t="s">
        <v>1104</v>
      </c>
      <c r="G338" s="706">
        <v>1071.5</v>
      </c>
      <c r="H338" s="706">
        <v>2143</v>
      </c>
      <c r="I338" s="706">
        <v>3214.5</v>
      </c>
      <c r="J338" s="706">
        <v>4286</v>
      </c>
      <c r="K338" s="706">
        <v>5357.5</v>
      </c>
      <c r="L338" s="706">
        <v>6429</v>
      </c>
      <c r="M338" s="706">
        <v>7500.5</v>
      </c>
      <c r="N338" s="706">
        <v>0</v>
      </c>
      <c r="O338" s="706">
        <v>0</v>
      </c>
      <c r="P338" s="706">
        <v>0</v>
      </c>
      <c r="Q338" s="706">
        <v>0</v>
      </c>
      <c r="R338" s="706">
        <v>0</v>
      </c>
      <c r="S338" s="706">
        <v>1071.5</v>
      </c>
      <c r="T338" s="706">
        <v>1071.5</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G0916</v>
      </c>
      <c r="AK338" s="905" t="str">
        <f t="shared" si="31"/>
        <v>AMORT. EQUIPEMENT-PCES</v>
      </c>
      <c r="AL338" s="905">
        <f>IFERROR(INDEX(G338:R338,1,MATCH(Parametres!$B$3,G$1:R$1,0)-1)*IF(OR(F338="L",F338="S",F338="I"),-1,1),"")</f>
        <v>5357.5</v>
      </c>
      <c r="AM338" s="905">
        <f t="shared" si="32"/>
        <v>1071.5</v>
      </c>
      <c r="AN338" s="905">
        <f>INDEX(G338:R338,1,MATCH(Parametres!$B$3,G$1:R$1,0))*IF(OR(F338="L",F338="S",F338="I"),-1,1)</f>
        <v>6429</v>
      </c>
      <c r="AO338" s="487" t="str">
        <f>+VLOOKUP($AJ338,Data_Validation!$A:$D,1,0)</f>
        <v>G0916</v>
      </c>
      <c r="AP338" s="487" t="str">
        <f>+VLOOKUP($AJ338,Data_Validation!$A:$D,3,0)</f>
        <v>Pièces</v>
      </c>
      <c r="AQ338" s="487" t="str">
        <f>+VLOOKUP($AJ338,Data_Validation!$A:$D,4,0)</f>
        <v>Amortissement</v>
      </c>
      <c r="AR338" s="487" t="s">
        <v>299</v>
      </c>
      <c r="AS338" s="487">
        <f>+VLOOKUP($AJ338,Data_Validation!$A:$E,5,0)</f>
        <v>0</v>
      </c>
      <c r="AT338" s="904" t="str">
        <f t="shared" si="33"/>
        <v>G0916</v>
      </c>
      <c r="AU338" s="488" t="str">
        <f t="shared" si="34"/>
        <v>AMORT. EQUIPEMENT-PCES</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customHeight="1">
      <c r="A339" s="706" t="s">
        <v>1148</v>
      </c>
      <c r="B339" s="706">
        <v>2026</v>
      </c>
      <c r="C339" s="706" t="s">
        <v>1775</v>
      </c>
      <c r="D339" s="706" t="s">
        <v>1776</v>
      </c>
      <c r="E339" s="706" t="s">
        <v>333</v>
      </c>
      <c r="F339" s="706" t="s">
        <v>1104</v>
      </c>
      <c r="G339" s="706">
        <v>0</v>
      </c>
      <c r="H339" s="706">
        <v>0</v>
      </c>
      <c r="I339" s="706">
        <v>0</v>
      </c>
      <c r="J339" s="706">
        <v>0</v>
      </c>
      <c r="K339" s="706">
        <v>0</v>
      </c>
      <c r="L339" s="706">
        <v>0</v>
      </c>
      <c r="M339" s="706">
        <v>0</v>
      </c>
      <c r="N339" s="706">
        <v>0</v>
      </c>
      <c r="O339" s="706">
        <v>0</v>
      </c>
      <c r="P339" s="706">
        <v>0</v>
      </c>
      <c r="Q339" s="706">
        <v>0</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G0920</v>
      </c>
      <c r="AK339" s="905" t="str">
        <f t="shared" si="31"/>
        <v>LOCATION EQUIP REP.</v>
      </c>
      <c r="AL339" s="905">
        <f>IFERROR(INDEX(G339:R339,1,MATCH(Parametres!$B$3,G$1:R$1,0)-1)*IF(OR(F339="L",F339="S",F339="I"),-1,1),"")</f>
        <v>0</v>
      </c>
      <c r="AM339" s="905">
        <f t="shared" si="32"/>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t="str">
        <f t="shared" si="33"/>
        <v>G0920</v>
      </c>
      <c r="AU339" s="488" t="str">
        <f t="shared" si="34"/>
        <v>LOCATION EQUIP REP.</v>
      </c>
      <c r="AV339" s="899">
        <f>IFERROR(INDEX(V339:AG339,1,MATCH(Parametres!$B$3,V$1:AG$1,0)-1)*IF(OR(C339="L",C339="S",C339="I"),-1,1),"")</f>
        <v>0</v>
      </c>
      <c r="AW339" s="899">
        <f t="shared" si="35"/>
        <v>0</v>
      </c>
      <c r="AX339" s="899">
        <f>INDEX(V339:AG339,1,MATCH(Parametres!$B$3,V$1:AG$1,0))*IF(OR(C339="L",C339="S",C339="I"),-1,1)</f>
        <v>0</v>
      </c>
      <c r="AY339" s="487" t="s">
        <v>337</v>
      </c>
      <c r="AZ339" s="487" t="e">
        <f>+VLOOKUP($AJ339,Data_Validation!$A:$E,5,0)</f>
        <v>#N/A</v>
      </c>
    </row>
    <row r="340" spans="1:52" ht="15" customHeight="1">
      <c r="A340" s="706" t="s">
        <v>1148</v>
      </c>
      <c r="B340" s="706">
        <v>2026</v>
      </c>
      <c r="C340" s="706" t="s">
        <v>1777</v>
      </c>
      <c r="D340" s="706" t="s">
        <v>1778</v>
      </c>
      <c r="E340" s="706" t="s">
        <v>333</v>
      </c>
      <c r="F340" s="706" t="s">
        <v>1104</v>
      </c>
      <c r="G340" s="706">
        <v>59.98</v>
      </c>
      <c r="H340" s="706">
        <v>119.96</v>
      </c>
      <c r="I340" s="706">
        <v>179.94</v>
      </c>
      <c r="J340" s="706">
        <v>256.91000000000003</v>
      </c>
      <c r="K340" s="706">
        <v>386.18</v>
      </c>
      <c r="L340" s="706">
        <v>515.45000000000005</v>
      </c>
      <c r="M340" s="706">
        <v>515.45000000000005</v>
      </c>
      <c r="N340" s="706">
        <v>0</v>
      </c>
      <c r="O340" s="706">
        <v>0</v>
      </c>
      <c r="P340" s="706">
        <v>0</v>
      </c>
      <c r="Q340" s="706">
        <v>0</v>
      </c>
      <c r="R340" s="706">
        <v>0</v>
      </c>
      <c r="S340" s="706">
        <v>85.91</v>
      </c>
      <c r="T340" s="706">
        <v>85.91</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G0921</v>
      </c>
      <c r="AK340" s="905" t="str">
        <f t="shared" si="31"/>
        <v>LOCATION EQUIPEM.-NEUF</v>
      </c>
      <c r="AL340" s="905">
        <f>IFERROR(INDEX(G340:R340,1,MATCH(Parametres!$B$3,G$1:R$1,0)-1)*IF(OR(F340="L",F340="S",F340="I"),-1,1),"")</f>
        <v>386.18</v>
      </c>
      <c r="AM340" s="905">
        <f t="shared" si="32"/>
        <v>129.27000000000004</v>
      </c>
      <c r="AN340" s="905">
        <f>INDEX(G340:R340,1,MATCH(Parametres!$B$3,G$1:R$1,0))*IF(OR(F340="L",F340="S",F340="I"),-1,1)</f>
        <v>515.45000000000005</v>
      </c>
      <c r="AO340" s="487" t="str">
        <f>+VLOOKUP($AJ340,Data_Validation!$A:$D,1,0)</f>
        <v>G0921</v>
      </c>
      <c r="AP340" s="487" t="str">
        <f>+VLOOKUP($AJ340,Data_Validation!$A:$D,3,0)</f>
        <v>Véhicules neufs</v>
      </c>
      <c r="AQ340" s="487" t="str">
        <f>+VLOOKUP($AJ340,Data_Validation!$A:$D,4,0)</f>
        <v>Location équipement</v>
      </c>
      <c r="AR340" s="487" t="s">
        <v>299</v>
      </c>
      <c r="AS340" s="487">
        <f>+VLOOKUP($AJ340,Data_Validation!$A:$E,5,0)</f>
        <v>0</v>
      </c>
      <c r="AT340" s="904" t="str">
        <f t="shared" si="33"/>
        <v>G0921</v>
      </c>
      <c r="AU340" s="488" t="str">
        <f t="shared" si="34"/>
        <v>LOCATION EQUIPEM.-NEUF</v>
      </c>
      <c r="AV340" s="899">
        <f>IFERROR(INDEX(V340:AG340,1,MATCH(Parametres!$B$3,V$1:AG$1,0)-1)*IF(OR(C340="L",C340="S",C340="I"),-1,1),"")</f>
        <v>0</v>
      </c>
      <c r="AW340" s="899">
        <f t="shared" si="35"/>
        <v>0</v>
      </c>
      <c r="AX340" s="899">
        <f>INDEX(V340:AG340,1,MATCH(Parametres!$B$3,V$1:AG$1,0))*IF(OR(C340="L",C340="S",C340="I"),-1,1)</f>
        <v>0</v>
      </c>
      <c r="AY340" s="487" t="s">
        <v>337</v>
      </c>
      <c r="AZ340" s="487">
        <f>+VLOOKUP($AJ340,Data_Validation!$A:$E,5,0)</f>
        <v>0</v>
      </c>
    </row>
    <row r="341" spans="1:52" ht="15" customHeight="1">
      <c r="A341" s="706" t="s">
        <v>1148</v>
      </c>
      <c r="B341" s="706">
        <v>2026</v>
      </c>
      <c r="C341" s="706" t="s">
        <v>1779</v>
      </c>
      <c r="D341" s="706" t="s">
        <v>1780</v>
      </c>
      <c r="E341" s="706" t="s">
        <v>333</v>
      </c>
      <c r="F341" s="706" t="s">
        <v>1104</v>
      </c>
      <c r="G341" s="706">
        <v>37.49</v>
      </c>
      <c r="H341" s="706">
        <v>74.98</v>
      </c>
      <c r="I341" s="706">
        <v>112.47</v>
      </c>
      <c r="J341" s="706">
        <v>149.96</v>
      </c>
      <c r="K341" s="706">
        <v>233.64</v>
      </c>
      <c r="L341" s="706">
        <v>317.32</v>
      </c>
      <c r="M341" s="706">
        <v>317.32</v>
      </c>
      <c r="N341" s="706">
        <v>0</v>
      </c>
      <c r="O341" s="706">
        <v>0</v>
      </c>
      <c r="P341" s="706">
        <v>0</v>
      </c>
      <c r="Q341" s="706">
        <v>0</v>
      </c>
      <c r="R341" s="706">
        <v>0</v>
      </c>
      <c r="S341" s="706">
        <v>52.89</v>
      </c>
      <c r="T341" s="706">
        <v>52.89</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G0922</v>
      </c>
      <c r="AK341" s="905" t="str">
        <f t="shared" si="31"/>
        <v>LOCATION EQUIPEM.-USAGES</v>
      </c>
      <c r="AL341" s="905">
        <f>IFERROR(INDEX(G341:R341,1,MATCH(Parametres!$B$3,G$1:R$1,0)-1)*IF(OR(F341="L",F341="S",F341="I"),-1,1),"")</f>
        <v>233.64</v>
      </c>
      <c r="AM341" s="905">
        <f t="shared" si="32"/>
        <v>83.68</v>
      </c>
      <c r="AN341" s="905">
        <f>INDEX(G341:R341,1,MATCH(Parametres!$B$3,G$1:R$1,0))*IF(OR(F341="L",F341="S",F341="I"),-1,1)</f>
        <v>317.32</v>
      </c>
      <c r="AO341" s="487" t="str">
        <f>+VLOOKUP($AJ341,Data_Validation!$A:$D,1,0)</f>
        <v>G0922</v>
      </c>
      <c r="AP341" s="487" t="str">
        <f>+VLOOKUP($AJ341,Data_Validation!$A:$D,3,0)</f>
        <v>Véhicules usagés</v>
      </c>
      <c r="AQ341" s="487" t="str">
        <f>+VLOOKUP($AJ341,Data_Validation!$A:$D,4,0)</f>
        <v>Location équipement</v>
      </c>
      <c r="AR341" s="487" t="s">
        <v>299</v>
      </c>
      <c r="AS341" s="487">
        <f>+VLOOKUP($AJ341,Data_Validation!$A:$E,5,0)</f>
        <v>0</v>
      </c>
      <c r="AT341" s="904" t="str">
        <f t="shared" si="33"/>
        <v>G0922</v>
      </c>
      <c r="AU341" s="488" t="str">
        <f t="shared" si="34"/>
        <v>LOCATION EQUIPEM.-USAGES</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customHeight="1">
      <c r="A342" s="706" t="s">
        <v>1148</v>
      </c>
      <c r="B342" s="706">
        <v>2026</v>
      </c>
      <c r="C342" s="706" t="s">
        <v>1781</v>
      </c>
      <c r="D342" s="706" t="s">
        <v>1782</v>
      </c>
      <c r="E342" s="706" t="s">
        <v>333</v>
      </c>
      <c r="F342" s="706" t="s">
        <v>1104</v>
      </c>
      <c r="G342" s="706">
        <v>1093.99</v>
      </c>
      <c r="H342" s="706">
        <v>1649.26</v>
      </c>
      <c r="I342" s="706">
        <v>2184.65</v>
      </c>
      <c r="J342" s="706">
        <v>2720.04</v>
      </c>
      <c r="K342" s="706">
        <v>3324.71</v>
      </c>
      <c r="L342" s="706">
        <v>3423.99</v>
      </c>
      <c r="M342" s="706">
        <v>4864.7</v>
      </c>
      <c r="N342" s="706">
        <v>0</v>
      </c>
      <c r="O342" s="706">
        <v>0</v>
      </c>
      <c r="P342" s="706">
        <v>0</v>
      </c>
      <c r="Q342" s="706">
        <v>0</v>
      </c>
      <c r="R342" s="706">
        <v>0</v>
      </c>
      <c r="S342" s="706">
        <v>570.66999999999996</v>
      </c>
      <c r="T342" s="706">
        <v>570.66999999999996</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G0924</v>
      </c>
      <c r="AK342" s="905" t="str">
        <f t="shared" si="31"/>
        <v>LOCATION EQUIPEM.-SERVICE</v>
      </c>
      <c r="AL342" s="905">
        <f>IFERROR(INDEX(G342:R342,1,MATCH(Parametres!$B$3,G$1:R$1,0)-1)*IF(OR(F342="L",F342="S",F342="I"),-1,1),"")</f>
        <v>3324.71</v>
      </c>
      <c r="AM342" s="905">
        <f t="shared" si="32"/>
        <v>99.279999999999745</v>
      </c>
      <c r="AN342" s="905">
        <f>INDEX(G342:R342,1,MATCH(Parametres!$B$3,G$1:R$1,0))*IF(OR(F342="L",F342="S",F342="I"),-1,1)</f>
        <v>3423.99</v>
      </c>
      <c r="AO342" s="487" t="str">
        <f>+VLOOKUP($AJ342,Data_Validation!$A:$D,1,0)</f>
        <v>G0924</v>
      </c>
      <c r="AP342" s="487" t="str">
        <f>+VLOOKUP($AJ342,Data_Validation!$A:$D,3,0)</f>
        <v>Service</v>
      </c>
      <c r="AQ342" s="487" t="str">
        <f>+VLOOKUP($AJ342,Data_Validation!$A:$D,4,0)</f>
        <v>Location équipement</v>
      </c>
      <c r="AR342" s="487" t="s">
        <v>299</v>
      </c>
      <c r="AS342" s="487">
        <f>+VLOOKUP($AJ342,Data_Validation!$A:$E,5,0)</f>
        <v>0</v>
      </c>
      <c r="AT342" s="904" t="str">
        <f t="shared" si="33"/>
        <v>G0924</v>
      </c>
      <c r="AU342" s="488" t="str">
        <f t="shared" si="34"/>
        <v>LOCATION EQUIPEM.-SERVICE</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customHeight="1">
      <c r="A343" s="706" t="s">
        <v>1148</v>
      </c>
      <c r="B343" s="706">
        <v>2026</v>
      </c>
      <c r="C343" s="706" t="s">
        <v>1783</v>
      </c>
      <c r="D343" s="706" t="s">
        <v>1784</v>
      </c>
      <c r="E343" s="706" t="s">
        <v>333</v>
      </c>
      <c r="F343" s="706" t="s">
        <v>1104</v>
      </c>
      <c r="G343" s="706">
        <v>7.5</v>
      </c>
      <c r="H343" s="706">
        <v>15</v>
      </c>
      <c r="I343" s="706">
        <v>22.5</v>
      </c>
      <c r="J343" s="706">
        <v>30</v>
      </c>
      <c r="K343" s="706">
        <v>60.6</v>
      </c>
      <c r="L343" s="706">
        <v>91.2</v>
      </c>
      <c r="M343" s="706">
        <v>355.2</v>
      </c>
      <c r="N343" s="706">
        <v>0</v>
      </c>
      <c r="O343" s="706">
        <v>0</v>
      </c>
      <c r="P343" s="706">
        <v>0</v>
      </c>
      <c r="Q343" s="706">
        <v>0</v>
      </c>
      <c r="R343" s="706">
        <v>0</v>
      </c>
      <c r="S343" s="706">
        <v>15.2</v>
      </c>
      <c r="T343" s="706">
        <v>15.2</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G0925</v>
      </c>
      <c r="AK343" s="905" t="str">
        <f t="shared" si="31"/>
        <v>LOCATION EQUIPEM.-CARROS.</v>
      </c>
      <c r="AL343" s="905">
        <f>IFERROR(INDEX(G343:R343,1,MATCH(Parametres!$B$3,G$1:R$1,0)-1)*IF(OR(F343="L",F343="S",F343="I"),-1,1),"")</f>
        <v>60.6</v>
      </c>
      <c r="AM343" s="905">
        <f t="shared" si="32"/>
        <v>30.6</v>
      </c>
      <c r="AN343" s="905">
        <f>INDEX(G343:R343,1,MATCH(Parametres!$B$3,G$1:R$1,0))*IF(OR(F343="L",F343="S",F343="I"),-1,1)</f>
        <v>91.2</v>
      </c>
      <c r="AO343" s="487" t="str">
        <f>+VLOOKUP($AJ343,Data_Validation!$A:$D,1,0)</f>
        <v>G0925</v>
      </c>
      <c r="AP343" s="487" t="str">
        <f>+VLOOKUP($AJ343,Data_Validation!$A:$D,3,0)</f>
        <v>Carrosserie</v>
      </c>
      <c r="AQ343" s="487" t="str">
        <f>+VLOOKUP($AJ343,Data_Validation!$A:$D,4,0)</f>
        <v>Location équipement</v>
      </c>
      <c r="AR343" s="487" t="s">
        <v>299</v>
      </c>
      <c r="AS343" s="487">
        <f>+VLOOKUP($AJ343,Data_Validation!$A:$E,5,0)</f>
        <v>0</v>
      </c>
      <c r="AT343" s="904" t="str">
        <f t="shared" si="33"/>
        <v>G0925</v>
      </c>
      <c r="AU343" s="488" t="str">
        <f t="shared" si="34"/>
        <v>LOCATION EQUIPEM.-CARROS.</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customHeight="1">
      <c r="A344" s="706" t="s">
        <v>1148</v>
      </c>
      <c r="B344" s="706">
        <v>2026</v>
      </c>
      <c r="C344" s="706" t="s">
        <v>1785</v>
      </c>
      <c r="D344" s="706" t="s">
        <v>1786</v>
      </c>
      <c r="E344" s="706" t="s">
        <v>333</v>
      </c>
      <c r="F344" s="706" t="s">
        <v>1104</v>
      </c>
      <c r="G344" s="706">
        <v>23.24</v>
      </c>
      <c r="H344" s="706">
        <v>46.48</v>
      </c>
      <c r="I344" s="706">
        <v>69.72</v>
      </c>
      <c r="J344" s="706">
        <v>92.96</v>
      </c>
      <c r="K344" s="706">
        <v>139.28</v>
      </c>
      <c r="L344" s="706">
        <v>185.6</v>
      </c>
      <c r="M344" s="706">
        <v>185.6</v>
      </c>
      <c r="N344" s="706">
        <v>0</v>
      </c>
      <c r="O344" s="706">
        <v>0</v>
      </c>
      <c r="P344" s="706">
        <v>0</v>
      </c>
      <c r="Q344" s="706">
        <v>0</v>
      </c>
      <c r="R344" s="706">
        <v>0</v>
      </c>
      <c r="S344" s="706">
        <v>30.93</v>
      </c>
      <c r="T344" s="706">
        <v>30.93</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G0926</v>
      </c>
      <c r="AK344" s="905" t="str">
        <f t="shared" si="31"/>
        <v>LOCATION EQUIPEM.-PCES</v>
      </c>
      <c r="AL344" s="905">
        <f>IFERROR(INDEX(G344:R344,1,MATCH(Parametres!$B$3,G$1:R$1,0)-1)*IF(OR(F344="L",F344="S",F344="I"),-1,1),"")</f>
        <v>139.28</v>
      </c>
      <c r="AM344" s="905">
        <f t="shared" si="32"/>
        <v>46.319999999999993</v>
      </c>
      <c r="AN344" s="905">
        <f>INDEX(G344:R344,1,MATCH(Parametres!$B$3,G$1:R$1,0))*IF(OR(F344="L",F344="S",F344="I"),-1,1)</f>
        <v>185.6</v>
      </c>
      <c r="AO344" s="487" t="str">
        <f>+VLOOKUP($AJ344,Data_Validation!$A:$D,1,0)</f>
        <v>G0926</v>
      </c>
      <c r="AP344" s="487" t="str">
        <f>+VLOOKUP($AJ344,Data_Validation!$A:$D,3,0)</f>
        <v>Pièces</v>
      </c>
      <c r="AQ344" s="487" t="str">
        <f>+VLOOKUP($AJ344,Data_Validation!$A:$D,4,0)</f>
        <v>Location équipement</v>
      </c>
      <c r="AR344" s="487" t="s">
        <v>299</v>
      </c>
      <c r="AS344" s="487">
        <f>+VLOOKUP($AJ344,Data_Validation!$A:$E,5,0)</f>
        <v>0</v>
      </c>
      <c r="AT344" s="904" t="str">
        <f t="shared" si="33"/>
        <v>G0926</v>
      </c>
      <c r="AU344" s="488" t="str">
        <f t="shared" si="34"/>
        <v>LOCATION EQUIPEM.-PCES</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customHeight="1">
      <c r="A345" s="706" t="s">
        <v>1148</v>
      </c>
      <c r="B345" s="706">
        <v>2026</v>
      </c>
      <c r="C345" s="706" t="s">
        <v>1787</v>
      </c>
      <c r="D345" s="706" t="s">
        <v>1155</v>
      </c>
      <c r="E345" s="706" t="s">
        <v>333</v>
      </c>
      <c r="F345" s="706" t="s">
        <v>1104</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G0929</v>
      </c>
      <c r="AK345" s="905" t="str">
        <f t="shared" si="31"/>
        <v>DOCUMENTS CANCELLES</v>
      </c>
      <c r="AL345" s="905">
        <f>IFERROR(INDEX(G345:R345,1,MATCH(Parametres!$B$3,G$1:R$1,0)-1)*IF(OR(F345="L",F345="S",F345="I"),-1,1),"")</f>
        <v>0</v>
      </c>
      <c r="AM345" s="905">
        <f t="shared" si="32"/>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t="str">
        <f t="shared" si="33"/>
        <v>G0929</v>
      </c>
      <c r="AU345" s="488" t="str">
        <f t="shared" si="34"/>
        <v>DOCUMENTS CANCELLES</v>
      </c>
      <c r="AV345" s="899">
        <f>IFERROR(INDEX(V345:AG345,1,MATCH(Parametres!$B$3,V$1:AG$1,0)-1)*IF(OR(C345="L",C345="S",C345="I"),-1,1),"")</f>
        <v>0</v>
      </c>
      <c r="AW345" s="899">
        <f t="shared" si="35"/>
        <v>0</v>
      </c>
      <c r="AX345" s="899">
        <f>INDEX(V345:AG345,1,MATCH(Parametres!$B$3,V$1:AG$1,0))*IF(OR(C345="L",C345="S",C345="I"),-1,1)</f>
        <v>0</v>
      </c>
      <c r="AY345" s="487" t="s">
        <v>337</v>
      </c>
      <c r="AZ345" s="487" t="e">
        <f>+VLOOKUP($AJ345,Data_Validation!$A:$E,5,0)</f>
        <v>#N/A</v>
      </c>
    </row>
    <row r="346" spans="1:52" ht="15" customHeight="1">
      <c r="A346" s="706" t="s">
        <v>1148</v>
      </c>
      <c r="B346" s="706">
        <v>2026</v>
      </c>
      <c r="C346" s="706" t="s">
        <v>1788</v>
      </c>
      <c r="D346" s="706" t="s">
        <v>1789</v>
      </c>
      <c r="E346" s="706" t="s">
        <v>333</v>
      </c>
      <c r="F346" s="706" t="s">
        <v>1104</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G0996</v>
      </c>
      <c r="AK346" s="905" t="str">
        <f t="shared" si="31"/>
        <v>IN &amp; OUT PAYROLL</v>
      </c>
      <c r="AL346" s="905">
        <f>IFERROR(INDEX(G346:R346,1,MATCH(Parametres!$B$3,G$1:R$1,0)-1)*IF(OR(F346="L",F346="S",F346="I"),-1,1),"")</f>
        <v>0</v>
      </c>
      <c r="AM346" s="905">
        <f t="shared" si="32"/>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G0996</v>
      </c>
      <c r="AU346" s="488" t="str">
        <f t="shared" si="34"/>
        <v>IN &amp; OUT PAYROLL</v>
      </c>
      <c r="AV346" s="899">
        <f>IFERROR(INDEX(V346:AG346,1,MATCH(Parametres!$B$3,V$1:AG$1,0)-1)*IF(OR(C346="L",C346="S",C346="I"),-1,1),"")</f>
        <v>0</v>
      </c>
      <c r="AW346" s="899">
        <f t="shared" si="35"/>
        <v>0</v>
      </c>
      <c r="AX346" s="899">
        <f>INDEX(V346:AG346,1,MATCH(Parametres!$B$3,V$1:AG$1,0))*IF(OR(C346="L",C346="S",C346="I"),-1,1)</f>
        <v>0</v>
      </c>
      <c r="AY346" s="487" t="s">
        <v>337</v>
      </c>
      <c r="AZ346" s="487" t="e">
        <f>+VLOOKUP($AJ346,Data_Validation!$A:$E,5,0)</f>
        <v>#N/A</v>
      </c>
    </row>
    <row r="347" spans="1:52" ht="15.75" customHeight="1">
      <c r="A347" s="706" t="s">
        <v>1148</v>
      </c>
      <c r="B347" s="706">
        <v>2026</v>
      </c>
      <c r="C347" s="706" t="s">
        <v>1790</v>
      </c>
      <c r="D347" s="706" t="s">
        <v>1140</v>
      </c>
      <c r="E347" s="706" t="s">
        <v>333</v>
      </c>
      <c r="F347" s="706" t="s">
        <v>1136</v>
      </c>
      <c r="G347" s="706">
        <v>0</v>
      </c>
      <c r="H347" s="706">
        <v>0</v>
      </c>
      <c r="I347" s="706">
        <v>0</v>
      </c>
      <c r="J347" s="706">
        <v>0</v>
      </c>
      <c r="K347" s="706">
        <v>0</v>
      </c>
      <c r="L347" s="706">
        <v>0</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G1100</v>
      </c>
      <c r="AK347" s="905" t="str">
        <f t="shared" si="31"/>
        <v>VENTES AU COMPTANT</v>
      </c>
      <c r="AL347" s="905">
        <f>IFERROR(INDEX(G347:R347,1,MATCH(Parametres!$B$3,G$1:R$1,0)-1)*IF(OR(F347="L",F347="S",F347="I"),-1,1),"")</f>
        <v>0</v>
      </c>
      <c r="AM347" s="905">
        <f t="shared" si="32"/>
        <v>0</v>
      </c>
      <c r="AN347" s="905">
        <f>INDEX(G347:R347,1,MATCH(Parametres!$B$3,G$1:R$1,0))*IF(OR(F347="L",F347="S",F347="I"),-1,1)</f>
        <v>0</v>
      </c>
      <c r="AO347" s="487" t="str">
        <f>+VLOOKUP($AJ347,Data_Validation!$A:$D,1,0)</f>
        <v>G1100</v>
      </c>
      <c r="AP347" s="487">
        <f>+VLOOKUP($AJ347,Data_Validation!$A:$D,3,0)</f>
        <v>0</v>
      </c>
      <c r="AQ347" s="487">
        <f>+VLOOKUP($AJ347,Data_Validation!$A:$D,4,0)</f>
        <v>0</v>
      </c>
      <c r="AR347" s="487" t="s">
        <v>299</v>
      </c>
      <c r="AS347" s="487">
        <f>+VLOOKUP($AJ347,Data_Validation!$A:$E,5,0)</f>
        <v>0</v>
      </c>
      <c r="AT347" s="904" t="str">
        <f t="shared" si="33"/>
        <v>G1100</v>
      </c>
      <c r="AU347" s="488" t="str">
        <f t="shared" si="34"/>
        <v>VENTES AU COMPTANT</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customHeight="1">
      <c r="A348" s="706" t="s">
        <v>1148</v>
      </c>
      <c r="B348" s="706">
        <v>2026</v>
      </c>
      <c r="C348" s="706" t="s">
        <v>1791</v>
      </c>
      <c r="D348" s="706" t="s">
        <v>644</v>
      </c>
      <c r="E348" s="706" t="s">
        <v>333</v>
      </c>
      <c r="F348" s="706" t="s">
        <v>1136</v>
      </c>
      <c r="G348" s="706">
        <v>3100</v>
      </c>
      <c r="H348" s="706">
        <v>3100</v>
      </c>
      <c r="I348" s="706">
        <v>3100</v>
      </c>
      <c r="J348" s="706">
        <v>3100</v>
      </c>
      <c r="K348" s="706">
        <v>3100</v>
      </c>
      <c r="L348" s="706">
        <v>3100</v>
      </c>
      <c r="M348" s="706">
        <v>3100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G20000</v>
      </c>
      <c r="AK348" s="905" t="str">
        <f t="shared" si="31"/>
        <v>PETITE CAISSE</v>
      </c>
      <c r="AL348" s="905">
        <f>IFERROR(INDEX(G348:R348,1,MATCH(Parametres!$B$3,G$1:R$1,0)-1)*IF(OR(F348="L",F348="S",F348="I"),-1,1),"")</f>
        <v>3100</v>
      </c>
      <c r="AM348" s="905">
        <f t="shared" si="32"/>
        <v>0</v>
      </c>
      <c r="AN348" s="905">
        <f>INDEX(G348:R348,1,MATCH(Parametres!$B$3,G$1:R$1,0))*IF(OR(F348="L",F348="S",F348="I"),-1,1)</f>
        <v>3100</v>
      </c>
      <c r="AO348" s="487" t="str">
        <f>+VLOOKUP($AJ348,Data_Validation!$A:$D,1,0)</f>
        <v>G20000</v>
      </c>
      <c r="AP348" s="487" t="str">
        <f>+VLOOKUP($AJ348,Data_Validation!$A:$D,3,0)</f>
        <v>Bilan</v>
      </c>
      <c r="AQ348" s="487" t="str">
        <f>+VLOOKUP($AJ348,Data_Validation!$A:$D,4,0)</f>
        <v>Encaisse</v>
      </c>
      <c r="AR348" s="487" t="s">
        <v>299</v>
      </c>
      <c r="AS348" s="487">
        <f>+VLOOKUP($AJ348,Data_Validation!$A:$E,5,0)</f>
        <v>0</v>
      </c>
      <c r="AT348" s="904" t="str">
        <f t="shared" si="33"/>
        <v>G20000</v>
      </c>
      <c r="AU348" s="488" t="str">
        <f t="shared" si="34"/>
        <v>PETITE CAISSE</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customHeight="1">
      <c r="A349" s="706" t="s">
        <v>1148</v>
      </c>
      <c r="B349" s="706">
        <v>2026</v>
      </c>
      <c r="C349" s="706" t="s">
        <v>1792</v>
      </c>
      <c r="D349" s="706" t="s">
        <v>1793</v>
      </c>
      <c r="E349" s="706" t="s">
        <v>1137</v>
      </c>
      <c r="F349" s="706" t="s">
        <v>1136</v>
      </c>
      <c r="G349" s="706">
        <v>0</v>
      </c>
      <c r="H349" s="706">
        <v>0</v>
      </c>
      <c r="I349" s="706">
        <v>0</v>
      </c>
      <c r="J349" s="706">
        <v>0</v>
      </c>
      <c r="K349" s="706">
        <v>0</v>
      </c>
      <c r="L349" s="706">
        <v>0</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G20001</v>
      </c>
      <c r="AK349" s="905" t="str">
        <f t="shared" si="31"/>
        <v>FUSION PAIE/COMMISSIONS</v>
      </c>
      <c r="AL349" s="905">
        <f>IFERROR(INDEX(G349:R349,1,MATCH(Parametres!$B$3,G$1:R$1,0)-1)*IF(OR(F349="L",F349="S",F349="I"),-1,1),"")</f>
        <v>0</v>
      </c>
      <c r="AM349" s="905">
        <f t="shared" si="32"/>
        <v>0</v>
      </c>
      <c r="AN349" s="905">
        <f>INDEX(G349:R349,1,MATCH(Parametres!$B$3,G$1:R$1,0))*IF(OR(F349="L",F349="S",F349="I"),-1,1)</f>
        <v>0</v>
      </c>
      <c r="AO349" s="487" t="str">
        <f>+VLOOKUP($AJ349,Data_Validation!$A:$D,1,0)</f>
        <v>G20001</v>
      </c>
      <c r="AP349" s="487" t="str">
        <f>+VLOOKUP($AJ349,Data_Validation!$A:$D,3,0)</f>
        <v>Bilan</v>
      </c>
      <c r="AQ349" s="487" t="str">
        <f>+VLOOKUP($AJ349,Data_Validation!$A:$D,4,0)</f>
        <v>Salaires à Payer</v>
      </c>
      <c r="AR349" s="487" t="s">
        <v>299</v>
      </c>
      <c r="AS349" s="487">
        <f>+VLOOKUP($AJ349,Data_Validation!$A:$E,5,0)</f>
        <v>0</v>
      </c>
      <c r="AT349" s="904" t="str">
        <f t="shared" si="33"/>
        <v>G20001</v>
      </c>
      <c r="AU349" s="488" t="str">
        <f t="shared" si="34"/>
        <v>FUSION PAIE/COMMISSIONS</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customHeight="1">
      <c r="A350" s="706" t="s">
        <v>1148</v>
      </c>
      <c r="B350" s="706">
        <v>2026</v>
      </c>
      <c r="C350" s="706" t="s">
        <v>1794</v>
      </c>
      <c r="D350" s="706" t="s">
        <v>1795</v>
      </c>
      <c r="E350" s="706" t="s">
        <v>1137</v>
      </c>
      <c r="F350" s="706" t="s">
        <v>1136</v>
      </c>
      <c r="G350" s="706">
        <v>0</v>
      </c>
      <c r="H350" s="706">
        <v>0</v>
      </c>
      <c r="I350" s="706">
        <v>0</v>
      </c>
      <c r="J350" s="706">
        <v>0</v>
      </c>
      <c r="K350" s="706">
        <v>0</v>
      </c>
      <c r="L350" s="706">
        <v>0</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G20100</v>
      </c>
      <c r="AK350" s="905" t="str">
        <f t="shared" si="31"/>
        <v>DESJARDINS CTE</v>
      </c>
      <c r="AL350" s="905">
        <f>IFERROR(INDEX(G350:R350,1,MATCH(Parametres!$B$3,G$1:R$1,0)-1)*IF(OR(F350="L",F350="S",F350="I"),-1,1),"")</f>
        <v>0</v>
      </c>
      <c r="AM350" s="905">
        <f t="shared" si="32"/>
        <v>0</v>
      </c>
      <c r="AN350" s="905">
        <f>INDEX(G350:R350,1,MATCH(Parametres!$B$3,G$1:R$1,0))*IF(OR(F350="L",F350="S",F350="I"),-1,1)</f>
        <v>0</v>
      </c>
      <c r="AO350" s="487" t="str">
        <f>+VLOOKUP($AJ350,Data_Validation!$A:$D,1,0)</f>
        <v>G20100</v>
      </c>
      <c r="AP350" s="487" t="str">
        <f>+VLOOKUP($AJ350,Data_Validation!$A:$D,3,0)</f>
        <v>Bilan</v>
      </c>
      <c r="AQ350" s="487" t="str">
        <f>+VLOOKUP($AJ350,Data_Validation!$A:$D,4,0)</f>
        <v>Encaisse</v>
      </c>
      <c r="AR350" s="487" t="s">
        <v>299</v>
      </c>
      <c r="AS350" s="487">
        <f>+VLOOKUP($AJ350,Data_Validation!$A:$E,5,0)</f>
        <v>0</v>
      </c>
      <c r="AT350" s="904" t="str">
        <f t="shared" si="33"/>
        <v>G20100</v>
      </c>
      <c r="AU350" s="488" t="str">
        <f t="shared" si="34"/>
        <v>DESJARDINS CTE</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customHeight="1">
      <c r="A351" s="706" t="s">
        <v>1148</v>
      </c>
      <c r="B351" s="706">
        <v>2026</v>
      </c>
      <c r="C351" s="706" t="s">
        <v>1796</v>
      </c>
      <c r="D351" s="706" t="s">
        <v>1797</v>
      </c>
      <c r="E351" s="706" t="s">
        <v>1137</v>
      </c>
      <c r="F351" s="706" t="s">
        <v>1136</v>
      </c>
      <c r="G351" s="706">
        <v>0</v>
      </c>
      <c r="H351" s="706">
        <v>0</v>
      </c>
      <c r="I351" s="706">
        <v>0</v>
      </c>
      <c r="J351" s="706">
        <v>0</v>
      </c>
      <c r="K351" s="706">
        <v>0</v>
      </c>
      <c r="L351" s="706">
        <v>0</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G2020A</v>
      </c>
      <c r="AK351" s="905" t="str">
        <f t="shared" si="31"/>
        <v>BNQ NATIONALE MASTER CARD</v>
      </c>
      <c r="AL351" s="905">
        <f>IFERROR(INDEX(G351:R351,1,MATCH(Parametres!$B$3,G$1:R$1,0)-1)*IF(OR(F351="L",F351="S",F351="I"),-1,1),"")</f>
        <v>0</v>
      </c>
      <c r="AM351" s="905">
        <f t="shared" si="32"/>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t="str">
        <f t="shared" si="33"/>
        <v>G2020A</v>
      </c>
      <c r="AU351" s="488" t="str">
        <f t="shared" si="34"/>
        <v>BNQ NATIONALE MASTER CARD</v>
      </c>
      <c r="AV351" s="899">
        <f>IFERROR(INDEX(V351:AG351,1,MATCH(Parametres!$B$3,V$1:AG$1,0)-1)*IF(OR(C351="L",C351="S",C351="I"),-1,1),"")</f>
        <v>0</v>
      </c>
      <c r="AW351" s="899">
        <f t="shared" si="35"/>
        <v>0</v>
      </c>
      <c r="AX351" s="899">
        <f>INDEX(V351:AG351,1,MATCH(Parametres!$B$3,V$1:AG$1,0))*IF(OR(C351="L",C351="S",C351="I"),-1,1)</f>
        <v>0</v>
      </c>
      <c r="AY351" s="487" t="s">
        <v>337</v>
      </c>
      <c r="AZ351" s="487" t="e">
        <f>+VLOOKUP($AJ351,Data_Validation!$A:$E,5,0)</f>
        <v>#N/A</v>
      </c>
    </row>
    <row r="352" spans="1:52" ht="15.75" customHeight="1">
      <c r="A352" s="706" t="s">
        <v>1148</v>
      </c>
      <c r="B352" s="706">
        <v>2026</v>
      </c>
      <c r="C352" s="706" t="s">
        <v>1798</v>
      </c>
      <c r="D352" s="706" t="s">
        <v>1138</v>
      </c>
      <c r="E352" s="706" t="s">
        <v>1137</v>
      </c>
      <c r="F352" s="706" t="s">
        <v>1136</v>
      </c>
      <c r="G352" s="706">
        <v>1592665.7</v>
      </c>
      <c r="H352" s="706">
        <v>150543.96</v>
      </c>
      <c r="I352" s="706">
        <v>1883842.2</v>
      </c>
      <c r="J352" s="706">
        <v>335070.37</v>
      </c>
      <c r="K352" s="706">
        <v>646270.41</v>
      </c>
      <c r="L352" s="706">
        <v>-146991.78</v>
      </c>
      <c r="M352" s="706">
        <v>790459.38</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G20200</v>
      </c>
      <c r="AK352" s="905" t="str">
        <f t="shared" si="31"/>
        <v>BANQUE TD CANADA TRUST</v>
      </c>
      <c r="AL352" s="905">
        <f>IFERROR(INDEX(G352:R352,1,MATCH(Parametres!$B$3,G$1:R$1,0)-1)*IF(OR(F352="L",F352="S",F352="I"),-1,1),"")</f>
        <v>646270.41</v>
      </c>
      <c r="AM352" s="905">
        <f t="shared" si="32"/>
        <v>-793262.19000000006</v>
      </c>
      <c r="AN352" s="905">
        <f>INDEX(G352:R352,1,MATCH(Parametres!$B$3,G$1:R$1,0))*IF(OR(F352="L",F352="S",F352="I"),-1,1)</f>
        <v>-146991.78</v>
      </c>
      <c r="AO352" s="487" t="str">
        <f>+VLOOKUP($AJ352,Data_Validation!$A:$D,1,0)</f>
        <v>G20200</v>
      </c>
      <c r="AP352" s="487" t="str">
        <f>+VLOOKUP($AJ352,Data_Validation!$A:$D,3,0)</f>
        <v>Bilan</v>
      </c>
      <c r="AQ352" s="487" t="str">
        <f>+VLOOKUP($AJ352,Data_Validation!$A:$D,4,0)</f>
        <v>Encaisse</v>
      </c>
      <c r="AR352" s="487" t="s">
        <v>299</v>
      </c>
      <c r="AS352" s="487">
        <f>+VLOOKUP($AJ352,Data_Validation!$A:$E,5,0)</f>
        <v>0</v>
      </c>
      <c r="AT352" s="904" t="str">
        <f t="shared" si="33"/>
        <v>G20200</v>
      </c>
      <c r="AU352" s="488" t="str">
        <f t="shared" si="34"/>
        <v>BANQUE TD CANADA TRUST</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customHeight="1">
      <c r="A353" s="706" t="s">
        <v>1148</v>
      </c>
      <c r="B353" s="706">
        <v>2026</v>
      </c>
      <c r="C353" s="706" t="s">
        <v>1799</v>
      </c>
      <c r="D353" s="706" t="s">
        <v>1800</v>
      </c>
      <c r="E353" s="706" t="s">
        <v>333</v>
      </c>
      <c r="F353" s="706" t="s">
        <v>1136</v>
      </c>
      <c r="G353" s="706">
        <v>0</v>
      </c>
      <c r="H353" s="706">
        <v>0</v>
      </c>
      <c r="I353" s="706">
        <v>0</v>
      </c>
      <c r="J353" s="706">
        <v>0</v>
      </c>
      <c r="K353" s="706">
        <v>0</v>
      </c>
      <c r="L353" s="706">
        <v>0</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G20201</v>
      </c>
      <c r="AK353" s="905" t="str">
        <f t="shared" si="31"/>
        <v>ENCAISSE DEPOTS CLIENTS</v>
      </c>
      <c r="AL353" s="905">
        <f>IFERROR(INDEX(G353:R353,1,MATCH(Parametres!$B$3,G$1:R$1,0)-1)*IF(OR(F353="L",F353="S",F353="I"),-1,1),"")</f>
        <v>0</v>
      </c>
      <c r="AM353" s="905">
        <f t="shared" si="32"/>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t="str">
        <f t="shared" si="33"/>
        <v>G20201</v>
      </c>
      <c r="AU353" s="488" t="str">
        <f t="shared" si="34"/>
        <v>ENCAISSE DEPOTS CLIENTS</v>
      </c>
      <c r="AV353" s="899">
        <f>IFERROR(INDEX(V353:AG353,1,MATCH(Parametres!$B$3,V$1:AG$1,0)-1)*IF(OR(C353="L",C353="S",C353="I"),-1,1),"")</f>
        <v>0</v>
      </c>
      <c r="AW353" s="899">
        <f t="shared" si="35"/>
        <v>0</v>
      </c>
      <c r="AX353" s="899">
        <f>INDEX(V353:AG353,1,MATCH(Parametres!$B$3,V$1:AG$1,0))*IF(OR(C353="L",C353="S",C353="I"),-1,1)</f>
        <v>0</v>
      </c>
      <c r="AY353" s="487" t="s">
        <v>337</v>
      </c>
      <c r="AZ353" s="487" t="e">
        <f>+VLOOKUP($AJ353,Data_Validation!$A:$E,5,0)</f>
        <v>#N/A</v>
      </c>
    </row>
    <row r="354" spans="1:52" ht="15" customHeight="1">
      <c r="A354" s="706" t="s">
        <v>1148</v>
      </c>
      <c r="B354" s="706">
        <v>2026</v>
      </c>
      <c r="C354" s="706" t="s">
        <v>1801</v>
      </c>
      <c r="D354" s="706" t="s">
        <v>1802</v>
      </c>
      <c r="E354" s="706" t="s">
        <v>333</v>
      </c>
      <c r="F354" s="706" t="s">
        <v>1136</v>
      </c>
      <c r="G354" s="706">
        <v>0</v>
      </c>
      <c r="H354" s="706">
        <v>0</v>
      </c>
      <c r="I354" s="706">
        <v>0</v>
      </c>
      <c r="J354" s="706">
        <v>0</v>
      </c>
      <c r="K354" s="706">
        <v>0</v>
      </c>
      <c r="L354" s="706">
        <v>0</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G20202</v>
      </c>
      <c r="AK354" s="905" t="str">
        <f t="shared" si="31"/>
        <v>ENCAISSE COMPTE SALAIRE</v>
      </c>
      <c r="AL354" s="905">
        <f>IFERROR(INDEX(G354:R354,1,MATCH(Parametres!$B$3,G$1:R$1,0)-1)*IF(OR(F354="L",F354="S",F354="I"),-1,1),"")</f>
        <v>0</v>
      </c>
      <c r="AM354" s="905">
        <f t="shared" si="32"/>
        <v>0</v>
      </c>
      <c r="AN354" s="905">
        <f>INDEX(G354:R354,1,MATCH(Parametres!$B$3,G$1:R$1,0))*IF(OR(F354="L",F354="S",F354="I"),-1,1)</f>
        <v>0</v>
      </c>
      <c r="AO354" s="487" t="str">
        <f>+VLOOKUP($AJ354,Data_Validation!$A:$D,1,0)</f>
        <v>G20202</v>
      </c>
      <c r="AP354" s="487">
        <f>+VLOOKUP($AJ354,Data_Validation!$A:$D,3,0)</f>
        <v>0</v>
      </c>
      <c r="AQ354" s="487">
        <f>+VLOOKUP($AJ354,Data_Validation!$A:$D,4,0)</f>
        <v>0</v>
      </c>
      <c r="AR354" s="487" t="s">
        <v>299</v>
      </c>
      <c r="AS354" s="487">
        <f>+VLOOKUP($AJ354,Data_Validation!$A:$E,5,0)</f>
        <v>0</v>
      </c>
      <c r="AT354" s="904" t="str">
        <f t="shared" si="33"/>
        <v>G20202</v>
      </c>
      <c r="AU354" s="488" t="str">
        <f t="shared" si="34"/>
        <v>ENCAISSE COMPTE SALAIRE</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customHeight="1">
      <c r="A355" s="706" t="s">
        <v>1148</v>
      </c>
      <c r="B355" s="706">
        <v>2026</v>
      </c>
      <c r="C355" s="706" t="s">
        <v>1803</v>
      </c>
      <c r="D355" s="706" t="s">
        <v>1797</v>
      </c>
      <c r="E355" s="706" t="s">
        <v>1137</v>
      </c>
      <c r="F355" s="706" t="s">
        <v>1136</v>
      </c>
      <c r="G355" s="706">
        <v>0</v>
      </c>
      <c r="H355" s="706">
        <v>0</v>
      </c>
      <c r="I355" s="706">
        <v>0</v>
      </c>
      <c r="J355" s="706">
        <v>0</v>
      </c>
      <c r="K355" s="706">
        <v>0</v>
      </c>
      <c r="L355" s="706">
        <v>0</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G2021A</v>
      </c>
      <c r="AK355" s="905" t="str">
        <f t="shared" si="31"/>
        <v>BNQ NATIONALE MASTER CARD</v>
      </c>
      <c r="AL355" s="905">
        <f>IFERROR(INDEX(G355:R355,1,MATCH(Parametres!$B$3,G$1:R$1,0)-1)*IF(OR(F355="L",F355="S",F355="I"),-1,1),"")</f>
        <v>0</v>
      </c>
      <c r="AM355" s="905">
        <f t="shared" si="32"/>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t="str">
        <f t="shared" si="33"/>
        <v>G2021A</v>
      </c>
      <c r="AU355" s="488" t="str">
        <f t="shared" si="34"/>
        <v>BNQ NATIONALE MASTER CARD</v>
      </c>
      <c r="AV355" s="899">
        <f>IFERROR(INDEX(V355:AG355,1,MATCH(Parametres!$B$3,V$1:AG$1,0)-1)*IF(OR(C355="L",C355="S",C355="I"),-1,1),"")</f>
        <v>0</v>
      </c>
      <c r="AW355" s="899">
        <f t="shared" si="35"/>
        <v>0</v>
      </c>
      <c r="AX355" s="899">
        <f>INDEX(V355:AG355,1,MATCH(Parametres!$B$3,V$1:AG$1,0))*IF(OR(C355="L",C355="S",C355="I"),-1,1)</f>
        <v>0</v>
      </c>
      <c r="AY355" s="487" t="s">
        <v>337</v>
      </c>
      <c r="AZ355" s="487" t="e">
        <f>+VLOOKUP($AJ355,Data_Validation!$A:$E,5,0)</f>
        <v>#N/A</v>
      </c>
    </row>
    <row r="356" spans="1:52" ht="15" customHeight="1">
      <c r="A356" s="706" t="s">
        <v>1148</v>
      </c>
      <c r="B356" s="706">
        <v>2026</v>
      </c>
      <c r="C356" s="706" t="s">
        <v>1804</v>
      </c>
      <c r="D356" s="706" t="s">
        <v>1805</v>
      </c>
      <c r="E356" s="706" t="s">
        <v>1137</v>
      </c>
      <c r="F356" s="706" t="s">
        <v>1136</v>
      </c>
      <c r="G356" s="706">
        <v>956.15</v>
      </c>
      <c r="H356" s="706">
        <v>956.15</v>
      </c>
      <c r="I356" s="706">
        <v>956.15</v>
      </c>
      <c r="J356" s="706">
        <v>956.15</v>
      </c>
      <c r="K356" s="706">
        <v>956.15</v>
      </c>
      <c r="L356" s="706">
        <v>956.15</v>
      </c>
      <c r="M356" s="706">
        <v>956.15</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G20300</v>
      </c>
      <c r="AK356" s="905" t="str">
        <f t="shared" si="31"/>
        <v>COMPTE U.S. BANQUE TD</v>
      </c>
      <c r="AL356" s="905">
        <f>IFERROR(INDEX(G356:R356,1,MATCH(Parametres!$B$3,G$1:R$1,0)-1)*IF(OR(F356="L",F356="S",F356="I"),-1,1),"")</f>
        <v>956.15</v>
      </c>
      <c r="AM356" s="905">
        <f t="shared" si="32"/>
        <v>0</v>
      </c>
      <c r="AN356" s="905">
        <f>INDEX(G356:R356,1,MATCH(Parametres!$B$3,G$1:R$1,0))*IF(OR(F356="L",F356="S",F356="I"),-1,1)</f>
        <v>956.15</v>
      </c>
      <c r="AO356" s="487" t="str">
        <f>+VLOOKUP($AJ356,Data_Validation!$A:$D,1,0)</f>
        <v>G20300</v>
      </c>
      <c r="AP356" s="487" t="str">
        <f>+VLOOKUP($AJ356,Data_Validation!$A:$D,3,0)</f>
        <v>Bilan</v>
      </c>
      <c r="AQ356" s="487" t="str">
        <f>+VLOOKUP($AJ356,Data_Validation!$A:$D,4,0)</f>
        <v>Encaisse</v>
      </c>
      <c r="AR356" s="487" t="s">
        <v>299</v>
      </c>
      <c r="AS356" s="487">
        <f>+VLOOKUP($AJ356,Data_Validation!$A:$E,5,0)</f>
        <v>0</v>
      </c>
      <c r="AT356" s="904" t="str">
        <f t="shared" si="33"/>
        <v>G20300</v>
      </c>
      <c r="AU356" s="488" t="str">
        <f t="shared" si="34"/>
        <v>COMPTE U.S. BANQUE TD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customHeight="1">
      <c r="A357" s="706" t="s">
        <v>1148</v>
      </c>
      <c r="B357" s="706">
        <v>2026</v>
      </c>
      <c r="C357" s="706" t="s">
        <v>1806</v>
      </c>
      <c r="D357" s="706" t="s">
        <v>1807</v>
      </c>
      <c r="E357" s="706" t="s">
        <v>1137</v>
      </c>
      <c r="F357" s="706" t="s">
        <v>1136</v>
      </c>
      <c r="G357" s="706">
        <v>0</v>
      </c>
      <c r="H357" s="706">
        <v>0</v>
      </c>
      <c r="I357" s="706">
        <v>0</v>
      </c>
      <c r="J357" s="706">
        <v>0</v>
      </c>
      <c r="K357" s="706">
        <v>0</v>
      </c>
      <c r="L357" s="706">
        <v>0</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G20301</v>
      </c>
      <c r="AK357" s="905" t="str">
        <f t="shared" si="31"/>
        <v>CONVERTION COMPTE U.S.</v>
      </c>
      <c r="AL357" s="905">
        <f>IFERROR(INDEX(G357:R357,1,MATCH(Parametres!$B$3,G$1:R$1,0)-1)*IF(OR(F357="L",F357="S",F357="I"),-1,1),"")</f>
        <v>0</v>
      </c>
      <c r="AM357" s="905">
        <f t="shared" si="32"/>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t="str">
        <f t="shared" si="33"/>
        <v>G20301</v>
      </c>
      <c r="AU357" s="488" t="str">
        <f t="shared" si="34"/>
        <v>CONVERTION COMPTE U.S.</v>
      </c>
      <c r="AV357" s="899">
        <f>IFERROR(INDEX(V357:AG357,1,MATCH(Parametres!$B$3,V$1:AG$1,0)-1)*IF(OR(C357="L",C357="S",C357="I"),-1,1),"")</f>
        <v>0</v>
      </c>
      <c r="AW357" s="899">
        <f t="shared" si="35"/>
        <v>0</v>
      </c>
      <c r="AX357" s="899">
        <f>INDEX(V357:AG357,1,MATCH(Parametres!$B$3,V$1:AG$1,0))*IF(OR(C357="L",C357="S",C357="I"),-1,1)</f>
        <v>0</v>
      </c>
      <c r="AY357" s="487" t="s">
        <v>337</v>
      </c>
      <c r="AZ357" s="487" t="e">
        <f>+VLOOKUP($AJ357,Data_Validation!$A:$E,5,0)</f>
        <v>#N/A</v>
      </c>
    </row>
    <row r="358" spans="1:52" ht="15.75" customHeight="1">
      <c r="A358" s="706" t="s">
        <v>1148</v>
      </c>
      <c r="B358" s="706">
        <v>2026</v>
      </c>
      <c r="C358" s="706" t="s">
        <v>1808</v>
      </c>
      <c r="D358" s="706" t="s">
        <v>1809</v>
      </c>
      <c r="E358" s="706" t="s">
        <v>333</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G20400</v>
      </c>
      <c r="AK358" s="905" t="str">
        <f t="shared" si="31"/>
        <v>AVANTAGE ENTREPRISE E.T.</v>
      </c>
      <c r="AL358" s="905">
        <f>IFERROR(INDEX(G358:R358,1,MATCH(Parametres!$B$3,G$1:R$1,0)-1)*IF(OR(F358="L",F358="S",F358="I"),-1,1),"")</f>
        <v>0</v>
      </c>
      <c r="AM358" s="905">
        <f t="shared" si="32"/>
        <v>0</v>
      </c>
      <c r="AN358" s="905">
        <f>INDEX(G358:R358,1,MATCH(Parametres!$B$3,G$1:R$1,0))*IF(OR(F358="L",F358="S",F358="I"),-1,1)</f>
        <v>0</v>
      </c>
      <c r="AO358" s="487" t="str">
        <f>+VLOOKUP($AJ358,Data_Validation!$A:$D,1,0)</f>
        <v>G20400</v>
      </c>
      <c r="AP358" s="487">
        <f>+VLOOKUP($AJ358,Data_Validation!$A:$D,3,0)</f>
        <v>0</v>
      </c>
      <c r="AQ358" s="487">
        <f>+VLOOKUP($AJ358,Data_Validation!$A:$D,4,0)</f>
        <v>0</v>
      </c>
      <c r="AR358" s="487" t="s">
        <v>299</v>
      </c>
      <c r="AS358" s="487">
        <f>+VLOOKUP($AJ358,Data_Validation!$A:$E,5,0)</f>
        <v>0</v>
      </c>
      <c r="AT358" s="904" t="str">
        <f t="shared" si="33"/>
        <v>G20400</v>
      </c>
      <c r="AU358" s="488" t="str">
        <f t="shared" si="34"/>
        <v>AVANTAGE ENTREPRISE E.T.</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customHeight="1">
      <c r="A359" s="706" t="s">
        <v>1148</v>
      </c>
      <c r="B359" s="706">
        <v>2026</v>
      </c>
      <c r="C359" s="706" t="s">
        <v>1810</v>
      </c>
      <c r="D359" s="706" t="s">
        <v>1811</v>
      </c>
      <c r="E359" s="706" t="s">
        <v>1142</v>
      </c>
      <c r="F359" s="706" t="s">
        <v>1136</v>
      </c>
      <c r="G359" s="706">
        <v>330805.69</v>
      </c>
      <c r="H359" s="706">
        <v>706888.46</v>
      </c>
      <c r="I359" s="706">
        <v>745869.19</v>
      </c>
      <c r="J359" s="706">
        <v>969080.49</v>
      </c>
      <c r="K359" s="706">
        <v>475145.45</v>
      </c>
      <c r="L359" s="706">
        <v>630029.98</v>
      </c>
      <c r="M359" s="706">
        <v>-1178061.8899999999</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G20500</v>
      </c>
      <c r="AK359" s="905" t="str">
        <f t="shared" si="31"/>
        <v>CONTRATS FINANCE A/R GM</v>
      </c>
      <c r="AL359" s="905">
        <f>IFERROR(INDEX(G359:R359,1,MATCH(Parametres!$B$3,G$1:R$1,0)-1)*IF(OR(F359="L",F359="S",F359="I"),-1,1),"")</f>
        <v>475145.45</v>
      </c>
      <c r="AM359" s="905">
        <f t="shared" si="32"/>
        <v>154884.52999999997</v>
      </c>
      <c r="AN359" s="905">
        <f>INDEX(G359:R359,1,MATCH(Parametres!$B$3,G$1:R$1,0))*IF(OR(F359="L",F359="S",F359="I"),-1,1)</f>
        <v>630029.98</v>
      </c>
      <c r="AO359" s="487" t="str">
        <f>+VLOOKUP($AJ359,Data_Validation!$A:$D,1,0)</f>
        <v>G20500</v>
      </c>
      <c r="AP359" s="487" t="str">
        <f>+VLOOKUP($AJ359,Data_Validation!$A:$D,3,0)</f>
        <v>Bilan</v>
      </c>
      <c r="AQ359" s="487" t="str">
        <f>+VLOOKUP($AJ359,Data_Validation!$A:$D,4,0)</f>
        <v>Recevables Contrats en Transit</v>
      </c>
      <c r="AR359" s="487" t="s">
        <v>299</v>
      </c>
      <c r="AS359" s="487">
        <f>+VLOOKUP($AJ359,Data_Validation!$A:$E,5,0)</f>
        <v>0</v>
      </c>
      <c r="AT359" s="904" t="str">
        <f t="shared" si="33"/>
        <v>G20500</v>
      </c>
      <c r="AU359" s="488" t="str">
        <f t="shared" si="34"/>
        <v>CONTRATS FINANCE A/R GM</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customHeight="1">
      <c r="A360" s="706" t="s">
        <v>1148</v>
      </c>
      <c r="B360" s="706">
        <v>2026</v>
      </c>
      <c r="C360" s="706" t="s">
        <v>1812</v>
      </c>
      <c r="D360" s="706" t="s">
        <v>1813</v>
      </c>
      <c r="E360" s="706" t="s">
        <v>333</v>
      </c>
      <c r="F360" s="706" t="s">
        <v>1136</v>
      </c>
      <c r="G360" s="706">
        <v>0</v>
      </c>
      <c r="H360" s="706">
        <v>0</v>
      </c>
      <c r="I360" s="706">
        <v>0</v>
      </c>
      <c r="J360" s="706">
        <v>0</v>
      </c>
      <c r="K360" s="706">
        <v>0</v>
      </c>
      <c r="L360" s="706">
        <v>0</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G20998</v>
      </c>
      <c r="AK360" s="905" t="str">
        <f t="shared" si="31"/>
        <v>DEDUCTIBLE</v>
      </c>
      <c r="AL360" s="905">
        <f>IFERROR(INDEX(G360:R360,1,MATCH(Parametres!$B$3,G$1:R$1,0)-1)*IF(OR(F360="L",F360="S",F360="I"),-1,1),"")</f>
        <v>0</v>
      </c>
      <c r="AM360" s="905">
        <f t="shared" si="32"/>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t="str">
        <f t="shared" si="33"/>
        <v>G20998</v>
      </c>
      <c r="AU360" s="488" t="str">
        <f t="shared" si="34"/>
        <v>DEDUCTIBLE</v>
      </c>
      <c r="AV360" s="899">
        <f>IFERROR(INDEX(V360:AG360,1,MATCH(Parametres!$B$3,V$1:AG$1,0)-1)*IF(OR(C360="L",C360="S",C360="I"),-1,1),"")</f>
        <v>0</v>
      </c>
      <c r="AW360" s="899">
        <f t="shared" si="35"/>
        <v>0</v>
      </c>
      <c r="AX360" s="899">
        <f>INDEX(V360:AG360,1,MATCH(Parametres!$B$3,V$1:AG$1,0))*IF(OR(C360="L",C360="S",C360="I"),-1,1)</f>
        <v>0</v>
      </c>
      <c r="AY360" s="487" t="s">
        <v>337</v>
      </c>
      <c r="AZ360" s="487" t="e">
        <f>+VLOOKUP($AJ360,Data_Validation!$A:$E,5,0)</f>
        <v>#N/A</v>
      </c>
    </row>
    <row r="361" spans="1:52" ht="15" customHeight="1">
      <c r="A361" s="706" t="s">
        <v>1148</v>
      </c>
      <c r="B361" s="706">
        <v>2026</v>
      </c>
      <c r="C361" s="706" t="s">
        <v>1814</v>
      </c>
      <c r="D361" s="706" t="s">
        <v>1155</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G20999</v>
      </c>
      <c r="AK361" s="905" t="str">
        <f t="shared" si="31"/>
        <v>DOCUMENTS CANCELLES</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G20999</v>
      </c>
      <c r="AU361" s="488" t="str">
        <f t="shared" si="34"/>
        <v>DOCUMENTS CANCELLES</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customHeight="1">
      <c r="A362" s="706" t="s">
        <v>1148</v>
      </c>
      <c r="B362" s="706">
        <v>2026</v>
      </c>
      <c r="C362" s="706" t="s">
        <v>3273</v>
      </c>
      <c r="D362" s="706" t="s">
        <v>3274</v>
      </c>
      <c r="E362" s="706" t="s">
        <v>333</v>
      </c>
      <c r="F362" s="706" t="s">
        <v>1104</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G217</v>
      </c>
      <c r="AK362" s="905" t="str">
        <f t="shared" si="31"/>
        <v>RENUM. CADRES SAAQ</v>
      </c>
      <c r="AL362" s="905">
        <f>IFERROR(INDEX(G362:R362,1,MATCH(Parametres!$B$3,G$1:R$1,0)-1)*IF(OR(F362="L",F362="S",F362="I"),-1,1),"")</f>
        <v>0</v>
      </c>
      <c r="AM362" s="905">
        <f t="shared" si="32"/>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t="str">
        <f t="shared" si="33"/>
        <v>G217</v>
      </c>
      <c r="AU362" s="488" t="str">
        <f t="shared" si="34"/>
        <v>RENUM. CADRES SAAQ</v>
      </c>
      <c r="AV362" s="899">
        <f>IFERROR(INDEX(V362:AG362,1,MATCH(Parametres!$B$3,V$1:AG$1,0)-1)*IF(OR(C362="L",C362="S",C362="I"),-1,1),"")</f>
        <v>0</v>
      </c>
      <c r="AW362" s="899">
        <f t="shared" si="35"/>
        <v>0</v>
      </c>
      <c r="AX362" s="899">
        <f>INDEX(V362:AG362,1,MATCH(Parametres!$B$3,V$1:AG$1,0))*IF(OR(C362="L",C362="S",C362="I"),-1,1)</f>
        <v>0</v>
      </c>
      <c r="AY362" s="487" t="s">
        <v>337</v>
      </c>
      <c r="AZ362" s="487" t="e">
        <f>+VLOOKUP($AJ362,Data_Validation!$A:$E,5,0)</f>
        <v>#N/A</v>
      </c>
    </row>
    <row r="363" spans="1:52" ht="15.75" customHeight="1">
      <c r="A363" s="706" t="s">
        <v>1148</v>
      </c>
      <c r="B363" s="706">
        <v>2026</v>
      </c>
      <c r="C363" s="706" t="s">
        <v>1815</v>
      </c>
      <c r="D363" s="706" t="s">
        <v>1816</v>
      </c>
      <c r="E363" s="706" t="s">
        <v>1139</v>
      </c>
      <c r="F363" s="706" t="s">
        <v>1136</v>
      </c>
      <c r="G363" s="706">
        <v>6399.45</v>
      </c>
      <c r="H363" s="706">
        <v>-14896.89</v>
      </c>
      <c r="I363" s="706">
        <v>-20666.060000000001</v>
      </c>
      <c r="J363" s="706">
        <v>27307.57</v>
      </c>
      <c r="K363" s="706">
        <v>24469.29</v>
      </c>
      <c r="L363" s="706">
        <v>1830.26</v>
      </c>
      <c r="M363" s="706">
        <v>129816.31</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G220IMM</v>
      </c>
      <c r="AK363" s="905" t="str">
        <f t="shared" si="31"/>
        <v>IMMATRICULATION-VEHICULE</v>
      </c>
      <c r="AL363" s="905">
        <f>IFERROR(INDEX(G363:R363,1,MATCH(Parametres!$B$3,G$1:R$1,0)-1)*IF(OR(F363="L",F363="S",F363="I"),-1,1),"")</f>
        <v>24469.29</v>
      </c>
      <c r="AM363" s="905">
        <f t="shared" si="32"/>
        <v>-22639.030000000002</v>
      </c>
      <c r="AN363" s="905">
        <f>INDEX(G363:R363,1,MATCH(Parametres!$B$3,G$1:R$1,0))*IF(OR(F363="L",F363="S",F363="I"),-1,1)</f>
        <v>1830.26</v>
      </c>
      <c r="AO363" s="487" t="str">
        <f>+VLOOKUP($AJ363,Data_Validation!$A:$D,1,0)</f>
        <v>G220IMM</v>
      </c>
      <c r="AP363" s="487" t="str">
        <f>+VLOOKUP($AJ363,Data_Validation!$A:$D,3,0)</f>
        <v>Bilan</v>
      </c>
      <c r="AQ363" s="487" t="str">
        <f>+VLOOKUP($AJ363,Data_Validation!$A:$D,4,0)</f>
        <v>Recevables Véhicules</v>
      </c>
      <c r="AR363" s="487" t="s">
        <v>299</v>
      </c>
      <c r="AS363" s="487">
        <f>+VLOOKUP($AJ363,Data_Validation!$A:$E,5,0)</f>
        <v>0</v>
      </c>
      <c r="AT363" s="904" t="str">
        <f t="shared" si="33"/>
        <v>G220IMM</v>
      </c>
      <c r="AU363" s="488" t="str">
        <f t="shared" si="34"/>
        <v>IMMATRICULATION-VEHICULE</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customHeight="1">
      <c r="A364" s="706" t="s">
        <v>1148</v>
      </c>
      <c r="B364" s="706">
        <v>2026</v>
      </c>
      <c r="C364" s="706" t="s">
        <v>1817</v>
      </c>
      <c r="D364" s="706" t="s">
        <v>1818</v>
      </c>
      <c r="E364" s="706" t="s">
        <v>1142</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G2200D</v>
      </c>
      <c r="AK364" s="905" t="str">
        <f t="shared" si="31"/>
        <v>DEPOT - CLIENT PCES &amp; SRV</v>
      </c>
      <c r="AL364" s="905">
        <f>IFERROR(INDEX(G364:R364,1,MATCH(Parametres!$B$3,G$1:R$1,0)-1)*IF(OR(F364="L",F364="S",F364="I"),-1,1),"")</f>
        <v>0</v>
      </c>
      <c r="AM364" s="905">
        <f t="shared" si="32"/>
        <v>0</v>
      </c>
      <c r="AN364" s="905">
        <f>INDEX(G364:R364,1,MATCH(Parametres!$B$3,G$1:R$1,0))*IF(OR(F364="L",F364="S",F364="I"),-1,1)</f>
        <v>0</v>
      </c>
      <c r="AO364" s="487" t="str">
        <f>+VLOOKUP($AJ364,Data_Validation!$A:$D,1,0)</f>
        <v>G2200D</v>
      </c>
      <c r="AP364" s="487">
        <f>+VLOOKUP($AJ364,Data_Validation!$A:$D,3,0)</f>
        <v>0</v>
      </c>
      <c r="AQ364" s="487">
        <f>+VLOOKUP($AJ364,Data_Validation!$A:$D,4,0)</f>
        <v>0</v>
      </c>
      <c r="AR364" s="487" t="s">
        <v>299</v>
      </c>
      <c r="AS364" s="487">
        <f>+VLOOKUP($AJ364,Data_Validation!$A:$E,5,0)</f>
        <v>0</v>
      </c>
      <c r="AT364" s="904" t="str">
        <f t="shared" si="33"/>
        <v>G2200D</v>
      </c>
      <c r="AU364" s="488" t="str">
        <f t="shared" si="34"/>
        <v>DEPOT - CLIENT PCES &amp; SRV</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customHeight="1">
      <c r="A365" s="706" t="s">
        <v>1148</v>
      </c>
      <c r="B365" s="706">
        <v>2026</v>
      </c>
      <c r="C365" s="706" t="s">
        <v>1819</v>
      </c>
      <c r="D365" s="706" t="s">
        <v>3275</v>
      </c>
      <c r="E365" s="706" t="s">
        <v>1136</v>
      </c>
      <c r="F365" s="706" t="s">
        <v>1136</v>
      </c>
      <c r="G365" s="706">
        <v>880086.58</v>
      </c>
      <c r="H365" s="706">
        <v>547168.49</v>
      </c>
      <c r="I365" s="706">
        <v>582131.91</v>
      </c>
      <c r="J365" s="706">
        <v>682242.71</v>
      </c>
      <c r="K365" s="706">
        <v>582705.43999999994</v>
      </c>
      <c r="L365" s="706">
        <v>594323.88</v>
      </c>
      <c r="M365" s="706">
        <v>593680.30000000005</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G22000</v>
      </c>
      <c r="AK365" s="905" t="str">
        <f t="shared" si="31"/>
        <v>AR PIECES - SERVICE</v>
      </c>
      <c r="AL365" s="905">
        <f>IFERROR(INDEX(G365:R365,1,MATCH(Parametres!$B$3,G$1:R$1,0)-1)*IF(OR(F365="L",F365="S",F365="I"),-1,1),"")</f>
        <v>582705.43999999994</v>
      </c>
      <c r="AM365" s="905">
        <f t="shared" si="32"/>
        <v>11618.440000000061</v>
      </c>
      <c r="AN365" s="905">
        <f>INDEX(G365:R365,1,MATCH(Parametres!$B$3,G$1:R$1,0))*IF(OR(F365="L",F365="S",F365="I"),-1,1)</f>
        <v>594323.88</v>
      </c>
      <c r="AO365" s="487" t="str">
        <f>+VLOOKUP($AJ365,Data_Validation!$A:$D,1,0)</f>
        <v>G22000</v>
      </c>
      <c r="AP365" s="487" t="str">
        <f>+VLOOKUP($AJ365,Data_Validation!$A:$D,3,0)</f>
        <v>Bilan</v>
      </c>
      <c r="AQ365" s="487" t="str">
        <f>+VLOOKUP($AJ365,Data_Validation!$A:$D,4,0)</f>
        <v>Recevables Pièces et Service</v>
      </c>
      <c r="AR365" s="487" t="s">
        <v>299</v>
      </c>
      <c r="AS365" s="487">
        <f>+VLOOKUP($AJ365,Data_Validation!$A:$E,5,0)</f>
        <v>0</v>
      </c>
      <c r="AT365" s="904" t="str">
        <f t="shared" si="33"/>
        <v>G22000</v>
      </c>
      <c r="AU365" s="488" t="str">
        <f t="shared" si="34"/>
        <v>AR PIECES - SERVICE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customHeight="1">
      <c r="A366" s="706" t="s">
        <v>1148</v>
      </c>
      <c r="B366" s="706">
        <v>2026</v>
      </c>
      <c r="C366" s="706" t="s">
        <v>1821</v>
      </c>
      <c r="D366" s="706" t="s">
        <v>3276</v>
      </c>
      <c r="E366" s="706" t="s">
        <v>1142</v>
      </c>
      <c r="F366" s="706" t="s">
        <v>1136</v>
      </c>
      <c r="G366" s="706">
        <v>-34176.800000000003</v>
      </c>
      <c r="H366" s="706">
        <v>35182.730000000003</v>
      </c>
      <c r="I366" s="706">
        <v>-51361.83</v>
      </c>
      <c r="J366" s="706">
        <v>-101613.36</v>
      </c>
      <c r="K366" s="706">
        <v>-3472.14</v>
      </c>
      <c r="L366" s="706">
        <v>-34614.660000000003</v>
      </c>
      <c r="M366" s="706">
        <v>-140780.32999999999</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G22001</v>
      </c>
      <c r="AK366" s="905" t="str">
        <f t="shared" si="31"/>
        <v>AR -VEHICULE</v>
      </c>
      <c r="AL366" s="905">
        <f>IFERROR(INDEX(G366:R366,1,MATCH(Parametres!$B$3,G$1:R$1,0)-1)*IF(OR(F366="L",F366="S",F366="I"),-1,1),"")</f>
        <v>-3472.14</v>
      </c>
      <c r="AM366" s="905">
        <f t="shared" si="32"/>
        <v>-31142.520000000004</v>
      </c>
      <c r="AN366" s="905">
        <f>INDEX(G366:R366,1,MATCH(Parametres!$B$3,G$1:R$1,0))*IF(OR(F366="L",F366="S",F366="I"),-1,1)</f>
        <v>-34614.660000000003</v>
      </c>
      <c r="AO366" s="487" t="str">
        <f>+VLOOKUP($AJ366,Data_Validation!$A:$D,1,0)</f>
        <v>G22001</v>
      </c>
      <c r="AP366" s="487" t="str">
        <f>+VLOOKUP($AJ366,Data_Validation!$A:$D,3,0)</f>
        <v>Bilan</v>
      </c>
      <c r="AQ366" s="487" t="str">
        <f>+VLOOKUP($AJ366,Data_Validation!$A:$D,4,0)</f>
        <v>Recevables Véhicules</v>
      </c>
      <c r="AR366" s="487" t="s">
        <v>299</v>
      </c>
      <c r="AS366" s="487">
        <f>+VLOOKUP($AJ366,Data_Validation!$A:$E,5,0)</f>
        <v>0</v>
      </c>
      <c r="AT366" s="904" t="str">
        <f t="shared" si="33"/>
        <v>G22001</v>
      </c>
      <c r="AU366" s="488" t="str">
        <f t="shared" si="34"/>
        <v>AR -VEHICULE</v>
      </c>
      <c r="AV366" s="899">
        <f>IFERROR(INDEX(V366:AG366,1,MATCH(Parametres!$B$3,V$1:AG$1,0)-1)*IF(OR(C366="L",C366="S",C366="I"),-1,1),"")</f>
        <v>0</v>
      </c>
      <c r="AW366" s="899">
        <f t="shared" si="35"/>
        <v>0</v>
      </c>
      <c r="AX366" s="899">
        <f>INDEX(V366:AG366,1,MATCH(Parametres!$B$3,V$1:AG$1,0))*IF(OR(C366="L",C366="S",C366="I"),-1,1)</f>
        <v>0</v>
      </c>
      <c r="AY366" s="487" t="s">
        <v>337</v>
      </c>
      <c r="AZ366" s="487">
        <f>+VLOOKUP($AJ366,Data_Validation!$A:$E,5,0)</f>
        <v>0</v>
      </c>
    </row>
    <row r="367" spans="1:52" ht="15.75" customHeight="1">
      <c r="A367" s="706" t="s">
        <v>1148</v>
      </c>
      <c r="B367" s="706">
        <v>2026</v>
      </c>
      <c r="C367" s="706" t="s">
        <v>1823</v>
      </c>
      <c r="D367" s="706" t="s">
        <v>3277</v>
      </c>
      <c r="E367" s="706" t="s">
        <v>1136</v>
      </c>
      <c r="F367" s="706" t="s">
        <v>1136</v>
      </c>
      <c r="G367" s="706">
        <v>96129.23</v>
      </c>
      <c r="H367" s="706">
        <v>135435.64000000001</v>
      </c>
      <c r="I367" s="706">
        <v>74155.429999999993</v>
      </c>
      <c r="J367" s="706">
        <v>48320.480000000003</v>
      </c>
      <c r="K367" s="706">
        <v>38481.410000000003</v>
      </c>
      <c r="L367" s="706">
        <v>31721.25</v>
      </c>
      <c r="M367" s="706">
        <v>-5725.52</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G22002</v>
      </c>
      <c r="AK367" s="905" t="str">
        <f t="shared" si="31"/>
        <v>AR - CARROSSERIE</v>
      </c>
      <c r="AL367" s="905">
        <f>IFERROR(INDEX(G367:R367,1,MATCH(Parametres!$B$3,G$1:R$1,0)-1)*IF(OR(F367="L",F367="S",F367="I"),-1,1),"")</f>
        <v>38481.410000000003</v>
      </c>
      <c r="AM367" s="905">
        <f t="shared" si="32"/>
        <v>-6760.1600000000035</v>
      </c>
      <c r="AN367" s="905">
        <f>INDEX(G367:R367,1,MATCH(Parametres!$B$3,G$1:R$1,0))*IF(OR(F367="L",F367="S",F367="I"),-1,1)</f>
        <v>31721.25</v>
      </c>
      <c r="AO367" s="487" t="str">
        <f>+VLOOKUP($AJ367,Data_Validation!$A:$D,1,0)</f>
        <v>G22002</v>
      </c>
      <c r="AP367" s="487" t="str">
        <f>+VLOOKUP($AJ367,Data_Validation!$A:$D,3,0)</f>
        <v>Bilan</v>
      </c>
      <c r="AQ367" s="487" t="str">
        <f>+VLOOKUP($AJ367,Data_Validation!$A:$D,4,0)</f>
        <v>Recevables Carrosserie</v>
      </c>
      <c r="AR367" s="487" t="s">
        <v>299</v>
      </c>
      <c r="AS367" s="487">
        <f>+VLOOKUP($AJ367,Data_Validation!$A:$E,5,0)</f>
        <v>0</v>
      </c>
      <c r="AT367" s="904" t="str">
        <f t="shared" si="33"/>
        <v>G22002</v>
      </c>
      <c r="AU367" s="488" t="str">
        <f t="shared" si="34"/>
        <v>AR - CARROSSERIE</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customHeight="1">
      <c r="A368" s="706" t="s">
        <v>1148</v>
      </c>
      <c r="B368" s="706">
        <v>2026</v>
      </c>
      <c r="C368" s="706" t="s">
        <v>1825</v>
      </c>
      <c r="D368" s="706" t="s">
        <v>3278</v>
      </c>
      <c r="E368" s="706" t="s">
        <v>1136</v>
      </c>
      <c r="F368" s="706" t="s">
        <v>1136</v>
      </c>
      <c r="G368" s="706">
        <v>51111.18</v>
      </c>
      <c r="H368" s="706">
        <v>51111.18</v>
      </c>
      <c r="I368" s="706">
        <v>51111.18</v>
      </c>
      <c r="J368" s="706">
        <v>51111.18</v>
      </c>
      <c r="K368" s="706">
        <v>51111.18</v>
      </c>
      <c r="L368" s="706">
        <v>51111.18</v>
      </c>
      <c r="M368" s="706">
        <v>51111.18</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G22003</v>
      </c>
      <c r="AK368" s="905" t="str">
        <f t="shared" si="31"/>
        <v>AR -VENTES</v>
      </c>
      <c r="AL368" s="905">
        <f>IFERROR(INDEX(G368:R368,1,MATCH(Parametres!$B$3,G$1:R$1,0)-1)*IF(OR(F368="L",F368="S",F368="I"),-1,1),"")</f>
        <v>51111.18</v>
      </c>
      <c r="AM368" s="905">
        <f t="shared" si="32"/>
        <v>0</v>
      </c>
      <c r="AN368" s="905">
        <f>INDEX(G368:R368,1,MATCH(Parametres!$B$3,G$1:R$1,0))*IF(OR(F368="L",F368="S",F368="I"),-1,1)</f>
        <v>51111.18</v>
      </c>
      <c r="AO368" s="487" t="str">
        <f>+VLOOKUP($AJ368,Data_Validation!$A:$D,1,0)</f>
        <v>G22003</v>
      </c>
      <c r="AP368" s="487" t="str">
        <f>+VLOOKUP($AJ368,Data_Validation!$A:$D,3,0)</f>
        <v>Bilan</v>
      </c>
      <c r="AQ368" s="487" t="str">
        <f>+VLOOKUP($AJ368,Data_Validation!$A:$D,4,0)</f>
        <v>Recevables Véhicules</v>
      </c>
      <c r="AR368" s="487" t="s">
        <v>299</v>
      </c>
      <c r="AS368" s="487">
        <f>+VLOOKUP($AJ368,Data_Validation!$A:$E,5,0)</f>
        <v>0</v>
      </c>
      <c r="AT368" s="904" t="str">
        <f t="shared" si="33"/>
        <v>G22003</v>
      </c>
      <c r="AU368" s="488" t="str">
        <f t="shared" si="34"/>
        <v>AR -VENTES</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customHeight="1">
      <c r="A369" s="706" t="s">
        <v>1148</v>
      </c>
      <c r="B369" s="706">
        <v>2026</v>
      </c>
      <c r="C369" s="706" t="s">
        <v>1827</v>
      </c>
      <c r="D369" s="706" t="s">
        <v>1828</v>
      </c>
      <c r="E369" s="706" t="s">
        <v>333</v>
      </c>
      <c r="F369" s="706" t="s">
        <v>1136</v>
      </c>
      <c r="G369" s="706">
        <v>55111.19</v>
      </c>
      <c r="H369" s="706">
        <v>50897.91</v>
      </c>
      <c r="I369" s="706">
        <v>29761.3</v>
      </c>
      <c r="J369" s="706">
        <v>101959.67999999999</v>
      </c>
      <c r="K369" s="706">
        <v>93476.35</v>
      </c>
      <c r="L369" s="706">
        <v>85082.09</v>
      </c>
      <c r="M369" s="706">
        <v>116694.17</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G22004</v>
      </c>
      <c r="AK369" s="905" t="str">
        <f t="shared" si="31"/>
        <v>T.V.Q. A RECEVOIR</v>
      </c>
      <c r="AL369" s="905">
        <f>IFERROR(INDEX(G369:R369,1,MATCH(Parametres!$B$3,G$1:R$1,0)-1)*IF(OR(F369="L",F369="S",F369="I"),-1,1),"")</f>
        <v>93476.35</v>
      </c>
      <c r="AM369" s="905">
        <f t="shared" si="32"/>
        <v>-8394.2600000000093</v>
      </c>
      <c r="AN369" s="905">
        <f>INDEX(G369:R369,1,MATCH(Parametres!$B$3,G$1:R$1,0))*IF(OR(F369="L",F369="S",F369="I"),-1,1)</f>
        <v>85082.09</v>
      </c>
      <c r="AO369" s="487" t="str">
        <f>+VLOOKUP($AJ369,Data_Validation!$A:$D,1,0)</f>
        <v>G22004</v>
      </c>
      <c r="AP369" s="487" t="str">
        <f>+VLOOKUP($AJ369,Data_Validation!$A:$D,3,0)</f>
        <v>Bilan</v>
      </c>
      <c r="AQ369" s="487" t="str">
        <f>+VLOOKUP($AJ369,Data_Validation!$A:$D,4,0)</f>
        <v>Taxes de Vente à Payer</v>
      </c>
      <c r="AR369" s="487" t="s">
        <v>299</v>
      </c>
      <c r="AS369" s="487">
        <f>+VLOOKUP($AJ369,Data_Validation!$A:$E,5,0)</f>
        <v>0</v>
      </c>
      <c r="AT369" s="904" t="str">
        <f t="shared" si="33"/>
        <v>G22004</v>
      </c>
      <c r="AU369" s="488" t="str">
        <f t="shared" si="34"/>
        <v>T.V.Q. A RECEVOIR</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customHeight="1">
      <c r="A370" s="706" t="s">
        <v>1148</v>
      </c>
      <c r="B370" s="706">
        <v>2026</v>
      </c>
      <c r="C370" s="706" t="s">
        <v>1829</v>
      </c>
      <c r="D370" s="706" t="s">
        <v>1830</v>
      </c>
      <c r="E370" s="706" t="s">
        <v>333</v>
      </c>
      <c r="F370" s="706" t="s">
        <v>1136</v>
      </c>
      <c r="G370" s="706">
        <v>1759158.64</v>
      </c>
      <c r="H370" s="706">
        <v>722961.34</v>
      </c>
      <c r="I370" s="706">
        <v>2387338.5</v>
      </c>
      <c r="J370" s="706">
        <v>4650512.57</v>
      </c>
      <c r="K370" s="706">
        <v>1247948.76</v>
      </c>
      <c r="L370" s="706">
        <v>921433.24</v>
      </c>
      <c r="M370" s="706">
        <v>1312881.6200000001</v>
      </c>
      <c r="N370" s="706">
        <v>0</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G22005</v>
      </c>
      <c r="AK370" s="905" t="str">
        <f t="shared" si="31"/>
        <v>T.P.S. A RECEVOIR</v>
      </c>
      <c r="AL370" s="905">
        <f>IFERROR(INDEX(G370:R370,1,MATCH(Parametres!$B$3,G$1:R$1,0)-1)*IF(OR(F370="L",F370="S",F370="I"),-1,1),"")</f>
        <v>1247948.76</v>
      </c>
      <c r="AM370" s="905">
        <f t="shared" si="32"/>
        <v>-326515.52</v>
      </c>
      <c r="AN370" s="905">
        <f>INDEX(G370:R370,1,MATCH(Parametres!$B$3,G$1:R$1,0))*IF(OR(F370="L",F370="S",F370="I"),-1,1)</f>
        <v>921433.24</v>
      </c>
      <c r="AO370" s="487" t="str">
        <f>+VLOOKUP($AJ370,Data_Validation!$A:$D,1,0)</f>
        <v>G22005</v>
      </c>
      <c r="AP370" s="487" t="str">
        <f>+VLOOKUP($AJ370,Data_Validation!$A:$D,3,0)</f>
        <v>Bilan</v>
      </c>
      <c r="AQ370" s="487" t="str">
        <f>+VLOOKUP($AJ370,Data_Validation!$A:$D,4,0)</f>
        <v>Taxes de Vente à Payer</v>
      </c>
      <c r="AR370" s="487" t="s">
        <v>299</v>
      </c>
      <c r="AS370" s="487">
        <f>+VLOOKUP($AJ370,Data_Validation!$A:$E,5,0)</f>
        <v>0</v>
      </c>
      <c r="AT370" s="904" t="str">
        <f t="shared" si="33"/>
        <v>G22005</v>
      </c>
      <c r="AU370" s="488" t="str">
        <f t="shared" si="34"/>
        <v>T.P.S. A RECEVOIR</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customHeight="1">
      <c r="A371" s="706" t="s">
        <v>1148</v>
      </c>
      <c r="B371" s="706">
        <v>2026</v>
      </c>
      <c r="C371" s="706" t="s">
        <v>1831</v>
      </c>
      <c r="D371" s="706" t="s">
        <v>3279</v>
      </c>
      <c r="E371" s="706" t="s">
        <v>1142</v>
      </c>
      <c r="F371" s="706" t="s">
        <v>1136</v>
      </c>
      <c r="G371" s="706">
        <v>33253.870000000003</v>
      </c>
      <c r="H371" s="706">
        <v>40810.910000000003</v>
      </c>
      <c r="I371" s="706">
        <v>32725.8</v>
      </c>
      <c r="J371" s="706">
        <v>28263.5</v>
      </c>
      <c r="K371" s="706">
        <v>19809.27</v>
      </c>
      <c r="L371" s="706">
        <v>19478.560000000001</v>
      </c>
      <c r="M371" s="706">
        <v>19448.650000000001</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G22006</v>
      </c>
      <c r="AK371" s="905" t="str">
        <f t="shared" si="31"/>
        <v>AR- EMPLOYÉ</v>
      </c>
      <c r="AL371" s="905">
        <f>IFERROR(INDEX(G371:R371,1,MATCH(Parametres!$B$3,G$1:R$1,0)-1)*IF(OR(F371="L",F371="S",F371="I"),-1,1),"")</f>
        <v>19809.27</v>
      </c>
      <c r="AM371" s="905">
        <f t="shared" si="32"/>
        <v>-330.70999999999913</v>
      </c>
      <c r="AN371" s="905">
        <f>INDEX(G371:R371,1,MATCH(Parametres!$B$3,G$1:R$1,0))*IF(OR(F371="L",F371="S",F371="I"),-1,1)</f>
        <v>19478.560000000001</v>
      </c>
      <c r="AO371" s="487" t="str">
        <f>+VLOOKUP($AJ371,Data_Validation!$A:$D,1,0)</f>
        <v>G22006</v>
      </c>
      <c r="AP371" s="487" t="str">
        <f>+VLOOKUP($AJ371,Data_Validation!$A:$D,3,0)</f>
        <v>Bilan</v>
      </c>
      <c r="AQ371" s="487" t="str">
        <f>+VLOOKUP($AJ371,Data_Validation!$A:$D,4,0)</f>
        <v>Recevables Autres</v>
      </c>
      <c r="AR371" s="487" t="s">
        <v>299</v>
      </c>
      <c r="AS371" s="487">
        <f>+VLOOKUP($AJ371,Data_Validation!$A:$E,5,0)</f>
        <v>0</v>
      </c>
      <c r="AT371" s="904" t="str">
        <f t="shared" si="33"/>
        <v>G22006</v>
      </c>
      <c r="AU371" s="488" t="str">
        <f t="shared" si="34"/>
        <v>AR- EMPLOYÉ</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customHeight="1">
      <c r="A372" s="706" t="s">
        <v>1148</v>
      </c>
      <c r="B372" s="706">
        <v>2026</v>
      </c>
      <c r="C372" s="706" t="s">
        <v>1833</v>
      </c>
      <c r="D372" s="706" t="s">
        <v>3280</v>
      </c>
      <c r="E372" s="706" t="s">
        <v>1142</v>
      </c>
      <c r="F372" s="706" t="s">
        <v>1136</v>
      </c>
      <c r="G372" s="706">
        <v>-75275.95</v>
      </c>
      <c r="H372" s="706">
        <v>56175</v>
      </c>
      <c r="I372" s="706">
        <v>865256.29</v>
      </c>
      <c r="J372" s="706">
        <v>317715.46999999997</v>
      </c>
      <c r="K372" s="706">
        <v>915204.1</v>
      </c>
      <c r="L372" s="706">
        <v>1449158.02</v>
      </c>
      <c r="M372" s="706">
        <v>1214778.8</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G22008</v>
      </c>
      <c r="AK372" s="905" t="str">
        <f t="shared" si="31"/>
        <v>AR VEH. WHOLESALE</v>
      </c>
      <c r="AL372" s="905">
        <f>IFERROR(INDEX(G372:R372,1,MATCH(Parametres!$B$3,G$1:R$1,0)-1)*IF(OR(F372="L",F372="S",F372="I"),-1,1),"")</f>
        <v>915204.1</v>
      </c>
      <c r="AM372" s="905">
        <f t="shared" si="32"/>
        <v>533953.92000000004</v>
      </c>
      <c r="AN372" s="905">
        <f>INDEX(G372:R372,1,MATCH(Parametres!$B$3,G$1:R$1,0))*IF(OR(F372="L",F372="S",F372="I"),-1,1)</f>
        <v>1449158.02</v>
      </c>
      <c r="AO372" s="487" t="str">
        <f>+VLOOKUP($AJ372,Data_Validation!$A:$D,1,0)</f>
        <v>G22008</v>
      </c>
      <c r="AP372" s="487" t="str">
        <f>+VLOOKUP($AJ372,Data_Validation!$A:$D,3,0)</f>
        <v>Bilan</v>
      </c>
      <c r="AQ372" s="487" t="str">
        <f>+VLOOKUP($AJ372,Data_Validation!$A:$D,4,0)</f>
        <v>Recevables Véhicules</v>
      </c>
      <c r="AR372" s="487" t="s">
        <v>299</v>
      </c>
      <c r="AS372" s="487">
        <f>+VLOOKUP($AJ372,Data_Validation!$A:$E,5,0)</f>
        <v>0</v>
      </c>
      <c r="AT372" s="904" t="str">
        <f t="shared" si="33"/>
        <v>G22008</v>
      </c>
      <c r="AU372" s="488" t="str">
        <f t="shared" si="34"/>
        <v>AR VEH. WHOLESALE</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customHeight="1">
      <c r="A373" s="706" t="s">
        <v>1148</v>
      </c>
      <c r="B373" s="706">
        <v>2026</v>
      </c>
      <c r="C373" s="706" t="s">
        <v>1835</v>
      </c>
      <c r="D373" s="706" t="s">
        <v>3281</v>
      </c>
      <c r="E373" s="706" t="s">
        <v>1142</v>
      </c>
      <c r="F373" s="706" t="s">
        <v>1136</v>
      </c>
      <c r="G373" s="706">
        <v>328283.88</v>
      </c>
      <c r="H373" s="706">
        <v>419297.4</v>
      </c>
      <c r="I373" s="706">
        <v>252464.39</v>
      </c>
      <c r="J373" s="706">
        <v>907691.66</v>
      </c>
      <c r="K373" s="706">
        <v>527181.18000000005</v>
      </c>
      <c r="L373" s="706">
        <v>1240573.3799999999</v>
      </c>
      <c r="M373" s="706">
        <v>-525115.57999999996</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G22009</v>
      </c>
      <c r="AK373" s="905" t="str">
        <f t="shared" si="31"/>
        <v>AR VEH. FLOTTES</v>
      </c>
      <c r="AL373" s="905">
        <f>IFERROR(INDEX(G373:R373,1,MATCH(Parametres!$B$3,G$1:R$1,0)-1)*IF(OR(F373="L",F373="S",F373="I"),-1,1),"")</f>
        <v>527181.18000000005</v>
      </c>
      <c r="AM373" s="905">
        <f t="shared" si="32"/>
        <v>713392.19999999984</v>
      </c>
      <c r="AN373" s="905">
        <f>INDEX(G373:R373,1,MATCH(Parametres!$B$3,G$1:R$1,0))*IF(OR(F373="L",F373="S",F373="I"),-1,1)</f>
        <v>1240573.3799999999</v>
      </c>
      <c r="AO373" s="487" t="str">
        <f>+VLOOKUP($AJ373,Data_Validation!$A:$D,1,0)</f>
        <v>G22009</v>
      </c>
      <c r="AP373" s="487" t="str">
        <f>+VLOOKUP($AJ373,Data_Validation!$A:$D,3,0)</f>
        <v>Bilan</v>
      </c>
      <c r="AQ373" s="487" t="str">
        <f>+VLOOKUP($AJ373,Data_Validation!$A:$D,4,0)</f>
        <v>Recevables Véhicules</v>
      </c>
      <c r="AR373" s="487" t="s">
        <v>299</v>
      </c>
      <c r="AS373" s="487">
        <f>+VLOOKUP($AJ373,Data_Validation!$A:$E,5,0)</f>
        <v>0</v>
      </c>
      <c r="AT373" s="904" t="str">
        <f t="shared" si="33"/>
        <v>G22009</v>
      </c>
      <c r="AU373" s="488" t="str">
        <f t="shared" si="34"/>
        <v>AR VEH. FLOTTES</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customHeight="1">
      <c r="A374" s="706" t="s">
        <v>1148</v>
      </c>
      <c r="B374" s="706">
        <v>2026</v>
      </c>
      <c r="C374" s="706" t="s">
        <v>1837</v>
      </c>
      <c r="D374" s="706" t="s">
        <v>1797</v>
      </c>
      <c r="E374" s="706" t="s">
        <v>1137</v>
      </c>
      <c r="F374" s="706" t="s">
        <v>1136</v>
      </c>
      <c r="G374" s="706">
        <v>0</v>
      </c>
      <c r="H374" s="706">
        <v>0</v>
      </c>
      <c r="I374" s="706">
        <v>0</v>
      </c>
      <c r="J374" s="706">
        <v>0</v>
      </c>
      <c r="K374" s="706">
        <v>0</v>
      </c>
      <c r="L374" s="706">
        <v>0</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G2201A</v>
      </c>
      <c r="AK374" s="905" t="str">
        <f t="shared" si="31"/>
        <v>BNQ NATIONALE MASTER CARD</v>
      </c>
      <c r="AL374" s="905">
        <f>IFERROR(INDEX(G374:R374,1,MATCH(Parametres!$B$3,G$1:R$1,0)-1)*IF(OR(F374="L",F374="S",F374="I"),-1,1),"")</f>
        <v>0</v>
      </c>
      <c r="AM374" s="905">
        <f t="shared" si="32"/>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t="str">
        <f t="shared" si="33"/>
        <v>G2201A</v>
      </c>
      <c r="AU374" s="488" t="str">
        <f t="shared" si="34"/>
        <v>BNQ NATIONALE MASTER CARD</v>
      </c>
      <c r="AV374" s="899">
        <f>IFERROR(INDEX(V374:AG374,1,MATCH(Parametres!$B$3,V$1:AG$1,0)-1)*IF(OR(C374="L",C374="S",C374="I"),-1,1),"")</f>
        <v>0</v>
      </c>
      <c r="AW374" s="899">
        <f t="shared" si="35"/>
        <v>0</v>
      </c>
      <c r="AX374" s="899">
        <f>INDEX(V374:AG374,1,MATCH(Parametres!$B$3,V$1:AG$1,0))*IF(OR(C374="L",C374="S",C374="I"),-1,1)</f>
        <v>0</v>
      </c>
      <c r="AY374" s="487" t="s">
        <v>337</v>
      </c>
      <c r="AZ374" s="487" t="e">
        <f>+VLOOKUP($AJ374,Data_Validation!$A:$E,5,0)</f>
        <v>#N/A</v>
      </c>
    </row>
    <row r="375" spans="1:52" ht="15.75" customHeight="1">
      <c r="A375" s="706" t="s">
        <v>1148</v>
      </c>
      <c r="B375" s="706">
        <v>2026</v>
      </c>
      <c r="C375" s="706" t="s">
        <v>1838</v>
      </c>
      <c r="D375" s="706" t="s">
        <v>3282</v>
      </c>
      <c r="E375" s="706" t="s">
        <v>336</v>
      </c>
      <c r="F375" s="706" t="s">
        <v>1136</v>
      </c>
      <c r="G375" s="706">
        <v>1205845.54</v>
      </c>
      <c r="H375" s="706">
        <v>660878.1</v>
      </c>
      <c r="I375" s="706">
        <v>854273.64</v>
      </c>
      <c r="J375" s="706">
        <v>-28927.11</v>
      </c>
      <c r="K375" s="706">
        <v>2275778.8199999998</v>
      </c>
      <c r="L375" s="706">
        <v>199296.8</v>
      </c>
      <c r="M375" s="706">
        <v>45066.66</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G22010</v>
      </c>
      <c r="AK375" s="905" t="str">
        <f t="shared" si="31"/>
        <v>AR VEH. US MANHEIM</v>
      </c>
      <c r="AL375" s="905">
        <f>IFERROR(INDEX(G375:R375,1,MATCH(Parametres!$B$3,G$1:R$1,0)-1)*IF(OR(F375="L",F375="S",F375="I"),-1,1),"")</f>
        <v>2275778.8199999998</v>
      </c>
      <c r="AM375" s="905">
        <f t="shared" si="32"/>
        <v>-2076482.0199999998</v>
      </c>
      <c r="AN375" s="905">
        <f>INDEX(G375:R375,1,MATCH(Parametres!$B$3,G$1:R$1,0))*IF(OR(F375="L",F375="S",F375="I"),-1,1)</f>
        <v>199296.8</v>
      </c>
      <c r="AO375" s="487" t="str">
        <f>+VLOOKUP($AJ375,Data_Validation!$A:$D,1,0)</f>
        <v>G22010</v>
      </c>
      <c r="AP375" s="487" t="str">
        <f>+VLOOKUP($AJ375,Data_Validation!$A:$D,3,0)</f>
        <v>Bilan</v>
      </c>
      <c r="AQ375" s="487" t="str">
        <f>+VLOOKUP($AJ375,Data_Validation!$A:$D,4,0)</f>
        <v>Recevables Véhicules</v>
      </c>
      <c r="AR375" s="487" t="s">
        <v>299</v>
      </c>
      <c r="AS375" s="487">
        <f>+VLOOKUP($AJ375,Data_Validation!$A:$E,5,0)</f>
        <v>0</v>
      </c>
      <c r="AT375" s="904" t="str">
        <f t="shared" si="33"/>
        <v>G22010</v>
      </c>
      <c r="AU375" s="488" t="str">
        <f t="shared" si="34"/>
        <v>AR VEH. US MANHEIM</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customHeight="1">
      <c r="A376" s="706" t="s">
        <v>1148</v>
      </c>
      <c r="B376" s="706">
        <v>2026</v>
      </c>
      <c r="C376" s="706" t="s">
        <v>1840</v>
      </c>
      <c r="D376" s="706" t="s">
        <v>3283</v>
      </c>
      <c r="E376" s="706" t="s">
        <v>336</v>
      </c>
      <c r="F376" s="706" t="s">
        <v>1136</v>
      </c>
      <c r="G376" s="706">
        <v>173414.74</v>
      </c>
      <c r="H376" s="706">
        <v>196896.72</v>
      </c>
      <c r="I376" s="706">
        <v>476846.22</v>
      </c>
      <c r="J376" s="706">
        <v>791139.29</v>
      </c>
      <c r="K376" s="706">
        <v>149762.91</v>
      </c>
      <c r="L376" s="706">
        <v>369613.19</v>
      </c>
      <c r="M376" s="706">
        <v>104943.21</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G22011</v>
      </c>
      <c r="AK376" s="905" t="str">
        <f t="shared" si="31"/>
        <v>AR VEH. EBLOCK</v>
      </c>
      <c r="AL376" s="905">
        <f>IFERROR(INDEX(G376:R376,1,MATCH(Parametres!$B$3,G$1:R$1,0)-1)*IF(OR(F376="L",F376="S",F376="I"),-1,1),"")</f>
        <v>149762.91</v>
      </c>
      <c r="AM376" s="905">
        <f t="shared" si="32"/>
        <v>219850.28</v>
      </c>
      <c r="AN376" s="905">
        <f>INDEX(G376:R376,1,MATCH(Parametres!$B$3,G$1:R$1,0))*IF(OR(F376="L",F376="S",F376="I"),-1,1)</f>
        <v>369613.19</v>
      </c>
      <c r="AO376" s="487" t="str">
        <f>+VLOOKUP($AJ376,Data_Validation!$A:$D,1,0)</f>
        <v>G22011</v>
      </c>
      <c r="AP376" s="487" t="str">
        <f>+VLOOKUP($AJ376,Data_Validation!$A:$D,3,0)</f>
        <v>Bilan</v>
      </c>
      <c r="AQ376" s="487" t="str">
        <f>+VLOOKUP($AJ376,Data_Validation!$A:$D,4,0)</f>
        <v>Recevables Véhicules</v>
      </c>
      <c r="AR376" s="487" t="s">
        <v>299</v>
      </c>
      <c r="AS376" s="487">
        <f>+VLOOKUP($AJ376,Data_Validation!$A:$E,5,0)</f>
        <v>0</v>
      </c>
      <c r="AT376" s="904" t="str">
        <f t="shared" si="33"/>
        <v>G22011</v>
      </c>
      <c r="AU376" s="488" t="str">
        <f t="shared" si="34"/>
        <v>AR VEH. EBLOCK</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customHeight="1">
      <c r="A377" s="706" t="s">
        <v>1148</v>
      </c>
      <c r="B377" s="706">
        <v>2026</v>
      </c>
      <c r="C377" s="706" t="s">
        <v>1842</v>
      </c>
      <c r="D377" s="706" t="s">
        <v>1843</v>
      </c>
      <c r="E377" s="706" t="s">
        <v>336</v>
      </c>
      <c r="F377" s="706" t="s">
        <v>1136</v>
      </c>
      <c r="G377" s="706">
        <v>0</v>
      </c>
      <c r="H377" s="706">
        <v>0</v>
      </c>
      <c r="I377" s="706">
        <v>0</v>
      </c>
      <c r="J377" s="706">
        <v>0</v>
      </c>
      <c r="K377" s="706">
        <v>0</v>
      </c>
      <c r="L377" s="706">
        <v>0</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G22012</v>
      </c>
      <c r="AK377" s="905" t="str">
        <f t="shared" si="31"/>
        <v>VENTES FOSS NATIONAL LEAS</v>
      </c>
      <c r="AL377" s="905">
        <f>IFERROR(INDEX(G377:R377,1,MATCH(Parametres!$B$3,G$1:R$1,0)-1)*IF(OR(F377="L",F377="S",F377="I"),-1,1),"")</f>
        <v>0</v>
      </c>
      <c r="AM377" s="905">
        <f t="shared" si="32"/>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t="str">
        <f t="shared" si="33"/>
        <v>G22012</v>
      </c>
      <c r="AU377" s="488" t="str">
        <f t="shared" si="34"/>
        <v>VENTES FOSS NATIONAL LEAS</v>
      </c>
      <c r="AV377" s="899">
        <f>IFERROR(INDEX(V377:AG377,1,MATCH(Parametres!$B$3,V$1:AG$1,0)-1)*IF(OR(C377="L",C377="S",C377="I"),-1,1),"")</f>
        <v>0</v>
      </c>
      <c r="AW377" s="899">
        <f t="shared" si="35"/>
        <v>0</v>
      </c>
      <c r="AX377" s="899">
        <f>INDEX(V377:AG377,1,MATCH(Parametres!$B$3,V$1:AG$1,0))*IF(OR(C377="L",C377="S",C377="I"),-1,1)</f>
        <v>0</v>
      </c>
      <c r="AY377" s="487" t="s">
        <v>337</v>
      </c>
      <c r="AZ377" s="487" t="e">
        <f>+VLOOKUP($AJ377,Data_Validation!$A:$E,5,0)</f>
        <v>#N/A</v>
      </c>
    </row>
    <row r="378" spans="1:52" ht="15.75" customHeight="1">
      <c r="A378" s="706" t="s">
        <v>1148</v>
      </c>
      <c r="B378" s="706">
        <v>2026</v>
      </c>
      <c r="C378" s="706" t="s">
        <v>1844</v>
      </c>
      <c r="D378" s="706" t="s">
        <v>3284</v>
      </c>
      <c r="E378" s="706" t="s">
        <v>336</v>
      </c>
      <c r="F378" s="706" t="s">
        <v>1136</v>
      </c>
      <c r="G378" s="706">
        <v>0</v>
      </c>
      <c r="H378" s="706">
        <v>0</v>
      </c>
      <c r="I378" s="706">
        <v>0</v>
      </c>
      <c r="J378" s="706">
        <v>0</v>
      </c>
      <c r="K378" s="706">
        <v>264980.44</v>
      </c>
      <c r="L378" s="706">
        <v>105895.59</v>
      </c>
      <c r="M378" s="706">
        <v>-183314.73</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G22013</v>
      </c>
      <c r="AK378" s="905" t="str">
        <f t="shared" si="31"/>
        <v>AR VEH LOCATION SAUVAGEAU</v>
      </c>
      <c r="AL378" s="905">
        <f>IFERROR(INDEX(G378:R378,1,MATCH(Parametres!$B$3,G$1:R$1,0)-1)*IF(OR(F378="L",F378="S",F378="I"),-1,1),"")</f>
        <v>264980.44</v>
      </c>
      <c r="AM378" s="905">
        <f t="shared" si="32"/>
        <v>-159084.85</v>
      </c>
      <c r="AN378" s="905">
        <f>INDEX(G378:R378,1,MATCH(Parametres!$B$3,G$1:R$1,0))*IF(OR(F378="L",F378="S",F378="I"),-1,1)</f>
        <v>105895.59</v>
      </c>
      <c r="AO378" s="487" t="str">
        <f>+VLOOKUP($AJ378,Data_Validation!$A:$D,1,0)</f>
        <v>G22013</v>
      </c>
      <c r="AP378" s="487" t="str">
        <f>+VLOOKUP($AJ378,Data_Validation!$A:$D,3,0)</f>
        <v>Bilan</v>
      </c>
      <c r="AQ378" s="487" t="str">
        <f>+VLOOKUP($AJ378,Data_Validation!$A:$D,4,0)</f>
        <v>Recevables Véhicules</v>
      </c>
      <c r="AR378" s="487" t="s">
        <v>299</v>
      </c>
      <c r="AS378" s="487">
        <f>+VLOOKUP($AJ378,Data_Validation!$A:$E,5,0)</f>
        <v>0</v>
      </c>
      <c r="AT378" s="904" t="str">
        <f t="shared" si="33"/>
        <v>G22013</v>
      </c>
      <c r="AU378" s="488" t="str">
        <f t="shared" si="34"/>
        <v>AR VEH LOCATION SAUVAGEAU</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customHeight="1">
      <c r="A379" s="706" t="s">
        <v>1148</v>
      </c>
      <c r="B379" s="706">
        <v>2026</v>
      </c>
      <c r="C379" s="706" t="s">
        <v>1846</v>
      </c>
      <c r="D379" s="706" t="s">
        <v>3285</v>
      </c>
      <c r="E379" s="706" t="s">
        <v>336</v>
      </c>
      <c r="F379" s="706" t="s">
        <v>1136</v>
      </c>
      <c r="G379" s="706">
        <v>317048.37</v>
      </c>
      <c r="H379" s="706">
        <v>669067.78</v>
      </c>
      <c r="I379" s="706">
        <v>578541.78</v>
      </c>
      <c r="J379" s="706">
        <v>290895.05</v>
      </c>
      <c r="K379" s="706">
        <v>513308.96</v>
      </c>
      <c r="L379" s="706">
        <v>415497.53</v>
      </c>
      <c r="M379" s="706">
        <v>229818.8</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G22014</v>
      </c>
      <c r="AK379" s="905" t="str">
        <f t="shared" si="31"/>
        <v>AR VEH JIM PATTISON LEASE</v>
      </c>
      <c r="AL379" s="905">
        <f>IFERROR(INDEX(G379:R379,1,MATCH(Parametres!$B$3,G$1:R$1,0)-1)*IF(OR(F379="L",F379="S",F379="I"),-1,1),"")</f>
        <v>513308.96</v>
      </c>
      <c r="AM379" s="905">
        <f t="shared" si="32"/>
        <v>-97811.43</v>
      </c>
      <c r="AN379" s="905">
        <f>INDEX(G379:R379,1,MATCH(Parametres!$B$3,G$1:R$1,0))*IF(OR(F379="L",F379="S",F379="I"),-1,1)</f>
        <v>415497.53</v>
      </c>
      <c r="AO379" s="487" t="str">
        <f>+VLOOKUP($AJ379,Data_Validation!$A:$D,1,0)</f>
        <v>G22014</v>
      </c>
      <c r="AP379" s="487" t="str">
        <f>+VLOOKUP($AJ379,Data_Validation!$A:$D,3,0)</f>
        <v>Bilan</v>
      </c>
      <c r="AQ379" s="487" t="str">
        <f>+VLOOKUP($AJ379,Data_Validation!$A:$D,4,0)</f>
        <v>Recevables Véhicules</v>
      </c>
      <c r="AR379" s="487" t="s">
        <v>299</v>
      </c>
      <c r="AS379" s="487">
        <f>+VLOOKUP($AJ379,Data_Validation!$A:$E,5,0)</f>
        <v>0</v>
      </c>
      <c r="AT379" s="904" t="str">
        <f t="shared" si="33"/>
        <v>G22014</v>
      </c>
      <c r="AU379" s="488" t="str">
        <f t="shared" si="34"/>
        <v>AR VEH JIM PATTISON LEASE</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customHeight="1">
      <c r="A380" s="706" t="s">
        <v>1148</v>
      </c>
      <c r="B380" s="706">
        <v>2026</v>
      </c>
      <c r="C380" s="706" t="s">
        <v>1848</v>
      </c>
      <c r="D380" s="706" t="s">
        <v>1849</v>
      </c>
      <c r="E380" s="706" t="s">
        <v>333</v>
      </c>
      <c r="F380" s="706" t="s">
        <v>1136</v>
      </c>
      <c r="G380" s="706">
        <v>0</v>
      </c>
      <c r="H380" s="706">
        <v>0</v>
      </c>
      <c r="I380" s="706">
        <v>0</v>
      </c>
      <c r="J380" s="706">
        <v>0</v>
      </c>
      <c r="K380" s="706">
        <v>0</v>
      </c>
      <c r="L380" s="706">
        <v>0</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G22015</v>
      </c>
      <c r="AK380" s="905" t="str">
        <f t="shared" si="31"/>
        <v>VENTES 9515-1726 QC</v>
      </c>
      <c r="AL380" s="905">
        <f>IFERROR(INDEX(G380:R380,1,MATCH(Parametres!$B$3,G$1:R$1,0)-1)*IF(OR(F380="L",F380="S",F380="I"),-1,1),"")</f>
        <v>0</v>
      </c>
      <c r="AM380" s="905">
        <f t="shared" si="32"/>
        <v>0</v>
      </c>
      <c r="AN380" s="905">
        <f>INDEX(G380:R380,1,MATCH(Parametres!$B$3,G$1:R$1,0))*IF(OR(F380="L",F380="S",F380="I"),-1,1)</f>
        <v>0</v>
      </c>
      <c r="AO380" s="487" t="str">
        <f>+VLOOKUP($AJ380,Data_Validation!$A:$D,1,0)</f>
        <v>G22015</v>
      </c>
      <c r="AP380" s="487" t="str">
        <f>+VLOOKUP($AJ380,Data_Validation!$A:$D,3,0)</f>
        <v>Bilan</v>
      </c>
      <c r="AQ380" s="487" t="str">
        <f>+VLOOKUP($AJ380,Data_Validation!$A:$D,4,0)</f>
        <v>Recevables Véhicules</v>
      </c>
      <c r="AR380" s="487" t="s">
        <v>299</v>
      </c>
      <c r="AS380" s="487">
        <f>+VLOOKUP($AJ380,Data_Validation!$A:$E,5,0)</f>
        <v>0</v>
      </c>
      <c r="AT380" s="904" t="str">
        <f t="shared" si="33"/>
        <v>G22015</v>
      </c>
      <c r="AU380" s="488" t="str">
        <f t="shared" si="34"/>
        <v>VENTES 9515-1726 QC</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customHeight="1">
      <c r="A381" s="706" t="s">
        <v>1148</v>
      </c>
      <c r="B381" s="706">
        <v>2026</v>
      </c>
      <c r="C381" s="706" t="s">
        <v>1850</v>
      </c>
      <c r="D381" s="706" t="s">
        <v>3286</v>
      </c>
      <c r="E381" s="706" t="s">
        <v>336</v>
      </c>
      <c r="F381" s="706" t="s">
        <v>1136</v>
      </c>
      <c r="G381" s="706">
        <v>6226.88</v>
      </c>
      <c r="H381" s="706">
        <v>6282.48</v>
      </c>
      <c r="I381" s="706">
        <v>6282.48</v>
      </c>
      <c r="J381" s="706">
        <v>6282.48</v>
      </c>
      <c r="K381" s="706">
        <v>6282.48</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G22016</v>
      </c>
      <c r="AK381" s="905" t="str">
        <f t="shared" si="31"/>
        <v>AR VEH.9482-3176 QUEB INC</v>
      </c>
      <c r="AL381" s="905">
        <f>IFERROR(INDEX(G381:R381,1,MATCH(Parametres!$B$3,G$1:R$1,0)-1)*IF(OR(F381="L",F381="S",F381="I"),-1,1),"")</f>
        <v>6282.48</v>
      </c>
      <c r="AM381" s="905">
        <f t="shared" si="32"/>
        <v>-6282.48</v>
      </c>
      <c r="AN381" s="905">
        <f>INDEX(G381:R381,1,MATCH(Parametres!$B$3,G$1:R$1,0))*IF(OR(F381="L",F381="S",F381="I"),-1,1)</f>
        <v>0</v>
      </c>
      <c r="AO381" s="487" t="str">
        <f>+VLOOKUP($AJ381,Data_Validation!$A:$D,1,0)</f>
        <v>G22016</v>
      </c>
      <c r="AP381" s="487" t="str">
        <f>+VLOOKUP($AJ381,Data_Validation!$A:$D,3,0)</f>
        <v>Bilan</v>
      </c>
      <c r="AQ381" s="487" t="str">
        <f>+VLOOKUP($AJ381,Data_Validation!$A:$D,4,0)</f>
        <v>Recevables Véhicules</v>
      </c>
      <c r="AR381" s="487" t="s">
        <v>299</v>
      </c>
      <c r="AS381" s="487">
        <f>+VLOOKUP($AJ381,Data_Validation!$A:$E,5,0)</f>
        <v>0</v>
      </c>
      <c r="AT381" s="904" t="str">
        <f t="shared" si="33"/>
        <v>G22016</v>
      </c>
      <c r="AU381" s="488" t="str">
        <f t="shared" si="34"/>
        <v>AR VEH.9482-3176 QUEB INC</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customHeight="1">
      <c r="A382" s="706" t="s">
        <v>1148</v>
      </c>
      <c r="B382" s="706">
        <v>2026</v>
      </c>
      <c r="C382" s="706" t="s">
        <v>1852</v>
      </c>
      <c r="D382" s="706" t="s">
        <v>1853</v>
      </c>
      <c r="E382" s="706" t="s">
        <v>336</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G22017</v>
      </c>
      <c r="AK382" s="905" t="str">
        <f t="shared" si="31"/>
        <v>VENTES EMKAY INC</v>
      </c>
      <c r="AL382" s="905">
        <f>IFERROR(INDEX(G382:R382,1,MATCH(Parametres!$B$3,G$1:R$1,0)-1)*IF(OR(F382="L",F382="S",F382="I"),-1,1),"")</f>
        <v>0</v>
      </c>
      <c r="AM382" s="905">
        <f t="shared" si="32"/>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t="str">
        <f t="shared" si="33"/>
        <v>G22017</v>
      </c>
      <c r="AU382" s="488" t="str">
        <f t="shared" si="34"/>
        <v>VENTES EMKAY INC</v>
      </c>
      <c r="AV382" s="899">
        <f>IFERROR(INDEX(V382:AG382,1,MATCH(Parametres!$B$3,V$1:AG$1,0)-1)*IF(OR(C382="L",C382="S",C382="I"),-1,1),"")</f>
        <v>0</v>
      </c>
      <c r="AW382" s="899">
        <f t="shared" si="35"/>
        <v>0</v>
      </c>
      <c r="AX382" s="899">
        <f>INDEX(V382:AG382,1,MATCH(Parametres!$B$3,V$1:AG$1,0))*IF(OR(C382="L",C382="S",C382="I"),-1,1)</f>
        <v>0</v>
      </c>
      <c r="AY382" s="487" t="s">
        <v>337</v>
      </c>
      <c r="AZ382" s="487" t="e">
        <f>+VLOOKUP($AJ382,Data_Validation!$A:$E,5,0)</f>
        <v>#N/A</v>
      </c>
    </row>
    <row r="383" spans="1:52" ht="15.75" customHeight="1">
      <c r="A383" s="706" t="s">
        <v>1148</v>
      </c>
      <c r="B383" s="706">
        <v>2026</v>
      </c>
      <c r="C383" s="706" t="s">
        <v>1854</v>
      </c>
      <c r="D383" s="706" t="s">
        <v>1855</v>
      </c>
      <c r="E383" s="706" t="s">
        <v>336</v>
      </c>
      <c r="F383" s="706" t="s">
        <v>1136</v>
      </c>
      <c r="G383" s="706">
        <v>0</v>
      </c>
      <c r="H383" s="706">
        <v>0</v>
      </c>
      <c r="I383" s="706">
        <v>0</v>
      </c>
      <c r="J383" s="706">
        <v>0</v>
      </c>
      <c r="K383" s="706">
        <v>0</v>
      </c>
      <c r="L383" s="706">
        <v>0</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G22020</v>
      </c>
      <c r="AK383" s="905" t="str">
        <f t="shared" si="31"/>
        <v>VENTES STE-MARIE</v>
      </c>
      <c r="AL383" s="905">
        <f>IFERROR(INDEX(G383:R383,1,MATCH(Parametres!$B$3,G$1:R$1,0)-1)*IF(OR(F383="L",F383="S",F383="I"),-1,1),"")</f>
        <v>0</v>
      </c>
      <c r="AM383" s="905">
        <f t="shared" si="32"/>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t="str">
        <f t="shared" si="33"/>
        <v>G22020</v>
      </c>
      <c r="AU383" s="488" t="str">
        <f t="shared" si="34"/>
        <v>VENTES STE-MARIE</v>
      </c>
      <c r="AV383" s="899">
        <f>IFERROR(INDEX(V383:AG383,1,MATCH(Parametres!$B$3,V$1:AG$1,0)-1)*IF(OR(C383="L",C383="S",C383="I"),-1,1),"")</f>
        <v>0</v>
      </c>
      <c r="AW383" s="899">
        <f t="shared" si="35"/>
        <v>0</v>
      </c>
      <c r="AX383" s="899">
        <f>INDEX(V383:AG383,1,MATCH(Parametres!$B$3,V$1:AG$1,0))*IF(OR(C383="L",C383="S",C383="I"),-1,1)</f>
        <v>0</v>
      </c>
      <c r="AY383" s="487" t="s">
        <v>337</v>
      </c>
      <c r="AZ383" s="487" t="e">
        <f>+VLOOKUP($AJ383,Data_Validation!$A:$E,5,0)</f>
        <v>#N/A</v>
      </c>
    </row>
    <row r="384" spans="1:52" ht="15.75" customHeight="1">
      <c r="A384" s="706" t="s">
        <v>1148</v>
      </c>
      <c r="B384" s="706">
        <v>2026</v>
      </c>
      <c r="C384" s="706" t="s">
        <v>1856</v>
      </c>
      <c r="D384" s="706" t="s">
        <v>3287</v>
      </c>
      <c r="E384" s="706" t="s">
        <v>336</v>
      </c>
      <c r="F384" s="706" t="s">
        <v>1136</v>
      </c>
      <c r="G384" s="706">
        <v>651677.89</v>
      </c>
      <c r="H384" s="706">
        <v>546648.42000000004</v>
      </c>
      <c r="I384" s="706">
        <v>-326520.19</v>
      </c>
      <c r="J384" s="706">
        <v>281456.7</v>
      </c>
      <c r="K384" s="706">
        <v>50944.04</v>
      </c>
      <c r="L384" s="706">
        <v>0</v>
      </c>
      <c r="M384" s="706">
        <v>28370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G22030</v>
      </c>
      <c r="AK384" s="905" t="str">
        <f t="shared" si="31"/>
        <v>AR VEH.  HAWKESBURY</v>
      </c>
      <c r="AL384" s="905">
        <f>IFERROR(INDEX(G384:R384,1,MATCH(Parametres!$B$3,G$1:R$1,0)-1)*IF(OR(F384="L",F384="S",F384="I"),-1,1),"")</f>
        <v>50944.04</v>
      </c>
      <c r="AM384" s="905">
        <f t="shared" si="32"/>
        <v>-50944.04</v>
      </c>
      <c r="AN384" s="905">
        <f>INDEX(G384:R384,1,MATCH(Parametres!$B$3,G$1:R$1,0))*IF(OR(F384="L",F384="S",F384="I"),-1,1)</f>
        <v>0</v>
      </c>
      <c r="AO384" s="487" t="str">
        <f>+VLOOKUP($AJ384,Data_Validation!$A:$D,1,0)</f>
        <v>G22030</v>
      </c>
      <c r="AP384" s="487" t="str">
        <f>+VLOOKUP($AJ384,Data_Validation!$A:$D,3,0)</f>
        <v>Bilan</v>
      </c>
      <c r="AQ384" s="487" t="str">
        <f>+VLOOKUP($AJ384,Data_Validation!$A:$D,4,0)</f>
        <v>Recevables Intercos</v>
      </c>
      <c r="AR384" s="487" t="s">
        <v>299</v>
      </c>
      <c r="AS384" s="487">
        <f>+VLOOKUP($AJ384,Data_Validation!$A:$E,5,0)</f>
        <v>0</v>
      </c>
      <c r="AT384" s="904" t="str">
        <f t="shared" si="33"/>
        <v>G22030</v>
      </c>
      <c r="AU384" s="488" t="str">
        <f t="shared" si="34"/>
        <v>AR VEH.  HAWKESBURY</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customHeight="1">
      <c r="A385" s="706" t="s">
        <v>1148</v>
      </c>
      <c r="B385" s="706">
        <v>2026</v>
      </c>
      <c r="C385" s="706" t="s">
        <v>1858</v>
      </c>
      <c r="D385" s="706" t="s">
        <v>3288</v>
      </c>
      <c r="E385" s="706" t="s">
        <v>336</v>
      </c>
      <c r="F385" s="706" t="s">
        <v>1136</v>
      </c>
      <c r="G385" s="706">
        <v>0</v>
      </c>
      <c r="H385" s="706">
        <v>0</v>
      </c>
      <c r="I385" s="706">
        <v>-67879.360000000001</v>
      </c>
      <c r="J385" s="706">
        <v>45131.73</v>
      </c>
      <c r="K385" s="706">
        <v>44677.5</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G22035</v>
      </c>
      <c r="AK385" s="905" t="str">
        <f t="shared" si="31"/>
        <v>AR VEH. BMW SHERBROOKE</v>
      </c>
      <c r="AL385" s="905">
        <f>IFERROR(INDEX(G385:R385,1,MATCH(Parametres!$B$3,G$1:R$1,0)-1)*IF(OR(F385="L",F385="S",F385="I"),-1,1),"")</f>
        <v>44677.5</v>
      </c>
      <c r="AM385" s="905">
        <f t="shared" si="32"/>
        <v>-44677.5</v>
      </c>
      <c r="AN385" s="905">
        <f>INDEX(G385:R385,1,MATCH(Parametres!$B$3,G$1:R$1,0))*IF(OR(F385="L",F385="S",F385="I"),-1,1)</f>
        <v>0</v>
      </c>
      <c r="AO385" s="487" t="str">
        <f>+VLOOKUP($AJ385,Data_Validation!$A:$D,1,0)</f>
        <v>G22035</v>
      </c>
      <c r="AP385" s="487" t="str">
        <f>+VLOOKUP($AJ385,Data_Validation!$A:$D,3,0)</f>
        <v>Bilan</v>
      </c>
      <c r="AQ385" s="487" t="str">
        <f>+VLOOKUP($AJ385,Data_Validation!$A:$D,4,0)</f>
        <v>Recevables Intercos</v>
      </c>
      <c r="AR385" s="487" t="s">
        <v>299</v>
      </c>
      <c r="AS385" s="487">
        <f>+VLOOKUP($AJ385,Data_Validation!$A:$E,5,0)</f>
        <v>0</v>
      </c>
      <c r="AT385" s="904" t="str">
        <f t="shared" si="33"/>
        <v>G22035</v>
      </c>
      <c r="AU385" s="488" t="str">
        <f t="shared" si="34"/>
        <v>AR VEH. BMW SHERBROOKE</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customHeight="1">
      <c r="A386" s="706" t="s">
        <v>1148</v>
      </c>
      <c r="B386" s="706">
        <v>2026</v>
      </c>
      <c r="C386" s="706" t="s">
        <v>1860</v>
      </c>
      <c r="D386" s="706" t="s">
        <v>3289</v>
      </c>
      <c r="E386" s="706" t="s">
        <v>336</v>
      </c>
      <c r="F386" s="706" t="s">
        <v>1136</v>
      </c>
      <c r="G386" s="706">
        <v>282036.43</v>
      </c>
      <c r="H386" s="706">
        <v>400818.69</v>
      </c>
      <c r="I386" s="706">
        <v>688734.23</v>
      </c>
      <c r="J386" s="706">
        <v>943358.3</v>
      </c>
      <c r="K386" s="706">
        <v>1094008.1499999999</v>
      </c>
      <c r="L386" s="706">
        <v>680190.54</v>
      </c>
      <c r="M386" s="706">
        <v>354811.56</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G22040</v>
      </c>
      <c r="AK386" s="905" t="str">
        <f t="shared" si="31"/>
        <v>AR VEH. LOCATION LMB INC</v>
      </c>
      <c r="AL386" s="905">
        <f>IFERROR(INDEX(G386:R386,1,MATCH(Parametres!$B$3,G$1:R$1,0)-1)*IF(OR(F386="L",F386="S",F386="I"),-1,1),"")</f>
        <v>1094008.1499999999</v>
      </c>
      <c r="AM386" s="905">
        <f t="shared" si="32"/>
        <v>-413817.60999999987</v>
      </c>
      <c r="AN386" s="905">
        <f>INDEX(G386:R386,1,MATCH(Parametres!$B$3,G$1:R$1,0))*IF(OR(F386="L",F386="S",F386="I"),-1,1)</f>
        <v>680190.54</v>
      </c>
      <c r="AO386" s="487" t="str">
        <f>+VLOOKUP($AJ386,Data_Validation!$A:$D,1,0)</f>
        <v>G22040</v>
      </c>
      <c r="AP386" s="487" t="str">
        <f>+VLOOKUP($AJ386,Data_Validation!$A:$D,3,0)</f>
        <v>Bilan</v>
      </c>
      <c r="AQ386" s="487" t="str">
        <f>+VLOOKUP($AJ386,Data_Validation!$A:$D,4,0)</f>
        <v>Recevables Intercos</v>
      </c>
      <c r="AR386" s="487" t="s">
        <v>299</v>
      </c>
      <c r="AS386" s="487">
        <f>+VLOOKUP($AJ386,Data_Validation!$A:$E,5,0)</f>
        <v>0</v>
      </c>
      <c r="AT386" s="904" t="str">
        <f t="shared" si="33"/>
        <v>G22040</v>
      </c>
      <c r="AU386" s="488" t="str">
        <f t="shared" si="34"/>
        <v>AR VEH. LOCATION LMB INC</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customHeight="1">
      <c r="A387" s="706" t="s">
        <v>1148</v>
      </c>
      <c r="B387" s="706">
        <v>2026</v>
      </c>
      <c r="C387" s="706" t="s">
        <v>1862</v>
      </c>
      <c r="D387" s="706" t="s">
        <v>3290</v>
      </c>
      <c r="E387" s="706" t="s">
        <v>336</v>
      </c>
      <c r="F387" s="706" t="s">
        <v>1136</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G22045</v>
      </c>
      <c r="AK387" s="905" t="str">
        <f t="shared" si="31"/>
        <v>AR VEH. VOLKS BROSSARD</v>
      </c>
      <c r="AL387" s="905">
        <f>IFERROR(INDEX(G387:R387,1,MATCH(Parametres!$B$3,G$1:R$1,0)-1)*IF(OR(F387="L",F387="S",F387="I"),-1,1),"")</f>
        <v>0</v>
      </c>
      <c r="AM387" s="905">
        <f t="shared" si="32"/>
        <v>0</v>
      </c>
      <c r="AN387" s="905">
        <f>INDEX(G387:R387,1,MATCH(Parametres!$B$3,G$1:R$1,0))*IF(OR(F387="L",F387="S",F387="I"),-1,1)</f>
        <v>0</v>
      </c>
      <c r="AO387" s="487" t="str">
        <f>+VLOOKUP($AJ387,Data_Validation!$A:$D,1,0)</f>
        <v>G22045</v>
      </c>
      <c r="AP387" s="487" t="str">
        <f>+VLOOKUP($AJ387,Data_Validation!$A:$D,3,0)</f>
        <v>Bilan</v>
      </c>
      <c r="AQ387" s="487" t="str">
        <f>+VLOOKUP($AJ387,Data_Validation!$A:$D,4,0)</f>
        <v>Recevables Intercos</v>
      </c>
      <c r="AR387" s="487" t="s">
        <v>299</v>
      </c>
      <c r="AS387" s="487">
        <f>+VLOOKUP($AJ387,Data_Validation!$A:$E,5,0)</f>
        <v>0</v>
      </c>
      <c r="AT387" s="904" t="str">
        <f t="shared" si="33"/>
        <v>G22045</v>
      </c>
      <c r="AU387" s="488" t="str">
        <f t="shared" si="34"/>
        <v>AR VEH. VOLKS BROSSARD</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customHeight="1">
      <c r="A388" s="706" t="s">
        <v>1148</v>
      </c>
      <c r="B388" s="706">
        <v>2026</v>
      </c>
      <c r="C388" s="706" t="s">
        <v>1864</v>
      </c>
      <c r="D388" s="706" t="s">
        <v>3291</v>
      </c>
      <c r="E388" s="706" t="s">
        <v>336</v>
      </c>
      <c r="F388" s="706" t="s">
        <v>1136</v>
      </c>
      <c r="G388" s="706">
        <v>0</v>
      </c>
      <c r="H388" s="706">
        <v>0</v>
      </c>
      <c r="I388" s="706">
        <v>0</v>
      </c>
      <c r="J388" s="706">
        <v>0</v>
      </c>
      <c r="K388" s="706">
        <v>0</v>
      </c>
      <c r="L388" s="706">
        <v>0</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G22050</v>
      </c>
      <c r="AK388" s="905" t="str">
        <f t="shared" ref="AK388:AK451" si="37">D388</f>
        <v>AR VEH. HYUNDAI LONGUEUIL</v>
      </c>
      <c r="AL388" s="905">
        <f>IFERROR(INDEX(G388:R388,1,MATCH(Parametres!$B$3,G$1:R$1,0)-1)*IF(OR(F388="L",F388="S",F388="I"),-1,1),"")</f>
        <v>0</v>
      </c>
      <c r="AM388" s="905">
        <f t="shared" ref="AM388:AM451" si="38">AN388-AL388</f>
        <v>0</v>
      </c>
      <c r="AN388" s="905">
        <f>INDEX(G388:R388,1,MATCH(Parametres!$B$3,G$1:R$1,0))*IF(OR(F388="L",F388="S",F388="I"),-1,1)</f>
        <v>0</v>
      </c>
      <c r="AO388" s="487" t="str">
        <f>+VLOOKUP($AJ388,Data_Validation!$A:$D,1,0)</f>
        <v>G22050</v>
      </c>
      <c r="AP388" s="487" t="str">
        <f>+VLOOKUP($AJ388,Data_Validation!$A:$D,3,0)</f>
        <v>Bilan</v>
      </c>
      <c r="AQ388" s="487" t="str">
        <f>+VLOOKUP($AJ388,Data_Validation!$A:$D,4,0)</f>
        <v>Recevables Véhicules</v>
      </c>
      <c r="AR388" s="487" t="s">
        <v>299</v>
      </c>
      <c r="AS388" s="487">
        <f>+VLOOKUP($AJ388,Data_Validation!$A:$E,5,0)</f>
        <v>0</v>
      </c>
      <c r="AT388" s="904" t="str">
        <f t="shared" ref="AT388:AT451" si="39">C388</f>
        <v>G22050</v>
      </c>
      <c r="AU388" s="488" t="str">
        <f t="shared" ref="AU388:AU451" si="40">D388</f>
        <v>AR VEH. HYUNDAI LONGUEUIL</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customHeight="1">
      <c r="A389" s="706" t="s">
        <v>1148</v>
      </c>
      <c r="B389" s="706">
        <v>2026</v>
      </c>
      <c r="C389" s="706" t="s">
        <v>1866</v>
      </c>
      <c r="D389" s="706" t="s">
        <v>3292</v>
      </c>
      <c r="E389" s="706" t="s">
        <v>336</v>
      </c>
      <c r="F389" s="706" t="s">
        <v>1136</v>
      </c>
      <c r="G389" s="706">
        <v>826878.03</v>
      </c>
      <c r="H389" s="706">
        <v>1508198.55</v>
      </c>
      <c r="I389" s="706">
        <v>4024.11</v>
      </c>
      <c r="J389" s="706">
        <v>4024.12</v>
      </c>
      <c r="K389" s="706">
        <v>881889.16</v>
      </c>
      <c r="L389" s="706">
        <v>4024.12</v>
      </c>
      <c r="M389" s="706">
        <v>4024.12</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G22055</v>
      </c>
      <c r="AK389" s="905" t="str">
        <f t="shared" si="37"/>
        <v>AR VEH.GAR Y.M.DESMARRAIS</v>
      </c>
      <c r="AL389" s="905">
        <f>IFERROR(INDEX(G389:R389,1,MATCH(Parametres!$B$3,G$1:R$1,0)-1)*IF(OR(F389="L",F389="S",F389="I"),-1,1),"")</f>
        <v>881889.16</v>
      </c>
      <c r="AM389" s="905">
        <f t="shared" si="38"/>
        <v>-877865.04</v>
      </c>
      <c r="AN389" s="905">
        <f>INDEX(G389:R389,1,MATCH(Parametres!$B$3,G$1:R$1,0))*IF(OR(F389="L",F389="S",F389="I"),-1,1)</f>
        <v>4024.12</v>
      </c>
      <c r="AO389" s="487" t="str">
        <f>+VLOOKUP($AJ389,Data_Validation!$A:$D,1,0)</f>
        <v>G22055</v>
      </c>
      <c r="AP389" s="487" t="str">
        <f>+VLOOKUP($AJ389,Data_Validation!$A:$D,3,0)</f>
        <v>Bilan</v>
      </c>
      <c r="AQ389" s="487" t="str">
        <f>+VLOOKUP($AJ389,Data_Validation!$A:$D,4,0)</f>
        <v>Recevables Véhicules</v>
      </c>
      <c r="AR389" s="487" t="s">
        <v>299</v>
      </c>
      <c r="AS389" s="487">
        <f>+VLOOKUP($AJ389,Data_Validation!$A:$E,5,0)</f>
        <v>0</v>
      </c>
      <c r="AT389" s="904" t="str">
        <f t="shared" si="39"/>
        <v>G22055</v>
      </c>
      <c r="AU389" s="488" t="str">
        <f t="shared" si="40"/>
        <v>AR VEH.GAR Y.M.DESMARRAIS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customHeight="1">
      <c r="A390" s="706" t="s">
        <v>1148</v>
      </c>
      <c r="B390" s="706">
        <v>2026</v>
      </c>
      <c r="C390" s="706" t="s">
        <v>1868</v>
      </c>
      <c r="D390" s="706" t="s">
        <v>3293</v>
      </c>
      <c r="E390" s="706" t="s">
        <v>336</v>
      </c>
      <c r="F390" s="706" t="s">
        <v>1136</v>
      </c>
      <c r="G390" s="706">
        <v>492886.8</v>
      </c>
      <c r="H390" s="706">
        <v>580613.25</v>
      </c>
      <c r="I390" s="706">
        <v>568359.75</v>
      </c>
      <c r="J390" s="706">
        <v>269703</v>
      </c>
      <c r="K390" s="706">
        <v>150011.4</v>
      </c>
      <c r="L390" s="706">
        <v>107459.1</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G22060</v>
      </c>
      <c r="AK390" s="905" t="str">
        <f t="shared" si="37"/>
        <v>AR VEH.SIMPLICITÉ</v>
      </c>
      <c r="AL390" s="905">
        <f>IFERROR(INDEX(G390:R390,1,MATCH(Parametres!$B$3,G$1:R$1,0)-1)*IF(OR(F390="L",F390="S",F390="I"),-1,1),"")</f>
        <v>150011.4</v>
      </c>
      <c r="AM390" s="905">
        <f t="shared" si="38"/>
        <v>-42552.299999999988</v>
      </c>
      <c r="AN390" s="905">
        <f>INDEX(G390:R390,1,MATCH(Parametres!$B$3,G$1:R$1,0))*IF(OR(F390="L",F390="S",F390="I"),-1,1)</f>
        <v>107459.1</v>
      </c>
      <c r="AO390" s="487" t="str">
        <f>+VLOOKUP($AJ390,Data_Validation!$A:$D,1,0)</f>
        <v>G22060</v>
      </c>
      <c r="AP390" s="487" t="str">
        <f>+VLOOKUP($AJ390,Data_Validation!$A:$D,3,0)</f>
        <v>Bilan</v>
      </c>
      <c r="AQ390" s="487" t="str">
        <f>+VLOOKUP($AJ390,Data_Validation!$A:$D,4,0)</f>
        <v>Recevables Véhicules</v>
      </c>
      <c r="AR390" s="487" t="s">
        <v>299</v>
      </c>
      <c r="AS390" s="487">
        <f>+VLOOKUP($AJ390,Data_Validation!$A:$E,5,0)</f>
        <v>0</v>
      </c>
      <c r="AT390" s="904" t="str">
        <f t="shared" si="39"/>
        <v>G22060</v>
      </c>
      <c r="AU390" s="488" t="str">
        <f t="shared" si="40"/>
        <v>AR VEH.SIMPLICITÉ</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customHeight="1">
      <c r="A391" s="706" t="s">
        <v>1148</v>
      </c>
      <c r="B391" s="706">
        <v>2026</v>
      </c>
      <c r="C391" s="706" t="s">
        <v>1870</v>
      </c>
      <c r="D391" s="706" t="s">
        <v>1871</v>
      </c>
      <c r="E391" s="706" t="s">
        <v>333</v>
      </c>
      <c r="F391" s="706" t="s">
        <v>1136</v>
      </c>
      <c r="G391" s="706">
        <v>0</v>
      </c>
      <c r="H391" s="706">
        <v>0</v>
      </c>
      <c r="I391" s="706">
        <v>0</v>
      </c>
      <c r="J391" s="706">
        <v>0</v>
      </c>
      <c r="K391" s="706">
        <v>0</v>
      </c>
      <c r="L391" s="706">
        <v>0</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G22070</v>
      </c>
      <c r="AK391" s="905" t="str">
        <f t="shared" si="37"/>
        <v>GLOBE ST-CONSTANT</v>
      </c>
      <c r="AL391" s="905">
        <f>IFERROR(INDEX(G391:R391,1,MATCH(Parametres!$B$3,G$1:R$1,0)-1)*IF(OR(F391="L",F391="S",F391="I"),-1,1),"")</f>
        <v>0</v>
      </c>
      <c r="AM391" s="905">
        <f t="shared" si="38"/>
        <v>0</v>
      </c>
      <c r="AN391" s="905">
        <f>INDEX(G391:R391,1,MATCH(Parametres!$B$3,G$1:R$1,0))*IF(OR(F391="L",F391="S",F391="I"),-1,1)</f>
        <v>0</v>
      </c>
      <c r="AO391" s="487" t="str">
        <f>+VLOOKUP($AJ391,Data_Validation!$A:$D,1,0)</f>
        <v>G22070</v>
      </c>
      <c r="AP391" s="487" t="str">
        <f>+VLOOKUP($AJ391,Data_Validation!$A:$D,3,0)</f>
        <v>Bilan</v>
      </c>
      <c r="AQ391" s="487" t="str">
        <f>+VLOOKUP($AJ391,Data_Validation!$A:$D,4,0)</f>
        <v>Recevables Véhicules</v>
      </c>
      <c r="AR391" s="487" t="s">
        <v>299</v>
      </c>
      <c r="AS391" s="487">
        <f>+VLOOKUP($AJ391,Data_Validation!$A:$E,5,0)</f>
        <v>0</v>
      </c>
      <c r="AT391" s="904" t="str">
        <f t="shared" si="39"/>
        <v>G22070</v>
      </c>
      <c r="AU391" s="488" t="str">
        <f t="shared" si="40"/>
        <v>GLOBE ST-CONSTANT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customHeight="1">
      <c r="A392" s="706" t="s">
        <v>1148</v>
      </c>
      <c r="B392" s="706">
        <v>2026</v>
      </c>
      <c r="C392" s="706" t="s">
        <v>1872</v>
      </c>
      <c r="D392" s="706" t="s">
        <v>1873</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G22080</v>
      </c>
      <c r="AK392" s="905" t="str">
        <f t="shared" si="37"/>
        <v>GLOBE MONT-ROYAL</v>
      </c>
      <c r="AL392" s="905">
        <f>IFERROR(INDEX(G392:R392,1,MATCH(Parametres!$B$3,G$1:R$1,0)-1)*IF(OR(F392="L",F392="S",F392="I"),-1,1),"")</f>
        <v>0</v>
      </c>
      <c r="AM392" s="905">
        <f t="shared" si="38"/>
        <v>0</v>
      </c>
      <c r="AN392" s="905">
        <f>INDEX(G392:R392,1,MATCH(Parametres!$B$3,G$1:R$1,0))*IF(OR(F392="L",F392="S",F392="I"),-1,1)</f>
        <v>0</v>
      </c>
      <c r="AO392" s="487" t="str">
        <f>+VLOOKUP($AJ392,Data_Validation!$A:$D,1,0)</f>
        <v>G22080</v>
      </c>
      <c r="AP392" s="487">
        <f>+VLOOKUP($AJ392,Data_Validation!$A:$D,3,0)</f>
        <v>0</v>
      </c>
      <c r="AQ392" s="487">
        <f>+VLOOKUP($AJ392,Data_Validation!$A:$D,4,0)</f>
        <v>0</v>
      </c>
      <c r="AR392" s="487" t="s">
        <v>299</v>
      </c>
      <c r="AS392" s="487">
        <f>+VLOOKUP($AJ392,Data_Validation!$A:$E,5,0)</f>
        <v>0</v>
      </c>
      <c r="AT392" s="904" t="str">
        <f t="shared" si="39"/>
        <v>G22080</v>
      </c>
      <c r="AU392" s="488" t="str">
        <f t="shared" si="40"/>
        <v>GLOBE MONT-ROYAL</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customHeight="1">
      <c r="A393" s="706" t="s">
        <v>1148</v>
      </c>
      <c r="B393" s="706">
        <v>2026</v>
      </c>
      <c r="C393" s="706" t="s">
        <v>1874</v>
      </c>
      <c r="D393" s="706" t="s">
        <v>3294</v>
      </c>
      <c r="E393" s="706" t="s">
        <v>1139</v>
      </c>
      <c r="F393" s="706" t="s">
        <v>1136</v>
      </c>
      <c r="G393" s="706">
        <v>874578.6</v>
      </c>
      <c r="H393" s="706">
        <v>818588.3</v>
      </c>
      <c r="I393" s="706">
        <v>1342264.35</v>
      </c>
      <c r="J393" s="706">
        <v>1361848.95</v>
      </c>
      <c r="K393" s="706">
        <v>1820450.1</v>
      </c>
      <c r="L393" s="706">
        <v>780606.75</v>
      </c>
      <c r="M393" s="706">
        <v>465639.3</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G22090</v>
      </c>
      <c r="AK393" s="905" t="str">
        <f t="shared" si="37"/>
        <v>AR VEH.159191 CANADA INC</v>
      </c>
      <c r="AL393" s="905">
        <f>IFERROR(INDEX(G393:R393,1,MATCH(Parametres!$B$3,G$1:R$1,0)-1)*IF(OR(F393="L",F393="S",F393="I"),-1,1),"")</f>
        <v>1820450.1</v>
      </c>
      <c r="AM393" s="905">
        <f t="shared" si="38"/>
        <v>-1039843.3500000001</v>
      </c>
      <c r="AN393" s="905">
        <f>INDEX(G393:R393,1,MATCH(Parametres!$B$3,G$1:R$1,0))*IF(OR(F393="L",F393="S",F393="I"),-1,1)</f>
        <v>780606.75</v>
      </c>
      <c r="AO393" s="487" t="str">
        <f>+VLOOKUP($AJ393,Data_Validation!$A:$D,1,0)</f>
        <v>G22090</v>
      </c>
      <c r="AP393" s="487" t="str">
        <f>+VLOOKUP($AJ393,Data_Validation!$A:$D,3,0)</f>
        <v>Bilan</v>
      </c>
      <c r="AQ393" s="487" t="str">
        <f>+VLOOKUP($AJ393,Data_Validation!$A:$D,4,0)</f>
        <v>Recevables Véhicules</v>
      </c>
      <c r="AR393" s="487" t="s">
        <v>299</v>
      </c>
      <c r="AS393" s="487">
        <f>+VLOOKUP($AJ393,Data_Validation!$A:$E,5,0)</f>
        <v>0</v>
      </c>
      <c r="AT393" s="904" t="str">
        <f t="shared" si="39"/>
        <v>G22090</v>
      </c>
      <c r="AU393" s="488" t="str">
        <f t="shared" si="40"/>
        <v>AR VEH.159191 CANADA INC</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customHeight="1">
      <c r="A394" s="706" t="s">
        <v>1148</v>
      </c>
      <c r="B394" s="706">
        <v>2026</v>
      </c>
      <c r="C394" s="706" t="s">
        <v>1876</v>
      </c>
      <c r="D394" s="706" t="s">
        <v>1877</v>
      </c>
      <c r="E394" s="706" t="s">
        <v>1136</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G22130</v>
      </c>
      <c r="AK394" s="905" t="str">
        <f t="shared" si="37"/>
        <v>INTERCO HAWKSBURY GM</v>
      </c>
      <c r="AL394" s="905">
        <f>IFERROR(INDEX(G394:R394,1,MATCH(Parametres!$B$3,G$1:R$1,0)-1)*IF(OR(F394="L",F394="S",F394="I"),-1,1),"")</f>
        <v>0</v>
      </c>
      <c r="AM394" s="905">
        <f t="shared" si="38"/>
        <v>0</v>
      </c>
      <c r="AN394" s="905">
        <f>INDEX(G394:R394,1,MATCH(Parametres!$B$3,G$1:R$1,0))*IF(OR(F394="L",F394="S",F394="I"),-1,1)</f>
        <v>0</v>
      </c>
      <c r="AO394" s="487" t="str">
        <f>+VLOOKUP($AJ394,Data_Validation!$A:$D,1,0)</f>
        <v>G22130</v>
      </c>
      <c r="AP394" s="487" t="str">
        <f>+VLOOKUP($AJ394,Data_Validation!$A:$D,3,0)</f>
        <v>Bilan</v>
      </c>
      <c r="AQ394" s="487" t="str">
        <f>+VLOOKUP($AJ394,Data_Validation!$A:$D,4,0)</f>
        <v>Recevables Intercos</v>
      </c>
      <c r="AR394" s="487" t="s">
        <v>299</v>
      </c>
      <c r="AS394" s="487">
        <f>+VLOOKUP($AJ394,Data_Validation!$A:$E,5,0)</f>
        <v>0</v>
      </c>
      <c r="AT394" s="904" t="str">
        <f t="shared" si="39"/>
        <v>G22130</v>
      </c>
      <c r="AU394" s="488" t="str">
        <f t="shared" si="40"/>
        <v>INTERCO HAWKSBURY GM</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customHeight="1">
      <c r="A395" s="706" t="s">
        <v>1148</v>
      </c>
      <c r="B395" s="706">
        <v>2026</v>
      </c>
      <c r="C395" s="706" t="s">
        <v>1878</v>
      </c>
      <c r="D395" s="706" t="s">
        <v>3295</v>
      </c>
      <c r="E395" s="706" t="s">
        <v>333</v>
      </c>
      <c r="F395" s="706" t="s">
        <v>1136</v>
      </c>
      <c r="G395" s="706">
        <v>-7700000</v>
      </c>
      <c r="H395" s="706">
        <v>-7700000</v>
      </c>
      <c r="I395" s="706">
        <v>-7700000</v>
      </c>
      <c r="J395" s="706">
        <v>-7700000</v>
      </c>
      <c r="K395" s="706">
        <v>-7700000</v>
      </c>
      <c r="L395" s="706">
        <v>-7700000</v>
      </c>
      <c r="M395" s="706">
        <v>-7700000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G22140</v>
      </c>
      <c r="AK395" s="905" t="str">
        <f t="shared" si="37"/>
        <v>AVANCE 13721515 CANADA</v>
      </c>
      <c r="AL395" s="905">
        <f>IFERROR(INDEX(G395:R395,1,MATCH(Parametres!$B$3,G$1:R$1,0)-1)*IF(OR(F395="L",F395="S",F395="I"),-1,1),"")</f>
        <v>-7700000</v>
      </c>
      <c r="AM395" s="905">
        <f t="shared" si="38"/>
        <v>0</v>
      </c>
      <c r="AN395" s="905">
        <f>INDEX(G395:R395,1,MATCH(Parametres!$B$3,G$1:R$1,0))*IF(OR(F395="L",F395="S",F395="I"),-1,1)</f>
        <v>-7700000</v>
      </c>
      <c r="AO395" s="487" t="str">
        <f>+VLOOKUP($AJ395,Data_Validation!$A:$D,1,0)</f>
        <v>G22140</v>
      </c>
      <c r="AP395" s="487" t="str">
        <f>+VLOOKUP($AJ395,Data_Validation!$A:$D,3,0)</f>
        <v>Bilan</v>
      </c>
      <c r="AQ395" s="487" t="str">
        <f>+VLOOKUP($AJ395,Data_Validation!$A:$D,4,0)</f>
        <v>Recevables Intercos</v>
      </c>
      <c r="AR395" s="487" t="s">
        <v>299</v>
      </c>
      <c r="AS395" s="487">
        <f>+VLOOKUP($AJ395,Data_Validation!$A:$E,5,0)</f>
        <v>0</v>
      </c>
      <c r="AT395" s="904" t="str">
        <f t="shared" si="39"/>
        <v>G22140</v>
      </c>
      <c r="AU395" s="488" t="str">
        <f t="shared" si="40"/>
        <v>AVANCE 13721515 CANADA</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customHeight="1">
      <c r="A396" s="706" t="s">
        <v>1148</v>
      </c>
      <c r="B396" s="706">
        <v>2026</v>
      </c>
      <c r="C396" s="706" t="s">
        <v>1880</v>
      </c>
      <c r="D396" s="706" t="s">
        <v>1881</v>
      </c>
      <c r="E396" s="706" t="s">
        <v>1136</v>
      </c>
      <c r="F396" s="706" t="s">
        <v>1136</v>
      </c>
      <c r="G396" s="706">
        <v>0</v>
      </c>
      <c r="H396" s="706">
        <v>0</v>
      </c>
      <c r="I396" s="706">
        <v>0</v>
      </c>
      <c r="J396" s="706">
        <v>0</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G22150</v>
      </c>
      <c r="AK396" s="905" t="str">
        <f t="shared" si="37"/>
        <v>INTERCO HYUNDAI STCONSTAN</v>
      </c>
      <c r="AL396" s="905">
        <f>IFERROR(INDEX(G396:R396,1,MATCH(Parametres!$B$3,G$1:R$1,0)-1)*IF(OR(F396="L",F396="S",F396="I"),-1,1),"")</f>
        <v>0</v>
      </c>
      <c r="AM396" s="905">
        <f t="shared" si="38"/>
        <v>0</v>
      </c>
      <c r="AN396" s="905">
        <f>INDEX(G396:R396,1,MATCH(Parametres!$B$3,G$1:R$1,0))*IF(OR(F396="L",F396="S",F396="I"),-1,1)</f>
        <v>0</v>
      </c>
      <c r="AO396" s="487" t="str">
        <f>+VLOOKUP($AJ396,Data_Validation!$A:$D,1,0)</f>
        <v>G22150</v>
      </c>
      <c r="AP396" s="487" t="str">
        <f>+VLOOKUP($AJ396,Data_Validation!$A:$D,3,0)</f>
        <v>Bilan</v>
      </c>
      <c r="AQ396" s="487" t="str">
        <f>+VLOOKUP($AJ396,Data_Validation!$A:$D,4,0)</f>
        <v>Recevables Véhicules</v>
      </c>
      <c r="AR396" s="487" t="s">
        <v>299</v>
      </c>
      <c r="AS396" s="487">
        <f>+VLOOKUP($AJ396,Data_Validation!$A:$E,5,0)</f>
        <v>0</v>
      </c>
      <c r="AT396" s="904" t="str">
        <f t="shared" si="39"/>
        <v>G22150</v>
      </c>
      <c r="AU396" s="488" t="str">
        <f t="shared" si="40"/>
        <v>INTERCO HYUNDAI STCONSTAN</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customHeight="1">
      <c r="A397" s="706" t="s">
        <v>1148</v>
      </c>
      <c r="B397" s="706">
        <v>2026</v>
      </c>
      <c r="C397" s="706" t="s">
        <v>1882</v>
      </c>
      <c r="D397" s="706" t="s">
        <v>3296</v>
      </c>
      <c r="E397" s="706" t="s">
        <v>333</v>
      </c>
      <c r="F397" s="706" t="s">
        <v>1136</v>
      </c>
      <c r="G397" s="706">
        <v>110207.88</v>
      </c>
      <c r="H397" s="706">
        <v>110207.88</v>
      </c>
      <c r="I397" s="706">
        <v>210364.24</v>
      </c>
      <c r="J397" s="706">
        <v>210442.42</v>
      </c>
      <c r="K397" s="706">
        <v>210520.6</v>
      </c>
      <c r="L397" s="706">
        <v>210520.6</v>
      </c>
      <c r="M397" s="706">
        <v>210520.6</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G22160</v>
      </c>
      <c r="AK397" s="905" t="str">
        <f t="shared" si="37"/>
        <v>AVANCE 9446-0680 QC INC</v>
      </c>
      <c r="AL397" s="905">
        <f>IFERROR(INDEX(G397:R397,1,MATCH(Parametres!$B$3,G$1:R$1,0)-1)*IF(OR(F397="L",F397="S",F397="I"),-1,1),"")</f>
        <v>210520.6</v>
      </c>
      <c r="AM397" s="905">
        <f t="shared" si="38"/>
        <v>0</v>
      </c>
      <c r="AN397" s="905">
        <f>INDEX(G397:R397,1,MATCH(Parametres!$B$3,G$1:R$1,0))*IF(OR(F397="L",F397="S",F397="I"),-1,1)</f>
        <v>210520.6</v>
      </c>
      <c r="AO397" s="487" t="str">
        <f>+VLOOKUP($AJ397,Data_Validation!$A:$D,1,0)</f>
        <v>G22160</v>
      </c>
      <c r="AP397" s="487" t="str">
        <f>+VLOOKUP($AJ397,Data_Validation!$A:$D,3,0)</f>
        <v>Bilan</v>
      </c>
      <c r="AQ397" s="487" t="str">
        <f>+VLOOKUP($AJ397,Data_Validation!$A:$D,4,0)</f>
        <v>Recevables Intercos</v>
      </c>
      <c r="AR397" s="487" t="s">
        <v>299</v>
      </c>
      <c r="AS397" s="487">
        <f>+VLOOKUP($AJ397,Data_Validation!$A:$E,5,0)</f>
        <v>0</v>
      </c>
      <c r="AT397" s="904" t="str">
        <f t="shared" si="39"/>
        <v>G22160</v>
      </c>
      <c r="AU397" s="488" t="str">
        <f t="shared" si="40"/>
        <v>AVANCE 9446-0680 QC INC</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customHeight="1">
      <c r="A398" s="706" t="s">
        <v>1148</v>
      </c>
      <c r="B398" s="706">
        <v>2026</v>
      </c>
      <c r="C398" s="706" t="s">
        <v>1884</v>
      </c>
      <c r="D398" s="706" t="s">
        <v>1885</v>
      </c>
      <c r="E398" s="706" t="s">
        <v>333</v>
      </c>
      <c r="F398" s="706" t="s">
        <v>1136</v>
      </c>
      <c r="G398" s="706">
        <v>0</v>
      </c>
      <c r="H398" s="706">
        <v>0</v>
      </c>
      <c r="I398" s="706">
        <v>0</v>
      </c>
      <c r="J398" s="706">
        <v>0</v>
      </c>
      <c r="K398" s="706">
        <v>0</v>
      </c>
      <c r="L398" s="706">
        <v>0</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G22170</v>
      </c>
      <c r="AK398" s="905" t="str">
        <f t="shared" si="37"/>
        <v>INTERCO REMARK.AUTO CANAD</v>
      </c>
      <c r="AL398" s="905">
        <f>IFERROR(INDEX(G398:R398,1,MATCH(Parametres!$B$3,G$1:R$1,0)-1)*IF(OR(F398="L",F398="S",F398="I"),-1,1),"")</f>
        <v>0</v>
      </c>
      <c r="AM398" s="905">
        <f t="shared" si="38"/>
        <v>0</v>
      </c>
      <c r="AN398" s="905">
        <f>INDEX(G398:R398,1,MATCH(Parametres!$B$3,G$1:R$1,0))*IF(OR(F398="L",F398="S",F398="I"),-1,1)</f>
        <v>0</v>
      </c>
      <c r="AO398" s="487" t="str">
        <f>+VLOOKUP($AJ398,Data_Validation!$A:$D,1,0)</f>
        <v>G22170</v>
      </c>
      <c r="AP398" s="487" t="str">
        <f>+VLOOKUP($AJ398,Data_Validation!$A:$D,3,0)</f>
        <v>Bilan</v>
      </c>
      <c r="AQ398" s="487" t="str">
        <f>+VLOOKUP($AJ398,Data_Validation!$A:$D,4,0)</f>
        <v>Recevables Intercos</v>
      </c>
      <c r="AR398" s="487" t="s">
        <v>299</v>
      </c>
      <c r="AS398" s="487">
        <f>+VLOOKUP($AJ398,Data_Validation!$A:$E,5,0)</f>
        <v>0</v>
      </c>
      <c r="AT398" s="904" t="str">
        <f t="shared" si="39"/>
        <v>G22170</v>
      </c>
      <c r="AU398" s="488" t="str">
        <f t="shared" si="40"/>
        <v>INTERCO REMARK.AUTO CANAD</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customHeight="1">
      <c r="A399" s="706" t="s">
        <v>1148</v>
      </c>
      <c r="B399" s="706">
        <v>2026</v>
      </c>
      <c r="C399" s="706" t="s">
        <v>1886</v>
      </c>
      <c r="D399" s="706" t="s">
        <v>3297</v>
      </c>
      <c r="E399" s="706" t="s">
        <v>333</v>
      </c>
      <c r="F399" s="706" t="s">
        <v>1136</v>
      </c>
      <c r="G399" s="706">
        <v>78.180000000000007</v>
      </c>
      <c r="H399" s="706">
        <v>78.180000000000007</v>
      </c>
      <c r="I399" s="706">
        <v>234.54</v>
      </c>
      <c r="J399" s="706">
        <v>525.54999999999995</v>
      </c>
      <c r="K399" s="706">
        <v>603.73</v>
      </c>
      <c r="L399" s="706">
        <v>603.73</v>
      </c>
      <c r="M399" s="706">
        <v>603.73</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G22180</v>
      </c>
      <c r="AK399" s="905" t="str">
        <f t="shared" si="37"/>
        <v>AVANCE LOCATION LMB</v>
      </c>
      <c r="AL399" s="905">
        <f>IFERROR(INDEX(G399:R399,1,MATCH(Parametres!$B$3,G$1:R$1,0)-1)*IF(OR(F399="L",F399="S",F399="I"),-1,1),"")</f>
        <v>603.73</v>
      </c>
      <c r="AM399" s="905">
        <f t="shared" si="38"/>
        <v>0</v>
      </c>
      <c r="AN399" s="905">
        <f>INDEX(G399:R399,1,MATCH(Parametres!$B$3,G$1:R$1,0))*IF(OR(F399="L",F399="S",F399="I"),-1,1)</f>
        <v>603.73</v>
      </c>
      <c r="AO399" s="487" t="str">
        <f>+VLOOKUP($AJ399,Data_Validation!$A:$D,1,0)</f>
        <v>G22180</v>
      </c>
      <c r="AP399" s="487" t="str">
        <f>+VLOOKUP($AJ399,Data_Validation!$A:$D,3,0)</f>
        <v>Bilan</v>
      </c>
      <c r="AQ399" s="487" t="str">
        <f>+VLOOKUP($AJ399,Data_Validation!$A:$D,4,0)</f>
        <v>Recevables Intercos</v>
      </c>
      <c r="AR399" s="487" t="s">
        <v>299</v>
      </c>
      <c r="AS399" s="487">
        <f>+VLOOKUP($AJ399,Data_Validation!$A:$E,5,0)</f>
        <v>0</v>
      </c>
      <c r="AT399" s="904" t="str">
        <f t="shared" si="39"/>
        <v>G22180</v>
      </c>
      <c r="AU399" s="488" t="str">
        <f t="shared" si="40"/>
        <v>AVANCE LOCATION LMB</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customHeight="1">
      <c r="A400" s="706" t="s">
        <v>1148</v>
      </c>
      <c r="B400" s="706">
        <v>2026</v>
      </c>
      <c r="C400" s="706" t="s">
        <v>1888</v>
      </c>
      <c r="D400" s="706" t="s">
        <v>1889</v>
      </c>
      <c r="E400" s="706" t="s">
        <v>333</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G22185</v>
      </c>
      <c r="AK400" s="905" t="str">
        <f t="shared" si="37"/>
        <v>AVANCES BMW SHERBROOKE</v>
      </c>
      <c r="AL400" s="905">
        <f>IFERROR(INDEX(G400:R400,1,MATCH(Parametres!$B$3,G$1:R$1,0)-1)*IF(OR(F400="L",F400="S",F400="I"),-1,1),"")</f>
        <v>0</v>
      </c>
      <c r="AM400" s="905">
        <f t="shared" si="38"/>
        <v>0</v>
      </c>
      <c r="AN400" s="905">
        <f>INDEX(G400:R400,1,MATCH(Parametres!$B$3,G$1:R$1,0))*IF(OR(F400="L",F400="S",F400="I"),-1,1)</f>
        <v>0</v>
      </c>
      <c r="AO400" s="487" t="str">
        <f>+VLOOKUP($AJ400,Data_Validation!$A:$D,1,0)</f>
        <v>G22185</v>
      </c>
      <c r="AP400" s="487">
        <f>+VLOOKUP($AJ400,Data_Validation!$A:$D,3,0)</f>
        <v>0</v>
      </c>
      <c r="AQ400" s="487">
        <f>+VLOOKUP($AJ400,Data_Validation!$A:$D,4,0)</f>
        <v>0</v>
      </c>
      <c r="AR400" s="487" t="s">
        <v>299</v>
      </c>
      <c r="AS400" s="487">
        <f>+VLOOKUP($AJ400,Data_Validation!$A:$E,5,0)</f>
        <v>0</v>
      </c>
      <c r="AT400" s="904" t="str">
        <f t="shared" si="39"/>
        <v>G22185</v>
      </c>
      <c r="AU400" s="488" t="str">
        <f t="shared" si="40"/>
        <v>AVANCES BMW SHERBROOKE</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customHeight="1">
      <c r="A401" s="706" t="s">
        <v>1148</v>
      </c>
      <c r="B401" s="706">
        <v>2026</v>
      </c>
      <c r="C401" s="706" t="s">
        <v>1890</v>
      </c>
      <c r="D401" s="706" t="s">
        <v>1891</v>
      </c>
      <c r="E401" s="706" t="s">
        <v>333</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G22190</v>
      </c>
      <c r="AK401" s="905" t="str">
        <f t="shared" si="37"/>
        <v>INTERCO 9046-6640 QUEBEC</v>
      </c>
      <c r="AL401" s="905">
        <f>IFERROR(INDEX(G401:R401,1,MATCH(Parametres!$B$3,G$1:R$1,0)-1)*IF(OR(F401="L",F401="S",F401="I"),-1,1),"")</f>
        <v>0</v>
      </c>
      <c r="AM401" s="905">
        <f t="shared" si="38"/>
        <v>0</v>
      </c>
      <c r="AN401" s="905">
        <f>INDEX(G401:R401,1,MATCH(Parametres!$B$3,G$1:R$1,0))*IF(OR(F401="L",F401="S",F401="I"),-1,1)</f>
        <v>0</v>
      </c>
      <c r="AO401" s="487" t="str">
        <f>+VLOOKUP($AJ401,Data_Validation!$A:$D,1,0)</f>
        <v>G22190</v>
      </c>
      <c r="AP401" s="487">
        <f>+VLOOKUP($AJ401,Data_Validation!$A:$D,3,0)</f>
        <v>0</v>
      </c>
      <c r="AQ401" s="487">
        <f>+VLOOKUP($AJ401,Data_Validation!$A:$D,4,0)</f>
        <v>0</v>
      </c>
      <c r="AR401" s="487" t="s">
        <v>299</v>
      </c>
      <c r="AS401" s="487">
        <f>+VLOOKUP($AJ401,Data_Validation!$A:$E,5,0)</f>
        <v>0</v>
      </c>
      <c r="AT401" s="904" t="str">
        <f t="shared" si="39"/>
        <v>G22190</v>
      </c>
      <c r="AU401" s="488" t="str">
        <f t="shared" si="40"/>
        <v>INTERCO 9046-6640 QUEBEC</v>
      </c>
      <c r="AV401" s="899">
        <f>IFERROR(INDEX(V401:AG401,1,MATCH(Parametres!$B$3,V$1:AG$1,0)-1)*IF(OR(C401="L",C401="S",C401="I"),-1,1),"")</f>
        <v>0</v>
      </c>
      <c r="AW401" s="899">
        <f t="shared" si="41"/>
        <v>0</v>
      </c>
      <c r="AX401" s="899">
        <f>INDEX(V401:AG401,1,MATCH(Parametres!$B$3,V$1:AG$1,0))*IF(OR(C401="L",C401="S",C401="I"),-1,1)</f>
        <v>0</v>
      </c>
      <c r="AY401" s="487" t="s">
        <v>337</v>
      </c>
      <c r="AZ401" s="487">
        <f>+VLOOKUP($AJ401,Data_Validation!$A:$E,5,0)</f>
        <v>0</v>
      </c>
    </row>
    <row r="402" spans="1:52" ht="15.75" customHeight="1">
      <c r="A402" s="706" t="s">
        <v>1148</v>
      </c>
      <c r="B402" s="706">
        <v>2026</v>
      </c>
      <c r="C402" s="706" t="s">
        <v>1892</v>
      </c>
      <c r="D402" s="706" t="s">
        <v>3298</v>
      </c>
      <c r="E402" s="706" t="s">
        <v>333</v>
      </c>
      <c r="F402" s="706" t="s">
        <v>1136</v>
      </c>
      <c r="G402" s="706">
        <v>575000</v>
      </c>
      <c r="H402" s="706">
        <v>575000</v>
      </c>
      <c r="I402" s="706">
        <v>575000</v>
      </c>
      <c r="J402" s="706">
        <v>575000</v>
      </c>
      <c r="K402" s="706">
        <v>575000</v>
      </c>
      <c r="L402" s="706">
        <v>575000</v>
      </c>
      <c r="M402" s="706">
        <v>575000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G22195</v>
      </c>
      <c r="AK402" s="905" t="str">
        <f t="shared" si="37"/>
        <v>AVANCE 9341-5701 QC INC</v>
      </c>
      <c r="AL402" s="905">
        <f>IFERROR(INDEX(G402:R402,1,MATCH(Parametres!$B$3,G$1:R$1,0)-1)*IF(OR(F402="L",F402="S",F402="I"),-1,1),"")</f>
        <v>575000</v>
      </c>
      <c r="AM402" s="905">
        <f t="shared" si="38"/>
        <v>0</v>
      </c>
      <c r="AN402" s="905">
        <f>INDEX(G402:R402,1,MATCH(Parametres!$B$3,G$1:R$1,0))*IF(OR(F402="L",F402="S",F402="I"),-1,1)</f>
        <v>575000</v>
      </c>
      <c r="AO402" s="487" t="str">
        <f>+VLOOKUP($AJ402,Data_Validation!$A:$D,1,0)</f>
        <v>G22195</v>
      </c>
      <c r="AP402" s="487" t="str">
        <f>+VLOOKUP($AJ402,Data_Validation!$A:$D,3,0)</f>
        <v>Bilan</v>
      </c>
      <c r="AQ402" s="487" t="str">
        <f>+VLOOKUP($AJ402,Data_Validation!$A:$D,4,0)</f>
        <v>Recevables Intercos</v>
      </c>
      <c r="AR402" s="487" t="s">
        <v>299</v>
      </c>
      <c r="AS402" s="487">
        <f>+VLOOKUP($AJ402,Data_Validation!$A:$E,5,0)</f>
        <v>0</v>
      </c>
      <c r="AT402" s="904" t="str">
        <f t="shared" si="39"/>
        <v>G22195</v>
      </c>
      <c r="AU402" s="488" t="str">
        <f t="shared" si="40"/>
        <v>AVANCE 9341-5701 QC INC</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customHeight="1">
      <c r="A403" s="706" t="s">
        <v>1148</v>
      </c>
      <c r="B403" s="706">
        <v>2026</v>
      </c>
      <c r="C403" s="706" t="s">
        <v>1894</v>
      </c>
      <c r="D403" s="706" t="s">
        <v>1895</v>
      </c>
      <c r="E403" s="706" t="s">
        <v>333</v>
      </c>
      <c r="F403" s="706" t="s">
        <v>1136</v>
      </c>
      <c r="G403" s="706">
        <v>0</v>
      </c>
      <c r="H403" s="706">
        <v>0</v>
      </c>
      <c r="I403" s="706">
        <v>0</v>
      </c>
      <c r="J403" s="706">
        <v>0</v>
      </c>
      <c r="K403" s="706">
        <v>0</v>
      </c>
      <c r="L403" s="706">
        <v>0</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G22200</v>
      </c>
      <c r="AK403" s="905" t="str">
        <f t="shared" si="37"/>
        <v>TPS/CTI/ACHAT/VEHICULE</v>
      </c>
      <c r="AL403" s="905">
        <f>IFERROR(INDEX(G403:R403,1,MATCH(Parametres!$B$3,G$1:R$1,0)-1)*IF(OR(F403="L",F403="S",F403="I"),-1,1),"")</f>
        <v>0</v>
      </c>
      <c r="AM403" s="905">
        <f t="shared" si="38"/>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t="str">
        <f t="shared" si="39"/>
        <v>G22200</v>
      </c>
      <c r="AU403" s="488" t="str">
        <f t="shared" si="40"/>
        <v>TPS/CTI/ACHAT/VEHICULE</v>
      </c>
      <c r="AV403" s="899">
        <f>IFERROR(INDEX(V403:AG403,1,MATCH(Parametres!$B$3,V$1:AG$1,0)-1)*IF(OR(C403="L",C403="S",C403="I"),-1,1),"")</f>
        <v>0</v>
      </c>
      <c r="AW403" s="899">
        <f t="shared" si="41"/>
        <v>0</v>
      </c>
      <c r="AX403" s="899">
        <f>INDEX(V403:AG403,1,MATCH(Parametres!$B$3,V$1:AG$1,0))*IF(OR(C403="L",C403="S",C403="I"),-1,1)</f>
        <v>0</v>
      </c>
      <c r="AY403" s="487" t="s">
        <v>337</v>
      </c>
      <c r="AZ403" s="487" t="e">
        <f>+VLOOKUP($AJ403,Data_Validation!$A:$E,5,0)</f>
        <v>#N/A</v>
      </c>
    </row>
    <row r="404" spans="1:52" ht="15.75" customHeight="1">
      <c r="A404" s="706" t="s">
        <v>1148</v>
      </c>
      <c r="B404" s="706">
        <v>2026</v>
      </c>
      <c r="C404" s="706" t="s">
        <v>1896</v>
      </c>
      <c r="D404" s="706" t="s">
        <v>3299</v>
      </c>
      <c r="E404" s="706" t="s">
        <v>333</v>
      </c>
      <c r="F404" s="706" t="s">
        <v>1136</v>
      </c>
      <c r="G404" s="706">
        <v>0</v>
      </c>
      <c r="H404" s="706">
        <v>0</v>
      </c>
      <c r="I404" s="706">
        <v>952463.29</v>
      </c>
      <c r="J404" s="706">
        <v>952463.29</v>
      </c>
      <c r="K404" s="706">
        <v>952463.29</v>
      </c>
      <c r="L404" s="706">
        <v>952463.29</v>
      </c>
      <c r="M404" s="706">
        <v>952463.29</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G22205</v>
      </c>
      <c r="AK404" s="905" t="str">
        <f t="shared" si="37"/>
        <v>AVANCE 17089147 INC</v>
      </c>
      <c r="AL404" s="905">
        <f>IFERROR(INDEX(G404:R404,1,MATCH(Parametres!$B$3,G$1:R$1,0)-1)*IF(OR(F404="L",F404="S",F404="I"),-1,1),"")</f>
        <v>952463.29</v>
      </c>
      <c r="AM404" s="905">
        <f t="shared" si="38"/>
        <v>0</v>
      </c>
      <c r="AN404" s="905">
        <f>INDEX(G404:R404,1,MATCH(Parametres!$B$3,G$1:R$1,0))*IF(OR(F404="L",F404="S",F404="I"),-1,1)</f>
        <v>952463.29</v>
      </c>
      <c r="AO404" s="487" t="str">
        <f>+VLOOKUP($AJ404,Data_Validation!$A:$D,1,0)</f>
        <v>G22205</v>
      </c>
      <c r="AP404" s="487" t="str">
        <f>+VLOOKUP($AJ404,Data_Validation!$A:$D,3,0)</f>
        <v>Bilan</v>
      </c>
      <c r="AQ404" s="487" t="str">
        <f>+VLOOKUP($AJ404,Data_Validation!$A:$D,4,0)</f>
        <v>Recevables Intercos</v>
      </c>
      <c r="AR404" s="487" t="s">
        <v>299</v>
      </c>
      <c r="AS404" s="487">
        <f>+VLOOKUP($AJ404,Data_Validation!$A:$E,5,0)</f>
        <v>0</v>
      </c>
      <c r="AT404" s="904" t="str">
        <f t="shared" si="39"/>
        <v>G22205</v>
      </c>
      <c r="AU404" s="488" t="str">
        <f t="shared" si="40"/>
        <v>AVANCE 17089147 INC</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customHeight="1">
      <c r="A405" s="706" t="s">
        <v>1148</v>
      </c>
      <c r="B405" s="706">
        <v>2026</v>
      </c>
      <c r="C405" s="706" t="s">
        <v>1898</v>
      </c>
      <c r="D405" s="706" t="s">
        <v>3300</v>
      </c>
      <c r="E405" s="706" t="s">
        <v>333</v>
      </c>
      <c r="F405" s="706" t="s">
        <v>1136</v>
      </c>
      <c r="G405" s="706">
        <v>0</v>
      </c>
      <c r="H405" s="706">
        <v>0</v>
      </c>
      <c r="I405" s="706">
        <v>2141282</v>
      </c>
      <c r="J405" s="706">
        <v>2141282</v>
      </c>
      <c r="K405" s="706">
        <v>2141282</v>
      </c>
      <c r="L405" s="706">
        <v>2141282</v>
      </c>
      <c r="M405" s="706">
        <v>2141282</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G22206</v>
      </c>
      <c r="AK405" s="905" t="str">
        <f t="shared" si="37"/>
        <v>AVANCE 9509-9016</v>
      </c>
      <c r="AL405" s="905">
        <f>IFERROR(INDEX(G405:R405,1,MATCH(Parametres!$B$3,G$1:R$1,0)-1)*IF(OR(F405="L",F405="S",F405="I"),-1,1),"")</f>
        <v>2141282</v>
      </c>
      <c r="AM405" s="905">
        <f t="shared" si="38"/>
        <v>0</v>
      </c>
      <c r="AN405" s="905">
        <f>INDEX(G405:R405,1,MATCH(Parametres!$B$3,G$1:R$1,0))*IF(OR(F405="L",F405="S",F405="I"),-1,1)</f>
        <v>2141282</v>
      </c>
      <c r="AO405" s="487" t="str">
        <f>+VLOOKUP($AJ405,Data_Validation!$A:$D,1,0)</f>
        <v>G22206</v>
      </c>
      <c r="AP405" s="487" t="str">
        <f>+VLOOKUP($AJ405,Data_Validation!$A:$D,3,0)</f>
        <v>Bilan</v>
      </c>
      <c r="AQ405" s="487" t="str">
        <f>+VLOOKUP($AJ405,Data_Validation!$A:$D,4,0)</f>
        <v>Recevables Intercos</v>
      </c>
      <c r="AR405" s="487" t="s">
        <v>299</v>
      </c>
      <c r="AS405" s="487">
        <f>+VLOOKUP($AJ405,Data_Validation!$A:$E,5,0)</f>
        <v>0</v>
      </c>
      <c r="AT405" s="904" t="str">
        <f t="shared" si="39"/>
        <v>G22206</v>
      </c>
      <c r="AU405" s="488" t="str">
        <f t="shared" si="40"/>
        <v>AVANCE 9509-9016</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customHeight="1">
      <c r="A406" s="706" t="s">
        <v>1148</v>
      </c>
      <c r="B406" s="706">
        <v>2026</v>
      </c>
      <c r="C406" s="706" t="s">
        <v>1900</v>
      </c>
      <c r="D406" s="706" t="s">
        <v>1901</v>
      </c>
      <c r="E406" s="706" t="s">
        <v>333</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G22210</v>
      </c>
      <c r="AK406" s="905" t="str">
        <f t="shared" si="37"/>
        <v>INTERCO 15814251 CANADA</v>
      </c>
      <c r="AL406" s="905">
        <f>IFERROR(INDEX(G406:R406,1,MATCH(Parametres!$B$3,G$1:R$1,0)-1)*IF(OR(F406="L",F406="S",F406="I"),-1,1),"")</f>
        <v>0</v>
      </c>
      <c r="AM406" s="905">
        <f t="shared" si="38"/>
        <v>0</v>
      </c>
      <c r="AN406" s="905">
        <f>INDEX(G406:R406,1,MATCH(Parametres!$B$3,G$1:R$1,0))*IF(OR(F406="L",F406="S",F406="I"),-1,1)</f>
        <v>0</v>
      </c>
      <c r="AO406" s="487" t="str">
        <f>+VLOOKUP($AJ406,Data_Validation!$A:$D,1,0)</f>
        <v>G22210</v>
      </c>
      <c r="AP406" s="487">
        <f>+VLOOKUP($AJ406,Data_Validation!$A:$D,3,0)</f>
        <v>0</v>
      </c>
      <c r="AQ406" s="487">
        <f>+VLOOKUP($AJ406,Data_Validation!$A:$D,4,0)</f>
        <v>0</v>
      </c>
      <c r="AR406" s="487" t="s">
        <v>299</v>
      </c>
      <c r="AS406" s="487">
        <f>+VLOOKUP($AJ406,Data_Validation!$A:$E,5,0)</f>
        <v>0</v>
      </c>
      <c r="AT406" s="904" t="str">
        <f t="shared" si="39"/>
        <v>G22210</v>
      </c>
      <c r="AU406" s="488" t="str">
        <f t="shared" si="40"/>
        <v>INTERCO 15814251 CANADA</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customHeight="1">
      <c r="A407" s="706" t="s">
        <v>1148</v>
      </c>
      <c r="B407" s="706">
        <v>2026</v>
      </c>
      <c r="C407" s="706" t="s">
        <v>1902</v>
      </c>
      <c r="D407" s="706" t="s">
        <v>3301</v>
      </c>
      <c r="E407" s="706" t="s">
        <v>333</v>
      </c>
      <c r="F407" s="706" t="s">
        <v>1136</v>
      </c>
      <c r="G407" s="706">
        <v>5785742.0599999996</v>
      </c>
      <c r="H407" s="706">
        <v>5785742.0599999996</v>
      </c>
      <c r="I407" s="706">
        <v>5785742.0599999996</v>
      </c>
      <c r="J407" s="706">
        <v>5785742.0599999996</v>
      </c>
      <c r="K407" s="706">
        <v>5785742.0599999996</v>
      </c>
      <c r="L407" s="706">
        <v>4785742.0599999996</v>
      </c>
      <c r="M407" s="706">
        <v>4785742.0599999996</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G22211</v>
      </c>
      <c r="AK407" s="905" t="str">
        <f t="shared" si="37"/>
        <v>AVANCE HYUNDAI LONGUEUIL</v>
      </c>
      <c r="AL407" s="905">
        <f>IFERROR(INDEX(G407:R407,1,MATCH(Parametres!$B$3,G$1:R$1,0)-1)*IF(OR(F407="L",F407="S",F407="I"),-1,1),"")</f>
        <v>5785742.0599999996</v>
      </c>
      <c r="AM407" s="905">
        <f t="shared" si="38"/>
        <v>-1000000</v>
      </c>
      <c r="AN407" s="905">
        <f>INDEX(G407:R407,1,MATCH(Parametres!$B$3,G$1:R$1,0))*IF(OR(F407="L",F407="S",F407="I"),-1,1)</f>
        <v>4785742.0599999996</v>
      </c>
      <c r="AO407" s="487" t="str">
        <f>+VLOOKUP($AJ407,Data_Validation!$A:$D,1,0)</f>
        <v>G22211</v>
      </c>
      <c r="AP407" s="487" t="str">
        <f>+VLOOKUP($AJ407,Data_Validation!$A:$D,3,0)</f>
        <v>Bilan</v>
      </c>
      <c r="AQ407" s="487" t="str">
        <f>+VLOOKUP($AJ407,Data_Validation!$A:$D,4,0)</f>
        <v>Recevables Intercos</v>
      </c>
      <c r="AR407" s="487" t="s">
        <v>299</v>
      </c>
      <c r="AS407" s="487">
        <f>+VLOOKUP($AJ407,Data_Validation!$A:$E,5,0)</f>
        <v>0</v>
      </c>
      <c r="AT407" s="904" t="str">
        <f t="shared" si="39"/>
        <v>G22211</v>
      </c>
      <c r="AU407" s="488" t="str">
        <f t="shared" si="40"/>
        <v>AVANCE HYUNDAI LONGUEUIL</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customHeight="1">
      <c r="A408" s="706" t="s">
        <v>1148</v>
      </c>
      <c r="B408" s="706">
        <v>2026</v>
      </c>
      <c r="C408" s="706" t="s">
        <v>1904</v>
      </c>
      <c r="D408" s="706" t="s">
        <v>1905</v>
      </c>
      <c r="E408" s="706" t="s">
        <v>333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G22212</v>
      </c>
      <c r="AK408" s="905" t="str">
        <f t="shared" si="37"/>
        <v>INTERCO 9510-1309 QC INC</v>
      </c>
      <c r="AL408" s="905">
        <f>IFERROR(INDEX(G408:R408,1,MATCH(Parametres!$B$3,G$1:R$1,0)-1)*IF(OR(F408="L",F408="S",F408="I"),-1,1),"")</f>
        <v>0</v>
      </c>
      <c r="AM408" s="905">
        <f t="shared" si="38"/>
        <v>0</v>
      </c>
      <c r="AN408" s="905">
        <f>INDEX(G408:R408,1,MATCH(Parametres!$B$3,G$1:R$1,0))*IF(OR(F408="L",F408="S",F408="I"),-1,1)</f>
        <v>0</v>
      </c>
      <c r="AO408" s="487" t="str">
        <f>+VLOOKUP($AJ408,Data_Validation!$A:$D,1,0)</f>
        <v>G22212</v>
      </c>
      <c r="AP408" s="487" t="str">
        <f>+VLOOKUP($AJ408,Data_Validation!$A:$D,3,0)</f>
        <v>Bilan</v>
      </c>
      <c r="AQ408" s="487" t="str">
        <f>+VLOOKUP($AJ408,Data_Validation!$A:$D,4,0)</f>
        <v>Recevables Véhicules</v>
      </c>
      <c r="AR408" s="487" t="s">
        <v>299</v>
      </c>
      <c r="AS408" s="487">
        <f>+VLOOKUP($AJ408,Data_Validation!$A:$E,5,0)</f>
        <v>0</v>
      </c>
      <c r="AT408" s="904" t="str">
        <f t="shared" si="39"/>
        <v>G22212</v>
      </c>
      <c r="AU408" s="488" t="str">
        <f t="shared" si="40"/>
        <v>INTERCO 9510-1309 QC INC</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customHeight="1">
      <c r="A409" s="706" t="s">
        <v>1148</v>
      </c>
      <c r="B409" s="706">
        <v>2026</v>
      </c>
      <c r="C409" s="706" t="s">
        <v>1906</v>
      </c>
      <c r="D409" s="706" t="s">
        <v>1907</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G22213</v>
      </c>
      <c r="AK409" s="905" t="str">
        <f t="shared" si="37"/>
        <v>INTERCO HERELLE</v>
      </c>
      <c r="AL409" s="905">
        <f>IFERROR(INDEX(G409:R409,1,MATCH(Parametres!$B$3,G$1:R$1,0)-1)*IF(OR(F409="L",F409="S",F409="I"),-1,1),"")</f>
        <v>0</v>
      </c>
      <c r="AM409" s="905">
        <f t="shared" si="38"/>
        <v>0</v>
      </c>
      <c r="AN409" s="905">
        <f>INDEX(G409:R409,1,MATCH(Parametres!$B$3,G$1:R$1,0))*IF(OR(F409="L",F409="S",F409="I"),-1,1)</f>
        <v>0</v>
      </c>
      <c r="AO409" s="487" t="str">
        <f>+VLOOKUP($AJ409,Data_Validation!$A:$D,1,0)</f>
        <v>G22213</v>
      </c>
      <c r="AP409" s="487" t="str">
        <f>+VLOOKUP($AJ409,Data_Validation!$A:$D,3,0)</f>
        <v>Bilan</v>
      </c>
      <c r="AQ409" s="487" t="str">
        <f>+VLOOKUP($AJ409,Data_Validation!$A:$D,4,0)</f>
        <v>Recevables Véhicules</v>
      </c>
      <c r="AR409" s="487" t="s">
        <v>299</v>
      </c>
      <c r="AS409" s="487">
        <f>+VLOOKUP($AJ409,Data_Validation!$A:$E,5,0)</f>
        <v>0</v>
      </c>
      <c r="AT409" s="904" t="str">
        <f t="shared" si="39"/>
        <v>G22213</v>
      </c>
      <c r="AU409" s="488" t="str">
        <f t="shared" si="40"/>
        <v>INTERCO HERELLE</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customHeight="1">
      <c r="A410" s="706" t="s">
        <v>1148</v>
      </c>
      <c r="B410" s="706">
        <v>2026</v>
      </c>
      <c r="C410" s="706" t="s">
        <v>1908</v>
      </c>
      <c r="D410" s="706" t="s">
        <v>1909</v>
      </c>
      <c r="E410" s="706" t="s">
        <v>1135</v>
      </c>
      <c r="F410" s="706" t="s">
        <v>1136</v>
      </c>
      <c r="G410" s="706">
        <v>0</v>
      </c>
      <c r="H410" s="706">
        <v>0</v>
      </c>
      <c r="I410" s="706">
        <v>0</v>
      </c>
      <c r="J410" s="706">
        <v>0</v>
      </c>
      <c r="K410" s="706">
        <v>0</v>
      </c>
      <c r="L410" s="706">
        <v>0</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G22500</v>
      </c>
      <c r="AK410" s="905" t="str">
        <f t="shared" si="37"/>
        <v>VENTES PAYES COMPTANT</v>
      </c>
      <c r="AL410" s="905">
        <f>IFERROR(INDEX(G410:R410,1,MATCH(Parametres!$B$3,G$1:R$1,0)-1)*IF(OR(F410="L",F410="S",F410="I"),-1,1),"")</f>
        <v>0</v>
      </c>
      <c r="AM410" s="905">
        <f t="shared" si="38"/>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t="str">
        <f t="shared" si="39"/>
        <v>G22500</v>
      </c>
      <c r="AU410" s="488" t="str">
        <f t="shared" si="40"/>
        <v>VENTES PAYES COMPTANT</v>
      </c>
      <c r="AV410" s="899">
        <f>IFERROR(INDEX(V410:AG410,1,MATCH(Parametres!$B$3,V$1:AG$1,0)-1)*IF(OR(C410="L",C410="S",C410="I"),-1,1),"")</f>
        <v>0</v>
      </c>
      <c r="AW410" s="899">
        <f t="shared" si="41"/>
        <v>0</v>
      </c>
      <c r="AX410" s="899">
        <f>INDEX(V410:AG410,1,MATCH(Parametres!$B$3,V$1:AG$1,0))*IF(OR(C410="L",C410="S",C410="I"),-1,1)</f>
        <v>0</v>
      </c>
      <c r="AY410" s="487" t="s">
        <v>337</v>
      </c>
      <c r="AZ410" s="487" t="e">
        <f>+VLOOKUP($AJ410,Data_Validation!$A:$E,5,0)</f>
        <v>#N/A</v>
      </c>
    </row>
    <row r="411" spans="1:52" ht="15.75" customHeight="1">
      <c r="A411" s="706" t="s">
        <v>1148</v>
      </c>
      <c r="B411" s="706">
        <v>2026</v>
      </c>
      <c r="C411" s="706" t="s">
        <v>1910</v>
      </c>
      <c r="D411" s="706" t="s">
        <v>1911</v>
      </c>
      <c r="E411" s="706" t="s">
        <v>1136</v>
      </c>
      <c r="F411" s="706" t="s">
        <v>1136</v>
      </c>
      <c r="G411" s="706">
        <v>0</v>
      </c>
      <c r="H411" s="706">
        <v>0</v>
      </c>
      <c r="I411" s="706">
        <v>0</v>
      </c>
      <c r="J411" s="706">
        <v>0</v>
      </c>
      <c r="K411" s="706">
        <v>0.01</v>
      </c>
      <c r="L411" s="706">
        <v>0</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G22501</v>
      </c>
      <c r="AK411" s="905" t="str">
        <f t="shared" si="37"/>
        <v>CASHC</v>
      </c>
      <c r="AL411" s="905">
        <f>IFERROR(INDEX(G411:R411,1,MATCH(Parametres!$B$3,G$1:R$1,0)-1)*IF(OR(F411="L",F411="S",F411="I"),-1,1),"")</f>
        <v>0.01</v>
      </c>
      <c r="AM411" s="905">
        <f t="shared" si="38"/>
        <v>-0.01</v>
      </c>
      <c r="AN411" s="905">
        <f>INDEX(G411:R411,1,MATCH(Parametres!$B$3,G$1:R$1,0))*IF(OR(F411="L",F411="S",F411="I"),-1,1)</f>
        <v>0</v>
      </c>
      <c r="AO411" s="487" t="str">
        <f>+VLOOKUP($AJ411,Data_Validation!$A:$D,1,0)</f>
        <v>G22501</v>
      </c>
      <c r="AP411" s="487" t="str">
        <f>+VLOOKUP($AJ411,Data_Validation!$A:$D,3,0)</f>
        <v>Bilan</v>
      </c>
      <c r="AQ411" s="487" t="str">
        <f>+VLOOKUP($AJ411,Data_Validation!$A:$D,4,0)</f>
        <v>Encaisse</v>
      </c>
      <c r="AR411" s="487" t="s">
        <v>299</v>
      </c>
      <c r="AS411" s="487">
        <f>+VLOOKUP($AJ411,Data_Validation!$A:$E,5,0)</f>
        <v>0</v>
      </c>
      <c r="AT411" s="904" t="str">
        <f t="shared" si="39"/>
        <v>G22501</v>
      </c>
      <c r="AU411" s="488" t="str">
        <f t="shared" si="40"/>
        <v>CASHC</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customHeight="1">
      <c r="A412" s="706" t="s">
        <v>1148</v>
      </c>
      <c r="B412" s="706">
        <v>2026</v>
      </c>
      <c r="C412" s="706" t="s">
        <v>1912</v>
      </c>
      <c r="D412" s="706" t="s">
        <v>1913</v>
      </c>
      <c r="E412" s="706" t="s">
        <v>1136</v>
      </c>
      <c r="F412" s="706" t="s">
        <v>1136</v>
      </c>
      <c r="G412" s="706">
        <v>0</v>
      </c>
      <c r="H412" s="706">
        <v>0</v>
      </c>
      <c r="I412" s="706">
        <v>-87.33</v>
      </c>
      <c r="J412" s="706">
        <v>-394.17</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G22502</v>
      </c>
      <c r="AK412" s="905" t="str">
        <f t="shared" si="37"/>
        <v>DEBIT/INTERAC</v>
      </c>
      <c r="AL412" s="905">
        <f>IFERROR(INDEX(G412:R412,1,MATCH(Parametres!$B$3,G$1:R$1,0)-1)*IF(OR(F412="L",F412="S",F412="I"),-1,1),"")</f>
        <v>0</v>
      </c>
      <c r="AM412" s="905">
        <f t="shared" si="38"/>
        <v>0</v>
      </c>
      <c r="AN412" s="905">
        <f>INDEX(G412:R412,1,MATCH(Parametres!$B$3,G$1:R$1,0))*IF(OR(F412="L",F412="S",F412="I"),-1,1)</f>
        <v>0</v>
      </c>
      <c r="AO412" s="487" t="str">
        <f>+VLOOKUP($AJ412,Data_Validation!$A:$D,1,0)</f>
        <v>G22502</v>
      </c>
      <c r="AP412" s="487" t="str">
        <f>+VLOOKUP($AJ412,Data_Validation!$A:$D,3,0)</f>
        <v>Bilan</v>
      </c>
      <c r="AQ412" s="487" t="str">
        <f>+VLOOKUP($AJ412,Data_Validation!$A:$D,4,0)</f>
        <v>Encaisse</v>
      </c>
      <c r="AR412" s="487" t="s">
        <v>299</v>
      </c>
      <c r="AS412" s="487">
        <f>+VLOOKUP($AJ412,Data_Validation!$A:$E,5,0)</f>
        <v>0</v>
      </c>
      <c r="AT412" s="904" t="str">
        <f t="shared" si="39"/>
        <v>G22502</v>
      </c>
      <c r="AU412" s="488" t="str">
        <f t="shared" si="40"/>
        <v>DEBIT/INTERAC</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customHeight="1">
      <c r="A413" s="706" t="s">
        <v>1148</v>
      </c>
      <c r="B413" s="706">
        <v>2026</v>
      </c>
      <c r="C413" s="706" t="s">
        <v>1914</v>
      </c>
      <c r="D413" s="706" t="s">
        <v>1915</v>
      </c>
      <c r="E413" s="706" t="s">
        <v>1136</v>
      </c>
      <c r="F413" s="706" t="s">
        <v>1136</v>
      </c>
      <c r="G413" s="706">
        <v>0</v>
      </c>
      <c r="H413" s="706">
        <v>0</v>
      </c>
      <c r="I413" s="706">
        <v>0</v>
      </c>
      <c r="J413" s="706">
        <v>0</v>
      </c>
      <c r="K413" s="706">
        <v>-229.95</v>
      </c>
      <c r="L413" s="706">
        <v>0</v>
      </c>
      <c r="M413" s="706">
        <v>-1042.44</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G22503</v>
      </c>
      <c r="AK413" s="905" t="str">
        <f t="shared" si="37"/>
        <v>MASTER CARD</v>
      </c>
      <c r="AL413" s="905">
        <f>IFERROR(INDEX(G413:R413,1,MATCH(Parametres!$B$3,G$1:R$1,0)-1)*IF(OR(F413="L",F413="S",F413="I"),-1,1),"")</f>
        <v>-229.95</v>
      </c>
      <c r="AM413" s="905">
        <f t="shared" si="38"/>
        <v>229.95</v>
      </c>
      <c r="AN413" s="905">
        <f>INDEX(G413:R413,1,MATCH(Parametres!$B$3,G$1:R$1,0))*IF(OR(F413="L",F413="S",F413="I"),-1,1)</f>
        <v>0</v>
      </c>
      <c r="AO413" s="487" t="str">
        <f>+VLOOKUP($AJ413,Data_Validation!$A:$D,1,0)</f>
        <v>G22503</v>
      </c>
      <c r="AP413" s="487" t="str">
        <f>+VLOOKUP($AJ413,Data_Validation!$A:$D,3,0)</f>
        <v>Bilan</v>
      </c>
      <c r="AQ413" s="487" t="str">
        <f>+VLOOKUP($AJ413,Data_Validation!$A:$D,4,0)</f>
        <v>Encaisse</v>
      </c>
      <c r="AR413" s="487" t="s">
        <v>299</v>
      </c>
      <c r="AS413" s="487">
        <f>+VLOOKUP($AJ413,Data_Validation!$A:$E,5,0)</f>
        <v>0</v>
      </c>
      <c r="AT413" s="904" t="str">
        <f t="shared" si="39"/>
        <v>G22503</v>
      </c>
      <c r="AU413" s="488" t="str">
        <f t="shared" si="40"/>
        <v>MASTER CARD</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customHeight="1">
      <c r="A414" s="706" t="s">
        <v>1148</v>
      </c>
      <c r="B414" s="706">
        <v>2026</v>
      </c>
      <c r="C414" s="706" t="s">
        <v>1916</v>
      </c>
      <c r="D414" s="706" t="s">
        <v>1917</v>
      </c>
      <c r="E414" s="706" t="s">
        <v>1136</v>
      </c>
      <c r="F414" s="706" t="s">
        <v>1136</v>
      </c>
      <c r="G414" s="706">
        <v>-741.39</v>
      </c>
      <c r="H414" s="706">
        <v>0</v>
      </c>
      <c r="I414" s="706">
        <v>0</v>
      </c>
      <c r="J414" s="706">
        <v>-498</v>
      </c>
      <c r="K414" s="706">
        <v>0</v>
      </c>
      <c r="L414" s="706">
        <v>0</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G22504</v>
      </c>
      <c r="AK414" s="905" t="str">
        <f t="shared" si="37"/>
        <v>VISA</v>
      </c>
      <c r="AL414" s="905">
        <f>IFERROR(INDEX(G414:R414,1,MATCH(Parametres!$B$3,G$1:R$1,0)-1)*IF(OR(F414="L",F414="S",F414="I"),-1,1),"")</f>
        <v>0</v>
      </c>
      <c r="AM414" s="905">
        <f t="shared" si="38"/>
        <v>0</v>
      </c>
      <c r="AN414" s="905">
        <f>INDEX(G414:R414,1,MATCH(Parametres!$B$3,G$1:R$1,0))*IF(OR(F414="L",F414="S",F414="I"),-1,1)</f>
        <v>0</v>
      </c>
      <c r="AO414" s="487" t="str">
        <f>+VLOOKUP($AJ414,Data_Validation!$A:$D,1,0)</f>
        <v>G22504</v>
      </c>
      <c r="AP414" s="487" t="str">
        <f>+VLOOKUP($AJ414,Data_Validation!$A:$D,3,0)</f>
        <v>Bilan</v>
      </c>
      <c r="AQ414" s="487" t="str">
        <f>+VLOOKUP($AJ414,Data_Validation!$A:$D,4,0)</f>
        <v>Encaisse</v>
      </c>
      <c r="AR414" s="487" t="s">
        <v>299</v>
      </c>
      <c r="AS414" s="487">
        <f>+VLOOKUP($AJ414,Data_Validation!$A:$E,5,0)</f>
        <v>0</v>
      </c>
      <c r="AT414" s="904" t="str">
        <f t="shared" si="39"/>
        <v>G22504</v>
      </c>
      <c r="AU414" s="488" t="str">
        <f t="shared" si="40"/>
        <v>VISA</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customHeight="1">
      <c r="A415" s="706" t="s">
        <v>1148</v>
      </c>
      <c r="B415" s="706">
        <v>2026</v>
      </c>
      <c r="C415" s="706" t="s">
        <v>1918</v>
      </c>
      <c r="D415" s="706" t="s">
        <v>1919</v>
      </c>
      <c r="E415" s="706" t="s">
        <v>1136</v>
      </c>
      <c r="F415" s="706" t="s">
        <v>1136</v>
      </c>
      <c r="G415" s="706">
        <v>0</v>
      </c>
      <c r="H415" s="706">
        <v>0</v>
      </c>
      <c r="I415" s="706">
        <v>0</v>
      </c>
      <c r="J415" s="706">
        <v>0</v>
      </c>
      <c r="K415" s="706">
        <v>0</v>
      </c>
      <c r="L415" s="706">
        <v>0</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G22505</v>
      </c>
      <c r="AK415" s="905" t="str">
        <f t="shared" si="37"/>
        <v>AMEX</v>
      </c>
      <c r="AL415" s="905">
        <f>IFERROR(INDEX(G415:R415,1,MATCH(Parametres!$B$3,G$1:R$1,0)-1)*IF(OR(F415="L",F415="S",F415="I"),-1,1),"")</f>
        <v>0</v>
      </c>
      <c r="AM415" s="905">
        <f t="shared" si="38"/>
        <v>0</v>
      </c>
      <c r="AN415" s="905">
        <f>INDEX(G415:R415,1,MATCH(Parametres!$B$3,G$1:R$1,0))*IF(OR(F415="L",F415="S",F415="I"),-1,1)</f>
        <v>0</v>
      </c>
      <c r="AO415" s="487" t="str">
        <f>+VLOOKUP($AJ415,Data_Validation!$A:$D,1,0)</f>
        <v>G22505</v>
      </c>
      <c r="AP415" s="487" t="str">
        <f>+VLOOKUP($AJ415,Data_Validation!$A:$D,3,0)</f>
        <v>Bilan</v>
      </c>
      <c r="AQ415" s="487" t="str">
        <f>+VLOOKUP($AJ415,Data_Validation!$A:$D,4,0)</f>
        <v>Encaisse</v>
      </c>
      <c r="AR415" s="487" t="s">
        <v>299</v>
      </c>
      <c r="AS415" s="487">
        <f>+VLOOKUP($AJ415,Data_Validation!$A:$E,5,0)</f>
        <v>0</v>
      </c>
      <c r="AT415" s="904" t="str">
        <f t="shared" si="39"/>
        <v>G22505</v>
      </c>
      <c r="AU415" s="488" t="str">
        <f t="shared" si="40"/>
        <v>AMEX</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customHeight="1">
      <c r="A416" s="706" t="s">
        <v>1148</v>
      </c>
      <c r="B416" s="706">
        <v>2026</v>
      </c>
      <c r="C416" s="706" t="s">
        <v>1920</v>
      </c>
      <c r="D416" s="706" t="s">
        <v>1921</v>
      </c>
      <c r="E416" s="706" t="s">
        <v>1136</v>
      </c>
      <c r="F416" s="706" t="s">
        <v>1136</v>
      </c>
      <c r="G416" s="706">
        <v>0</v>
      </c>
      <c r="H416" s="706">
        <v>0</v>
      </c>
      <c r="I416" s="706">
        <v>0</v>
      </c>
      <c r="J416" s="706">
        <v>0</v>
      </c>
      <c r="K416" s="706">
        <v>0</v>
      </c>
      <c r="L416" s="706">
        <v>0</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G22506</v>
      </c>
      <c r="AK416" s="905" t="str">
        <f t="shared" si="37"/>
        <v>CHEQUES</v>
      </c>
      <c r="AL416" s="905">
        <f>IFERROR(INDEX(G416:R416,1,MATCH(Parametres!$B$3,G$1:R$1,0)-1)*IF(OR(F416="L",F416="S",F416="I"),-1,1),"")</f>
        <v>0</v>
      </c>
      <c r="AM416" s="905">
        <f t="shared" si="38"/>
        <v>0</v>
      </c>
      <c r="AN416" s="905">
        <f>INDEX(G416:R416,1,MATCH(Parametres!$B$3,G$1:R$1,0))*IF(OR(F416="L",F416="S",F416="I"),-1,1)</f>
        <v>0</v>
      </c>
      <c r="AO416" s="487" t="str">
        <f>+VLOOKUP($AJ416,Data_Validation!$A:$D,1,0)</f>
        <v>G22506</v>
      </c>
      <c r="AP416" s="487" t="str">
        <f>+VLOOKUP($AJ416,Data_Validation!$A:$D,3,0)</f>
        <v>Bilan</v>
      </c>
      <c r="AQ416" s="487" t="str">
        <f>+VLOOKUP($AJ416,Data_Validation!$A:$D,4,0)</f>
        <v>Encaisse</v>
      </c>
      <c r="AR416" s="487" t="s">
        <v>299</v>
      </c>
      <c r="AS416" s="487">
        <f>+VLOOKUP($AJ416,Data_Validation!$A:$E,5,0)</f>
        <v>0</v>
      </c>
      <c r="AT416" s="904" t="str">
        <f t="shared" si="39"/>
        <v>G22506</v>
      </c>
      <c r="AU416" s="488" t="str">
        <f t="shared" si="40"/>
        <v>CHEQUES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customHeight="1">
      <c r="A417" s="706" t="s">
        <v>1148</v>
      </c>
      <c r="B417" s="706">
        <v>2026</v>
      </c>
      <c r="C417" s="706" t="s">
        <v>1922</v>
      </c>
      <c r="D417" s="706" t="s">
        <v>1923</v>
      </c>
      <c r="E417" s="706" t="s">
        <v>1143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G23000</v>
      </c>
      <c r="AK417" s="905" t="str">
        <f t="shared" si="37"/>
        <v>VEHICULES USAGÉS GLOBE</v>
      </c>
      <c r="AL417" s="905">
        <f>IFERROR(INDEX(G417:R417,1,MATCH(Parametres!$B$3,G$1:R$1,0)-1)*IF(OR(F417="L",F417="S",F417="I"),-1,1),"")</f>
        <v>0</v>
      </c>
      <c r="AM417" s="905">
        <f t="shared" si="38"/>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t="str">
        <f t="shared" si="39"/>
        <v>G23000</v>
      </c>
      <c r="AU417" s="488" t="str">
        <f t="shared" si="40"/>
        <v>VEHICULES USAGÉS GLOBE</v>
      </c>
      <c r="AV417" s="899">
        <f>IFERROR(INDEX(V417:AG417,1,MATCH(Parametres!$B$3,V$1:AG$1,0)-1)*IF(OR(C417="L",C417="S",C417="I"),-1,1),"")</f>
        <v>0</v>
      </c>
      <c r="AW417" s="899">
        <f t="shared" si="41"/>
        <v>0</v>
      </c>
      <c r="AX417" s="899">
        <f>INDEX(V417:AG417,1,MATCH(Parametres!$B$3,V$1:AG$1,0))*IF(OR(C417="L",C417="S",C417="I"),-1,1)</f>
        <v>0</v>
      </c>
      <c r="AY417" s="487" t="s">
        <v>337</v>
      </c>
      <c r="AZ417" s="487" t="e">
        <f>+VLOOKUP($AJ417,Data_Validation!$A:$E,5,0)</f>
        <v>#N/A</v>
      </c>
    </row>
    <row r="418" spans="1:52" ht="15.75" customHeight="1">
      <c r="A418" s="706" t="s">
        <v>1148</v>
      </c>
      <c r="B418" s="706">
        <v>2026</v>
      </c>
      <c r="C418" s="706" t="s">
        <v>1924</v>
      </c>
      <c r="D418" s="706" t="s">
        <v>1925</v>
      </c>
      <c r="E418" s="706" t="s">
        <v>1143</v>
      </c>
      <c r="F418" s="706" t="s">
        <v>1136</v>
      </c>
      <c r="G418" s="706">
        <v>612359.18000000005</v>
      </c>
      <c r="H418" s="706">
        <v>714614.18</v>
      </c>
      <c r="I418" s="706">
        <v>616930.36</v>
      </c>
      <c r="J418" s="706">
        <v>516647.36</v>
      </c>
      <c r="K418" s="706">
        <v>516647.18</v>
      </c>
      <c r="L418" s="706">
        <v>358793.18</v>
      </c>
      <c r="M418" s="706">
        <v>358793.18</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G23100</v>
      </c>
      <c r="AK418" s="905" t="str">
        <f t="shared" si="37"/>
        <v>INV. AUTOS NEUVES</v>
      </c>
      <c r="AL418" s="905">
        <f>IFERROR(INDEX(G418:R418,1,MATCH(Parametres!$B$3,G$1:R$1,0)-1)*IF(OR(F418="L",F418="S",F418="I"),-1,1),"")</f>
        <v>516647.18</v>
      </c>
      <c r="AM418" s="905">
        <f t="shared" si="38"/>
        <v>-157854</v>
      </c>
      <c r="AN418" s="905">
        <f>INDEX(G418:R418,1,MATCH(Parametres!$B$3,G$1:R$1,0))*IF(OR(F418="L",F418="S",F418="I"),-1,1)</f>
        <v>358793.18</v>
      </c>
      <c r="AO418" s="487" t="str">
        <f>+VLOOKUP($AJ418,Data_Validation!$A:$D,1,0)</f>
        <v>G23100</v>
      </c>
      <c r="AP418" s="487" t="str">
        <f>+VLOOKUP($AJ418,Data_Validation!$A:$D,3,0)</f>
        <v>Bilan</v>
      </c>
      <c r="AQ418" s="487" t="str">
        <f>+VLOOKUP($AJ418,Data_Validation!$A:$D,4,0)</f>
        <v>Inventaire Véhicules Neufs</v>
      </c>
      <c r="AR418" s="487" t="s">
        <v>299</v>
      </c>
      <c r="AS418" s="487">
        <f>+VLOOKUP($AJ418,Data_Validation!$A:$E,5,0)</f>
        <v>0</v>
      </c>
      <c r="AT418" s="904" t="str">
        <f t="shared" si="39"/>
        <v>G23100</v>
      </c>
      <c r="AU418" s="488" t="str">
        <f t="shared" si="40"/>
        <v>INV. AUTOS NEUVES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customHeight="1">
      <c r="A419" s="706" t="s">
        <v>1148</v>
      </c>
      <c r="B419" s="706">
        <v>2026</v>
      </c>
      <c r="C419" s="706" t="s">
        <v>1926</v>
      </c>
      <c r="D419" s="706" t="s">
        <v>1927</v>
      </c>
      <c r="E419" s="706" t="s">
        <v>1143</v>
      </c>
      <c r="F419" s="706" t="s">
        <v>1136</v>
      </c>
      <c r="G419" s="706">
        <v>0</v>
      </c>
      <c r="H419" s="706">
        <v>0</v>
      </c>
      <c r="I419" s="706">
        <v>0</v>
      </c>
      <c r="J419" s="706">
        <v>0</v>
      </c>
      <c r="K419" s="706">
        <v>0</v>
      </c>
      <c r="L419" s="706">
        <v>0</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G23500</v>
      </c>
      <c r="AK419" s="905" t="str">
        <f t="shared" si="37"/>
        <v>INV. CAM. POIDS MOY-NEUFS</v>
      </c>
      <c r="AL419" s="905">
        <f>IFERROR(INDEX(G419:R419,1,MATCH(Parametres!$B$3,G$1:R$1,0)-1)*IF(OR(F419="L",F419="S",F419="I"),-1,1),"")</f>
        <v>0</v>
      </c>
      <c r="AM419" s="905">
        <f t="shared" si="38"/>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t="str">
        <f t="shared" si="39"/>
        <v>G23500</v>
      </c>
      <c r="AU419" s="488" t="str">
        <f t="shared" si="40"/>
        <v>INV. CAM. POIDS MOY-NEUFS</v>
      </c>
      <c r="AV419" s="899">
        <f>IFERROR(INDEX(V419:AG419,1,MATCH(Parametres!$B$3,V$1:AG$1,0)-1)*IF(OR(C419="L",C419="S",C419="I"),-1,1),"")</f>
        <v>0</v>
      </c>
      <c r="AW419" s="899">
        <f t="shared" si="41"/>
        <v>0</v>
      </c>
      <c r="AX419" s="899">
        <f>INDEX(V419:AG419,1,MATCH(Parametres!$B$3,V$1:AG$1,0))*IF(OR(C419="L",C419="S",C419="I"),-1,1)</f>
        <v>0</v>
      </c>
      <c r="AY419" s="487" t="s">
        <v>337</v>
      </c>
      <c r="AZ419" s="487" t="e">
        <f>+VLOOKUP($AJ419,Data_Validation!$A:$E,5,0)</f>
        <v>#N/A</v>
      </c>
    </row>
    <row r="420" spans="1:52" ht="15.75" customHeight="1">
      <c r="A420" s="706" t="s">
        <v>1148</v>
      </c>
      <c r="B420" s="706">
        <v>2026</v>
      </c>
      <c r="C420" s="706" t="s">
        <v>1928</v>
      </c>
      <c r="D420" s="706" t="s">
        <v>1929</v>
      </c>
      <c r="E420" s="706" t="s">
        <v>1143</v>
      </c>
      <c r="F420" s="706" t="s">
        <v>1136</v>
      </c>
      <c r="G420" s="706">
        <v>30599881.510000002</v>
      </c>
      <c r="H420" s="706">
        <v>26510748.57</v>
      </c>
      <c r="I420" s="706">
        <v>32115296.719999999</v>
      </c>
      <c r="J420" s="706">
        <v>24307370.84</v>
      </c>
      <c r="K420" s="706">
        <v>22456618.960000001</v>
      </c>
      <c r="L420" s="706">
        <v>18286485.559999999</v>
      </c>
      <c r="M420" s="706">
        <v>21013132.420000002</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G23700</v>
      </c>
      <c r="AK420" s="905" t="str">
        <f t="shared" si="37"/>
        <v>INV. CAMIONS NEUFS</v>
      </c>
      <c r="AL420" s="905">
        <f>IFERROR(INDEX(G420:R420,1,MATCH(Parametres!$B$3,G$1:R$1,0)-1)*IF(OR(F420="L",F420="S",F420="I"),-1,1),"")</f>
        <v>22456618.960000001</v>
      </c>
      <c r="AM420" s="905">
        <f t="shared" si="38"/>
        <v>-4170133.4000000022</v>
      </c>
      <c r="AN420" s="905">
        <f>INDEX(G420:R420,1,MATCH(Parametres!$B$3,G$1:R$1,0))*IF(OR(F420="L",F420="S",F420="I"),-1,1)</f>
        <v>18286485.559999999</v>
      </c>
      <c r="AO420" s="487" t="str">
        <f>+VLOOKUP($AJ420,Data_Validation!$A:$D,1,0)</f>
        <v>G23700</v>
      </c>
      <c r="AP420" s="487" t="str">
        <f>+VLOOKUP($AJ420,Data_Validation!$A:$D,3,0)</f>
        <v>Bilan</v>
      </c>
      <c r="AQ420" s="487" t="str">
        <f>+VLOOKUP($AJ420,Data_Validation!$A:$D,4,0)</f>
        <v>Inventaire Véhicules Neufs</v>
      </c>
      <c r="AR420" s="487" t="s">
        <v>299</v>
      </c>
      <c r="AS420" s="487">
        <f>+VLOOKUP($AJ420,Data_Validation!$A:$E,5,0)</f>
        <v>0</v>
      </c>
      <c r="AT420" s="904" t="str">
        <f t="shared" si="39"/>
        <v>G23700</v>
      </c>
      <c r="AU420" s="488" t="str">
        <f t="shared" si="40"/>
        <v>INV. CAMIONS NEUFS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customHeight="1">
      <c r="A421" s="706" t="s">
        <v>1148</v>
      </c>
      <c r="B421" s="706">
        <v>2026</v>
      </c>
      <c r="C421" s="706" t="s">
        <v>1930</v>
      </c>
      <c r="D421" s="706" t="s">
        <v>1931</v>
      </c>
      <c r="E421" s="706" t="s">
        <v>1143</v>
      </c>
      <c r="F421" s="706" t="s">
        <v>1136</v>
      </c>
      <c r="G421" s="706">
        <v>584965.07999999996</v>
      </c>
      <c r="H421" s="706">
        <v>403479.29</v>
      </c>
      <c r="I421" s="706">
        <v>417813.52</v>
      </c>
      <c r="J421" s="706">
        <v>1426603.68</v>
      </c>
      <c r="K421" s="706">
        <v>666266.02</v>
      </c>
      <c r="L421" s="706">
        <v>720014.68</v>
      </c>
      <c r="M421" s="706">
        <v>409978.4</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G24000</v>
      </c>
      <c r="AK421" s="905" t="str">
        <f t="shared" si="37"/>
        <v>INV. AUTOS USAGEES</v>
      </c>
      <c r="AL421" s="905">
        <f>IFERROR(INDEX(G421:R421,1,MATCH(Parametres!$B$3,G$1:R$1,0)-1)*IF(OR(F421="L",F421="S",F421="I"),-1,1),"")</f>
        <v>666266.02</v>
      </c>
      <c r="AM421" s="905">
        <f t="shared" si="38"/>
        <v>53748.660000000033</v>
      </c>
      <c r="AN421" s="905">
        <f>INDEX(G421:R421,1,MATCH(Parametres!$B$3,G$1:R$1,0))*IF(OR(F421="L",F421="S",F421="I"),-1,1)</f>
        <v>720014.68</v>
      </c>
      <c r="AO421" s="487" t="str">
        <f>+VLOOKUP($AJ421,Data_Validation!$A:$D,1,0)</f>
        <v>G24000</v>
      </c>
      <c r="AP421" s="487" t="str">
        <f>+VLOOKUP($AJ421,Data_Validation!$A:$D,3,0)</f>
        <v>Bilan</v>
      </c>
      <c r="AQ421" s="487" t="str">
        <f>+VLOOKUP($AJ421,Data_Validation!$A:$D,4,0)</f>
        <v>Inventaire Véhicules Usagés</v>
      </c>
      <c r="AR421" s="487" t="s">
        <v>299</v>
      </c>
      <c r="AS421" s="487">
        <f>+VLOOKUP($AJ421,Data_Validation!$A:$E,5,0)</f>
        <v>0</v>
      </c>
      <c r="AT421" s="904" t="str">
        <f t="shared" si="39"/>
        <v>G24000</v>
      </c>
      <c r="AU421" s="488" t="str">
        <f t="shared" si="40"/>
        <v>INV. AUTOS USAGEES</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customHeight="1">
      <c r="A422" s="706" t="s">
        <v>1148</v>
      </c>
      <c r="B422" s="706">
        <v>2026</v>
      </c>
      <c r="C422" s="706" t="s">
        <v>1932</v>
      </c>
      <c r="D422" s="706" t="s">
        <v>1933</v>
      </c>
      <c r="E422" s="706" t="s">
        <v>1143</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G24001</v>
      </c>
      <c r="AK422" s="905" t="str">
        <f t="shared" si="37"/>
        <v>INVENTAIRE EBLOCK</v>
      </c>
      <c r="AL422" s="905">
        <f>IFERROR(INDEX(G422:R422,1,MATCH(Parametres!$B$3,G$1:R$1,0)-1)*IF(OR(F422="L",F422="S",F422="I"),-1,1),"")</f>
        <v>0</v>
      </c>
      <c r="AM422" s="905">
        <f t="shared" si="38"/>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t="str">
        <f t="shared" si="39"/>
        <v>G24001</v>
      </c>
      <c r="AU422" s="488" t="str">
        <f t="shared" si="40"/>
        <v>INVENTAIRE EBLOCK</v>
      </c>
      <c r="AV422" s="899">
        <f>IFERROR(INDEX(V422:AG422,1,MATCH(Parametres!$B$3,V$1:AG$1,0)-1)*IF(OR(C422="L",C422="S",C422="I"),-1,1),"")</f>
        <v>0</v>
      </c>
      <c r="AW422" s="899">
        <f t="shared" si="41"/>
        <v>0</v>
      </c>
      <c r="AX422" s="899">
        <f>INDEX(V422:AG422,1,MATCH(Parametres!$B$3,V$1:AG$1,0))*IF(OR(C422="L",C422="S",C422="I"),-1,1)</f>
        <v>0</v>
      </c>
      <c r="AY422" s="487" t="s">
        <v>337</v>
      </c>
      <c r="AZ422" s="487" t="e">
        <f>+VLOOKUP($AJ422,Data_Validation!$A:$E,5,0)</f>
        <v>#N/A</v>
      </c>
    </row>
    <row r="423" spans="1:52" ht="15.75" customHeight="1">
      <c r="A423" s="706" t="s">
        <v>1148</v>
      </c>
      <c r="B423" s="706">
        <v>2026</v>
      </c>
      <c r="C423" s="706" t="s">
        <v>1934</v>
      </c>
      <c r="D423" s="706" t="s">
        <v>1935</v>
      </c>
      <c r="E423" s="706" t="s">
        <v>1143</v>
      </c>
      <c r="F423" s="706" t="s">
        <v>1136</v>
      </c>
      <c r="G423" s="706">
        <v>7206178.2999999998</v>
      </c>
      <c r="H423" s="706">
        <v>6527296.3300000001</v>
      </c>
      <c r="I423" s="706">
        <v>6820594.3399999999</v>
      </c>
      <c r="J423" s="706">
        <v>6394296.4900000002</v>
      </c>
      <c r="K423" s="706">
        <v>4808499.6900000004</v>
      </c>
      <c r="L423" s="706">
        <v>3645155.39</v>
      </c>
      <c r="M423" s="706">
        <v>3918714.47</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G24100</v>
      </c>
      <c r="AK423" s="905" t="str">
        <f t="shared" si="37"/>
        <v>INV. CAMIONS USAGES</v>
      </c>
      <c r="AL423" s="905">
        <f>IFERROR(INDEX(G423:R423,1,MATCH(Parametres!$B$3,G$1:R$1,0)-1)*IF(OR(F423="L",F423="S",F423="I"),-1,1),"")</f>
        <v>4808499.6900000004</v>
      </c>
      <c r="AM423" s="905">
        <f t="shared" si="38"/>
        <v>-1163344.3000000003</v>
      </c>
      <c r="AN423" s="905">
        <f>INDEX(G423:R423,1,MATCH(Parametres!$B$3,G$1:R$1,0))*IF(OR(F423="L",F423="S",F423="I"),-1,1)</f>
        <v>3645155.39</v>
      </c>
      <c r="AO423" s="487" t="str">
        <f>+VLOOKUP($AJ423,Data_Validation!$A:$D,1,0)</f>
        <v>G24100</v>
      </c>
      <c r="AP423" s="487" t="str">
        <f>+VLOOKUP($AJ423,Data_Validation!$A:$D,3,0)</f>
        <v>Bilan</v>
      </c>
      <c r="AQ423" s="487" t="str">
        <f>+VLOOKUP($AJ423,Data_Validation!$A:$D,4,0)</f>
        <v>Inventaire Véhicules Usagés</v>
      </c>
      <c r="AR423" s="487" t="s">
        <v>299</v>
      </c>
      <c r="AS423" s="487">
        <f>+VLOOKUP($AJ423,Data_Validation!$A:$E,5,0)</f>
        <v>0</v>
      </c>
      <c r="AT423" s="904" t="str">
        <f t="shared" si="39"/>
        <v>G24100</v>
      </c>
      <c r="AU423" s="488" t="str">
        <f t="shared" si="40"/>
        <v>INV. CAMIONS USAGES</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customHeight="1">
      <c r="A424" s="706" t="s">
        <v>1148</v>
      </c>
      <c r="B424" s="706">
        <v>2026</v>
      </c>
      <c r="C424" s="706" t="s">
        <v>1936</v>
      </c>
      <c r="D424" s="706" t="s">
        <v>1937</v>
      </c>
      <c r="E424" s="706" t="s">
        <v>1143</v>
      </c>
      <c r="F424" s="706" t="s">
        <v>1136</v>
      </c>
      <c r="G424" s="706">
        <v>12280625.390000001</v>
      </c>
      <c r="H424" s="706">
        <v>11673975.65</v>
      </c>
      <c r="I424" s="706">
        <v>14323090.35</v>
      </c>
      <c r="J424" s="706">
        <v>16152766.560000001</v>
      </c>
      <c r="K424" s="706">
        <v>13375241.25</v>
      </c>
      <c r="L424" s="706">
        <v>10741251.82</v>
      </c>
      <c r="M424" s="706">
        <v>10308245.699999999</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G24103</v>
      </c>
      <c r="AK424" s="905" t="str">
        <f t="shared" si="37"/>
        <v>INV. VENTES U.S.A</v>
      </c>
      <c r="AL424" s="905">
        <f>IFERROR(INDEX(G424:R424,1,MATCH(Parametres!$B$3,G$1:R$1,0)-1)*IF(OR(F424="L",F424="S",F424="I"),-1,1),"")</f>
        <v>13375241.25</v>
      </c>
      <c r="AM424" s="905">
        <f t="shared" si="38"/>
        <v>-2633989.4299999997</v>
      </c>
      <c r="AN424" s="905">
        <f>INDEX(G424:R424,1,MATCH(Parametres!$B$3,G$1:R$1,0))*IF(OR(F424="L",F424="S",F424="I"),-1,1)</f>
        <v>10741251.82</v>
      </c>
      <c r="AO424" s="487" t="str">
        <f>+VLOOKUP($AJ424,Data_Validation!$A:$D,1,0)</f>
        <v>G24103</v>
      </c>
      <c r="AP424" s="487" t="str">
        <f>+VLOOKUP($AJ424,Data_Validation!$A:$D,3,0)</f>
        <v>Bilan</v>
      </c>
      <c r="AQ424" s="487" t="str">
        <f>+VLOOKUP($AJ424,Data_Validation!$A:$D,4,0)</f>
        <v>Inventaire Véhicules Usagés</v>
      </c>
      <c r="AR424" s="487" t="s">
        <v>299</v>
      </c>
      <c r="AS424" s="487">
        <f>+VLOOKUP($AJ424,Data_Validation!$A:$E,5,0)</f>
        <v>0</v>
      </c>
      <c r="AT424" s="904" t="str">
        <f t="shared" si="39"/>
        <v>G24103</v>
      </c>
      <c r="AU424" s="488" t="str">
        <f t="shared" si="40"/>
        <v>INV. VENTES U.S.A</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customHeight="1">
      <c r="A425" s="706" t="s">
        <v>1148</v>
      </c>
      <c r="B425" s="706">
        <v>2026</v>
      </c>
      <c r="C425" s="706" t="s">
        <v>1938</v>
      </c>
      <c r="D425" s="706" t="s">
        <v>1939</v>
      </c>
      <c r="E425" s="706" t="s">
        <v>333</v>
      </c>
      <c r="F425" s="706" t="s">
        <v>1136</v>
      </c>
      <c r="G425" s="706">
        <v>0</v>
      </c>
      <c r="H425" s="706">
        <v>0</v>
      </c>
      <c r="I425" s="706">
        <v>0</v>
      </c>
      <c r="J425" s="706">
        <v>0</v>
      </c>
      <c r="K425" s="706">
        <v>0</v>
      </c>
      <c r="L425" s="706">
        <v>0</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G242A</v>
      </c>
      <c r="AK425" s="905" t="str">
        <f t="shared" si="37"/>
        <v>PIECES D'ECHANGES</v>
      </c>
      <c r="AL425" s="905">
        <f>IFERROR(INDEX(G425:R425,1,MATCH(Parametres!$B$3,G$1:R$1,0)-1)*IF(OR(F425="L",F425="S",F425="I"),-1,1),"")</f>
        <v>0</v>
      </c>
      <c r="AM425" s="905">
        <f t="shared" si="38"/>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t="str">
        <f t="shared" si="39"/>
        <v>G242A</v>
      </c>
      <c r="AU425" s="488" t="str">
        <f t="shared" si="40"/>
        <v>PIECES D'ECHANGES</v>
      </c>
      <c r="AV425" s="899">
        <f>IFERROR(INDEX(V425:AG425,1,MATCH(Parametres!$B$3,V$1:AG$1,0)-1)*IF(OR(C425="L",C425="S",C425="I"),-1,1),"")</f>
        <v>0</v>
      </c>
      <c r="AW425" s="899">
        <f t="shared" si="41"/>
        <v>0</v>
      </c>
      <c r="AX425" s="899">
        <f>INDEX(V425:AG425,1,MATCH(Parametres!$B$3,V$1:AG$1,0))*IF(OR(C425="L",C425="S",C425="I"),-1,1)</f>
        <v>0</v>
      </c>
      <c r="AY425" s="487" t="s">
        <v>337</v>
      </c>
      <c r="AZ425" s="487" t="e">
        <f>+VLOOKUP($AJ425,Data_Validation!$A:$E,5,0)</f>
        <v>#N/A</v>
      </c>
    </row>
    <row r="426" spans="1:52" ht="15.75" customHeight="1">
      <c r="A426" s="706" t="s">
        <v>1148</v>
      </c>
      <c r="B426" s="706">
        <v>2026</v>
      </c>
      <c r="C426" s="706" t="s">
        <v>1940</v>
      </c>
      <c r="D426" s="706" t="s">
        <v>1941</v>
      </c>
      <c r="E426" s="706" t="s">
        <v>333</v>
      </c>
      <c r="F426" s="706" t="s">
        <v>1136</v>
      </c>
      <c r="G426" s="706">
        <v>281431.53000000003</v>
      </c>
      <c r="H426" s="706">
        <v>297091.28999999998</v>
      </c>
      <c r="I426" s="706">
        <v>278689.3</v>
      </c>
      <c r="J426" s="706">
        <v>319177.27</v>
      </c>
      <c r="K426" s="706">
        <v>359343</v>
      </c>
      <c r="L426" s="706">
        <v>343010.91</v>
      </c>
      <c r="M426" s="706">
        <v>372579.54</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G24200</v>
      </c>
      <c r="AK426" s="905" t="str">
        <f t="shared" si="37"/>
        <v>INV. DE PIECES</v>
      </c>
      <c r="AL426" s="905">
        <f>IFERROR(INDEX(G426:R426,1,MATCH(Parametres!$B$3,G$1:R$1,0)-1)*IF(OR(F426="L",F426="S",F426="I"),-1,1),"")</f>
        <v>359343</v>
      </c>
      <c r="AM426" s="905">
        <f t="shared" si="38"/>
        <v>-16332.090000000026</v>
      </c>
      <c r="AN426" s="905">
        <f>INDEX(G426:R426,1,MATCH(Parametres!$B$3,G$1:R$1,0))*IF(OR(F426="L",F426="S",F426="I"),-1,1)</f>
        <v>343010.91</v>
      </c>
      <c r="AO426" s="487" t="str">
        <f>+VLOOKUP($AJ426,Data_Validation!$A:$D,1,0)</f>
        <v>G24200</v>
      </c>
      <c r="AP426" s="487" t="str">
        <f>+VLOOKUP($AJ426,Data_Validation!$A:$D,3,0)</f>
        <v>Bilan</v>
      </c>
      <c r="AQ426" s="487" t="str">
        <f>+VLOOKUP($AJ426,Data_Validation!$A:$D,4,0)</f>
        <v>Inventaire Pièces, Pneus, Huile</v>
      </c>
      <c r="AR426" s="487" t="s">
        <v>299</v>
      </c>
      <c r="AS426" s="487">
        <f>+VLOOKUP($AJ426,Data_Validation!$A:$E,5,0)</f>
        <v>0</v>
      </c>
      <c r="AT426" s="904" t="str">
        <f t="shared" si="39"/>
        <v>G24200</v>
      </c>
      <c r="AU426" s="488" t="str">
        <f t="shared" si="40"/>
        <v>INV. DE PIECES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customHeight="1">
      <c r="A427" s="706" t="s">
        <v>1148</v>
      </c>
      <c r="B427" s="706">
        <v>2026</v>
      </c>
      <c r="C427" s="706" t="s">
        <v>1942</v>
      </c>
      <c r="D427" s="706" t="s">
        <v>1943</v>
      </c>
      <c r="E427" s="706" t="s">
        <v>333</v>
      </c>
      <c r="F427" s="706" t="s">
        <v>1136</v>
      </c>
      <c r="G427" s="706">
        <v>170986.39</v>
      </c>
      <c r="H427" s="706">
        <v>171866.85</v>
      </c>
      <c r="I427" s="706">
        <v>156331.35</v>
      </c>
      <c r="J427" s="706">
        <v>159733.44</v>
      </c>
      <c r="K427" s="706">
        <v>158162.51999999999</v>
      </c>
      <c r="L427" s="706">
        <v>146949.59</v>
      </c>
      <c r="M427" s="706">
        <v>145136.43</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G24300</v>
      </c>
      <c r="AK427" s="905" t="str">
        <f t="shared" si="37"/>
        <v>INV. DE PNEUS</v>
      </c>
      <c r="AL427" s="905">
        <f>IFERROR(INDEX(G427:R427,1,MATCH(Parametres!$B$3,G$1:R$1,0)-1)*IF(OR(F427="L",F427="S",F427="I"),-1,1),"")</f>
        <v>158162.51999999999</v>
      </c>
      <c r="AM427" s="905">
        <f t="shared" si="38"/>
        <v>-11212.929999999993</v>
      </c>
      <c r="AN427" s="905">
        <f>INDEX(G427:R427,1,MATCH(Parametres!$B$3,G$1:R$1,0))*IF(OR(F427="L",F427="S",F427="I"),-1,1)</f>
        <v>146949.59</v>
      </c>
      <c r="AO427" s="487" t="str">
        <f>+VLOOKUP($AJ427,Data_Validation!$A:$D,1,0)</f>
        <v>G24300</v>
      </c>
      <c r="AP427" s="487" t="str">
        <f>+VLOOKUP($AJ427,Data_Validation!$A:$D,3,0)</f>
        <v>Bilan</v>
      </c>
      <c r="AQ427" s="487" t="str">
        <f>+VLOOKUP($AJ427,Data_Validation!$A:$D,4,0)</f>
        <v>Inventaire Pièces, Pneus, Huile</v>
      </c>
      <c r="AR427" s="487" t="s">
        <v>299</v>
      </c>
      <c r="AS427" s="487">
        <f>+VLOOKUP($AJ427,Data_Validation!$A:$E,5,0)</f>
        <v>0</v>
      </c>
      <c r="AT427" s="904" t="str">
        <f t="shared" si="39"/>
        <v>G24300</v>
      </c>
      <c r="AU427" s="488" t="str">
        <f t="shared" si="40"/>
        <v>INV. DE PNEUS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customHeight="1">
      <c r="A428" s="706" t="s">
        <v>1148</v>
      </c>
      <c r="B428" s="706">
        <v>2026</v>
      </c>
      <c r="C428" s="706" t="s">
        <v>1944</v>
      </c>
      <c r="D428" s="706" t="s">
        <v>1945</v>
      </c>
      <c r="E428" s="706" t="s">
        <v>333</v>
      </c>
      <c r="F428" s="706" t="s">
        <v>1136</v>
      </c>
      <c r="G428" s="706">
        <v>0</v>
      </c>
      <c r="H428" s="706">
        <v>0</v>
      </c>
      <c r="I428" s="706">
        <v>0</v>
      </c>
      <c r="J428" s="706">
        <v>0</v>
      </c>
      <c r="K428" s="706">
        <v>0</v>
      </c>
      <c r="L428" s="706">
        <v>0</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G244</v>
      </c>
      <c r="AK428" s="905" t="str">
        <f t="shared" si="37"/>
        <v>INV. ESS.,HUILE,GRAISSE</v>
      </c>
      <c r="AL428" s="905">
        <f>IFERROR(INDEX(G428:R428,1,MATCH(Parametres!$B$3,G$1:R$1,0)-1)*IF(OR(F428="L",F428="S",F428="I"),-1,1),"")</f>
        <v>0</v>
      </c>
      <c r="AM428" s="905">
        <f t="shared" si="38"/>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t="str">
        <f t="shared" si="39"/>
        <v>G244</v>
      </c>
      <c r="AU428" s="488" t="str">
        <f t="shared" si="40"/>
        <v>INV. ESS.,HUILE,GRAISSE</v>
      </c>
      <c r="AV428" s="899">
        <f>IFERROR(INDEX(V428:AG428,1,MATCH(Parametres!$B$3,V$1:AG$1,0)-1)*IF(OR(C428="L",C428="S",C428="I"),-1,1),"")</f>
        <v>0</v>
      </c>
      <c r="AW428" s="899">
        <f t="shared" si="41"/>
        <v>0</v>
      </c>
      <c r="AX428" s="899">
        <f>INDEX(V428:AG428,1,MATCH(Parametres!$B$3,V$1:AG$1,0))*IF(OR(C428="L",C428="S",C428="I"),-1,1)</f>
        <v>0</v>
      </c>
      <c r="AY428" s="487" t="s">
        <v>337</v>
      </c>
      <c r="AZ428" s="487" t="e">
        <f>+VLOOKUP($AJ428,Data_Validation!$A:$E,5,0)</f>
        <v>#N/A</v>
      </c>
    </row>
    <row r="429" spans="1:52" ht="15.75" customHeight="1">
      <c r="A429" s="706" t="s">
        <v>1148</v>
      </c>
      <c r="B429" s="706">
        <v>2026</v>
      </c>
      <c r="C429" s="706" t="s">
        <v>1946</v>
      </c>
      <c r="D429" s="706" t="s">
        <v>1947</v>
      </c>
      <c r="E429" s="706" t="s">
        <v>333</v>
      </c>
      <c r="F429" s="706" t="s">
        <v>1136</v>
      </c>
      <c r="G429" s="706">
        <v>2234.71</v>
      </c>
      <c r="H429" s="706">
        <v>-1396.34</v>
      </c>
      <c r="I429" s="706">
        <v>-1020.43</v>
      </c>
      <c r="J429" s="706">
        <v>768.21</v>
      </c>
      <c r="K429" s="706">
        <v>1169.22</v>
      </c>
      <c r="L429" s="706">
        <v>-607.46</v>
      </c>
      <c r="M429" s="706">
        <v>975.95</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G24400</v>
      </c>
      <c r="AK429" s="905" t="str">
        <f t="shared" si="37"/>
        <v>INV. HUILES</v>
      </c>
      <c r="AL429" s="905">
        <f>IFERROR(INDEX(G429:R429,1,MATCH(Parametres!$B$3,G$1:R$1,0)-1)*IF(OR(F429="L",F429="S",F429="I"),-1,1),"")</f>
        <v>1169.22</v>
      </c>
      <c r="AM429" s="905">
        <f t="shared" si="38"/>
        <v>-1776.68</v>
      </c>
      <c r="AN429" s="905">
        <f>INDEX(G429:R429,1,MATCH(Parametres!$B$3,G$1:R$1,0))*IF(OR(F429="L",F429="S",F429="I"),-1,1)</f>
        <v>-607.46</v>
      </c>
      <c r="AO429" s="487" t="str">
        <f>+VLOOKUP($AJ429,Data_Validation!$A:$D,1,0)</f>
        <v>G24400</v>
      </c>
      <c r="AP429" s="487" t="str">
        <f>+VLOOKUP($AJ429,Data_Validation!$A:$D,3,0)</f>
        <v>Bilan</v>
      </c>
      <c r="AQ429" s="487" t="str">
        <f>+VLOOKUP($AJ429,Data_Validation!$A:$D,4,0)</f>
        <v>Inventaire Pièces, Pneus, Huile</v>
      </c>
      <c r="AR429" s="487" t="s">
        <v>299</v>
      </c>
      <c r="AS429" s="487">
        <f>+VLOOKUP($AJ429,Data_Validation!$A:$E,5,0)</f>
        <v>0</v>
      </c>
      <c r="AT429" s="904" t="str">
        <f t="shared" si="39"/>
        <v>G24400</v>
      </c>
      <c r="AU429" s="488" t="str">
        <f t="shared" si="40"/>
        <v>INV. HUILES</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customHeight="1">
      <c r="A430" s="706" t="s">
        <v>1148</v>
      </c>
      <c r="B430" s="706">
        <v>2026</v>
      </c>
      <c r="C430" s="706" t="s">
        <v>1948</v>
      </c>
      <c r="D430" s="706" t="s">
        <v>1949</v>
      </c>
      <c r="E430" s="706" t="s">
        <v>333</v>
      </c>
      <c r="F430" s="706" t="s">
        <v>1136</v>
      </c>
      <c r="G430" s="706">
        <v>66417.320000000007</v>
      </c>
      <c r="H430" s="706">
        <v>57826.85</v>
      </c>
      <c r="I430" s="706">
        <v>48116.28</v>
      </c>
      <c r="J430" s="706">
        <v>26508.05</v>
      </c>
      <c r="K430" s="706">
        <v>24751.119999999999</v>
      </c>
      <c r="L430" s="706">
        <v>15506.8</v>
      </c>
      <c r="M430" s="706">
        <v>21135.61</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G24500</v>
      </c>
      <c r="AK430" s="905" t="str">
        <f t="shared" si="37"/>
        <v>INV. DE PEINTURE</v>
      </c>
      <c r="AL430" s="905">
        <f>IFERROR(INDEX(G430:R430,1,MATCH(Parametres!$B$3,G$1:R$1,0)-1)*IF(OR(F430="L",F430="S",F430="I"),-1,1),"")</f>
        <v>24751.119999999999</v>
      </c>
      <c r="AM430" s="905">
        <f t="shared" si="38"/>
        <v>-9244.32</v>
      </c>
      <c r="AN430" s="905">
        <f>INDEX(G430:R430,1,MATCH(Parametres!$B$3,G$1:R$1,0))*IF(OR(F430="L",F430="S",F430="I"),-1,1)</f>
        <v>15506.8</v>
      </c>
      <c r="AO430" s="487" t="str">
        <f>+VLOOKUP($AJ430,Data_Validation!$A:$D,1,0)</f>
        <v>G24500</v>
      </c>
      <c r="AP430" s="487" t="str">
        <f>+VLOOKUP($AJ430,Data_Validation!$A:$D,3,0)</f>
        <v>Bilan</v>
      </c>
      <c r="AQ430" s="487" t="str">
        <f>+VLOOKUP($AJ430,Data_Validation!$A:$D,4,0)</f>
        <v>Inventaire Pièces, Pneus, Huile</v>
      </c>
      <c r="AR430" s="487" t="s">
        <v>299</v>
      </c>
      <c r="AS430" s="487">
        <f>+VLOOKUP($AJ430,Data_Validation!$A:$E,5,0)</f>
        <v>0</v>
      </c>
      <c r="AT430" s="904" t="str">
        <f t="shared" si="39"/>
        <v>G24500</v>
      </c>
      <c r="AU430" s="488" t="str">
        <f t="shared" si="40"/>
        <v>INV. DE PEINTURE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customHeight="1">
      <c r="A431" s="706" t="s">
        <v>1148</v>
      </c>
      <c r="B431" s="706">
        <v>2026</v>
      </c>
      <c r="C431" s="706" t="s">
        <v>1950</v>
      </c>
      <c r="D431" s="706" t="s">
        <v>1951</v>
      </c>
      <c r="E431" s="706" t="s">
        <v>333</v>
      </c>
      <c r="F431" s="706" t="s">
        <v>1136</v>
      </c>
      <c r="G431" s="706">
        <v>0</v>
      </c>
      <c r="H431" s="706">
        <v>0</v>
      </c>
      <c r="I431" s="706">
        <v>0</v>
      </c>
      <c r="J431" s="706">
        <v>0</v>
      </c>
      <c r="K431" s="706">
        <v>-3150.02</v>
      </c>
      <c r="L431" s="706">
        <v>-12115.17</v>
      </c>
      <c r="M431" s="706">
        <v>-14023.96</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G24501</v>
      </c>
      <c r="AK431" s="905" t="str">
        <f t="shared" si="37"/>
        <v>MATERIEL ATELIER BODY</v>
      </c>
      <c r="AL431" s="905">
        <f>IFERROR(INDEX(G431:R431,1,MATCH(Parametres!$B$3,G$1:R$1,0)-1)*IF(OR(F431="L",F431="S",F431="I"),-1,1),"")</f>
        <v>-3150.02</v>
      </c>
      <c r="AM431" s="905">
        <f t="shared" si="38"/>
        <v>-8965.15</v>
      </c>
      <c r="AN431" s="905">
        <f>INDEX(G431:R431,1,MATCH(Parametres!$B$3,G$1:R$1,0))*IF(OR(F431="L",F431="S",F431="I"),-1,1)</f>
        <v>-12115.17</v>
      </c>
      <c r="AO431" s="487" t="str">
        <f>+VLOOKUP($AJ431,Data_Validation!$A:$D,1,0)</f>
        <v>G24501</v>
      </c>
      <c r="AP431" s="487" t="str">
        <f>+VLOOKUP($AJ431,Data_Validation!$A:$D,3,0)</f>
        <v>Bilan</v>
      </c>
      <c r="AQ431" s="487" t="str">
        <f>+VLOOKUP($AJ431,Data_Validation!$A:$D,4,0)</f>
        <v>Inventaire Pièces, Pneus, Huile</v>
      </c>
      <c r="AR431" s="487" t="s">
        <v>299</v>
      </c>
      <c r="AS431" s="487">
        <f>+VLOOKUP($AJ431,Data_Validation!$A:$E,5,0)</f>
        <v>0</v>
      </c>
      <c r="AT431" s="904" t="str">
        <f t="shared" si="39"/>
        <v>G24501</v>
      </c>
      <c r="AU431" s="488" t="str">
        <f t="shared" si="40"/>
        <v>MATERIEL ATELIER BODY</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customHeight="1">
      <c r="A432" s="706" t="s">
        <v>1148</v>
      </c>
      <c r="B432" s="706">
        <v>2026</v>
      </c>
      <c r="C432" s="706" t="s">
        <v>1952</v>
      </c>
      <c r="D432" s="706" t="s">
        <v>1953</v>
      </c>
      <c r="E432" s="706" t="s">
        <v>333</v>
      </c>
      <c r="F432" s="706" t="s">
        <v>1136</v>
      </c>
      <c r="G432" s="706">
        <v>0</v>
      </c>
      <c r="H432" s="706">
        <v>0</v>
      </c>
      <c r="I432" s="706">
        <v>-8841.08</v>
      </c>
      <c r="J432" s="706">
        <v>2842.76</v>
      </c>
      <c r="K432" s="706">
        <v>1000.16</v>
      </c>
      <c r="L432" s="706">
        <v>3641.58</v>
      </c>
      <c r="M432" s="706">
        <v>6827.92</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G24550</v>
      </c>
      <c r="AK432" s="905" t="str">
        <f t="shared" si="37"/>
        <v>INV ESSENCES</v>
      </c>
      <c r="AL432" s="905">
        <f>IFERROR(INDEX(G432:R432,1,MATCH(Parametres!$B$3,G$1:R$1,0)-1)*IF(OR(F432="L",F432="S",F432="I"),-1,1),"")</f>
        <v>1000.16</v>
      </c>
      <c r="AM432" s="905">
        <f t="shared" si="38"/>
        <v>2641.42</v>
      </c>
      <c r="AN432" s="905">
        <f>INDEX(G432:R432,1,MATCH(Parametres!$B$3,G$1:R$1,0))*IF(OR(F432="L",F432="S",F432="I"),-1,1)</f>
        <v>3641.58</v>
      </c>
      <c r="AO432" s="487" t="str">
        <f>+VLOOKUP($AJ432,Data_Validation!$A:$D,1,0)</f>
        <v>G24550</v>
      </c>
      <c r="AP432" s="487" t="str">
        <f>+VLOOKUP($AJ432,Data_Validation!$A:$D,3,0)</f>
        <v>Bilan</v>
      </c>
      <c r="AQ432" s="487" t="str">
        <f>+VLOOKUP($AJ432,Data_Validation!$A:$D,4,0)</f>
        <v>Inventaire Pièces, Pneus, Huile</v>
      </c>
      <c r="AR432" s="487" t="s">
        <v>299</v>
      </c>
      <c r="AS432" s="487">
        <f>+VLOOKUP($AJ432,Data_Validation!$A:$E,5,0)</f>
        <v>0</v>
      </c>
      <c r="AT432" s="904" t="str">
        <f t="shared" si="39"/>
        <v>G24550</v>
      </c>
      <c r="AU432" s="488" t="str">
        <f t="shared" si="40"/>
        <v>INV ESSENCES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customHeight="1">
      <c r="A433" s="706" t="s">
        <v>1148</v>
      </c>
      <c r="B433" s="706">
        <v>2026</v>
      </c>
      <c r="C433" s="706" t="s">
        <v>1954</v>
      </c>
      <c r="D433" s="706" t="s">
        <v>1955</v>
      </c>
      <c r="E433" s="706" t="s">
        <v>333</v>
      </c>
      <c r="F433" s="706" t="s">
        <v>1136</v>
      </c>
      <c r="G433" s="706">
        <v>0</v>
      </c>
      <c r="H433" s="706">
        <v>0</v>
      </c>
      <c r="I433" s="706">
        <v>-3834.91</v>
      </c>
      <c r="J433" s="706">
        <v>1512.03</v>
      </c>
      <c r="K433" s="706">
        <v>1408.68</v>
      </c>
      <c r="L433" s="706">
        <v>2592.38</v>
      </c>
      <c r="M433" s="706">
        <v>2592.38</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G24560</v>
      </c>
      <c r="AK433" s="905" t="str">
        <f t="shared" si="37"/>
        <v>INV. DIESEL</v>
      </c>
      <c r="AL433" s="905">
        <f>IFERROR(INDEX(G433:R433,1,MATCH(Parametres!$B$3,G$1:R$1,0)-1)*IF(OR(F433="L",F433="S",F433="I"),-1,1),"")</f>
        <v>1408.68</v>
      </c>
      <c r="AM433" s="905">
        <f t="shared" si="38"/>
        <v>1183.7</v>
      </c>
      <c r="AN433" s="905">
        <f>INDEX(G433:R433,1,MATCH(Parametres!$B$3,G$1:R$1,0))*IF(OR(F433="L",F433="S",F433="I"),-1,1)</f>
        <v>2592.38</v>
      </c>
      <c r="AO433" s="487" t="str">
        <f>+VLOOKUP($AJ433,Data_Validation!$A:$D,1,0)</f>
        <v>G24560</v>
      </c>
      <c r="AP433" s="487" t="str">
        <f>+VLOOKUP($AJ433,Data_Validation!$A:$D,3,0)</f>
        <v>Bilan</v>
      </c>
      <c r="AQ433" s="487" t="str">
        <f>+VLOOKUP($AJ433,Data_Validation!$A:$D,4,0)</f>
        <v>Inventaire Pièces, Pneus, Huile</v>
      </c>
      <c r="AR433" s="487" t="s">
        <v>299</v>
      </c>
      <c r="AS433" s="487">
        <f>+VLOOKUP($AJ433,Data_Validation!$A:$E,5,0)</f>
        <v>0</v>
      </c>
      <c r="AT433" s="904" t="str">
        <f t="shared" si="39"/>
        <v>G24560</v>
      </c>
      <c r="AU433" s="488" t="str">
        <f t="shared" si="40"/>
        <v>INV. DIESEL</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customHeight="1">
      <c r="A434" s="706" t="s">
        <v>1148</v>
      </c>
      <c r="B434" s="706">
        <v>2026</v>
      </c>
      <c r="C434" s="706" t="s">
        <v>1956</v>
      </c>
      <c r="D434" s="706" t="s">
        <v>1957</v>
      </c>
      <c r="E434" s="706" t="s">
        <v>1141</v>
      </c>
      <c r="F434" s="706" t="s">
        <v>1136</v>
      </c>
      <c r="G434" s="706">
        <v>2037.5</v>
      </c>
      <c r="H434" s="706">
        <v>3942.97</v>
      </c>
      <c r="I434" s="706">
        <v>1107.92</v>
      </c>
      <c r="J434" s="706">
        <v>1029.97</v>
      </c>
      <c r="K434" s="706">
        <v>1080.6400000000001</v>
      </c>
      <c r="L434" s="706">
        <v>843.99</v>
      </c>
      <c r="M434" s="706">
        <v>671.55</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G24600</v>
      </c>
      <c r="AK434" s="905" t="str">
        <f t="shared" si="37"/>
        <v>INV. SOUS-CONTRATS</v>
      </c>
      <c r="AL434" s="905">
        <f>IFERROR(INDEX(G434:R434,1,MATCH(Parametres!$B$3,G$1:R$1,0)-1)*IF(OR(F434="L",F434="S",F434="I"),-1,1),"")</f>
        <v>1080.6400000000001</v>
      </c>
      <c r="AM434" s="905">
        <f t="shared" si="38"/>
        <v>-236.65000000000009</v>
      </c>
      <c r="AN434" s="905">
        <f>INDEX(G434:R434,1,MATCH(Parametres!$B$3,G$1:R$1,0))*IF(OR(F434="L",F434="S",F434="I"),-1,1)</f>
        <v>843.99</v>
      </c>
      <c r="AO434" s="487" t="str">
        <f>+VLOOKUP($AJ434,Data_Validation!$A:$D,1,0)</f>
        <v>G24600</v>
      </c>
      <c r="AP434" s="487" t="str">
        <f>+VLOOKUP($AJ434,Data_Validation!$A:$D,3,0)</f>
        <v>Bilan</v>
      </c>
      <c r="AQ434" s="487" t="str">
        <f>+VLOOKUP($AJ434,Data_Validation!$A:$D,4,0)</f>
        <v>Sous-Traitance</v>
      </c>
      <c r="AR434" s="487" t="s">
        <v>299</v>
      </c>
      <c r="AS434" s="487">
        <f>+VLOOKUP($AJ434,Data_Validation!$A:$E,5,0)</f>
        <v>0</v>
      </c>
      <c r="AT434" s="904" t="str">
        <f t="shared" si="39"/>
        <v>G24600</v>
      </c>
      <c r="AU434" s="488" t="str">
        <f t="shared" si="40"/>
        <v>INV. SOUS-CONTRATS</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customHeight="1">
      <c r="A435" s="706" t="s">
        <v>1148</v>
      </c>
      <c r="B435" s="706">
        <v>2026</v>
      </c>
      <c r="C435" s="706" t="s">
        <v>1958</v>
      </c>
      <c r="D435" s="706" t="s">
        <v>1959</v>
      </c>
      <c r="E435" s="706" t="s">
        <v>1141</v>
      </c>
      <c r="F435" s="706" t="s">
        <v>1136</v>
      </c>
      <c r="G435" s="706">
        <v>38095.96</v>
      </c>
      <c r="H435" s="706">
        <v>39080.800000000003</v>
      </c>
      <c r="I435" s="706">
        <v>26044.55</v>
      </c>
      <c r="J435" s="706">
        <v>15024.15</v>
      </c>
      <c r="K435" s="706">
        <v>11973.65</v>
      </c>
      <c r="L435" s="706">
        <v>25888.880000000001</v>
      </c>
      <c r="M435" s="706">
        <v>23082.58</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G24601</v>
      </c>
      <c r="AK435" s="905" t="str">
        <f t="shared" si="37"/>
        <v>INV. SOUS-CONTRAT BODY</v>
      </c>
      <c r="AL435" s="905">
        <f>IFERROR(INDEX(G435:R435,1,MATCH(Parametres!$B$3,G$1:R$1,0)-1)*IF(OR(F435="L",F435="S",F435="I"),-1,1),"")</f>
        <v>11973.65</v>
      </c>
      <c r="AM435" s="905">
        <f t="shared" si="38"/>
        <v>13915.230000000001</v>
      </c>
      <c r="AN435" s="905">
        <f>INDEX(G435:R435,1,MATCH(Parametres!$B$3,G$1:R$1,0))*IF(OR(F435="L",F435="S",F435="I"),-1,1)</f>
        <v>25888.880000000001</v>
      </c>
      <c r="AO435" s="487" t="str">
        <f>+VLOOKUP($AJ435,Data_Validation!$A:$D,1,0)</f>
        <v>G24601</v>
      </c>
      <c r="AP435" s="487" t="str">
        <f>+VLOOKUP($AJ435,Data_Validation!$A:$D,3,0)</f>
        <v>Bilan</v>
      </c>
      <c r="AQ435" s="487" t="str">
        <f>+VLOOKUP($AJ435,Data_Validation!$A:$D,4,0)</f>
        <v>Sous-Traitance</v>
      </c>
      <c r="AR435" s="487" t="s">
        <v>299</v>
      </c>
      <c r="AS435" s="487">
        <f>+VLOOKUP($AJ435,Data_Validation!$A:$E,5,0)</f>
        <v>0</v>
      </c>
      <c r="AT435" s="904" t="str">
        <f t="shared" si="39"/>
        <v>G24601</v>
      </c>
      <c r="AU435" s="488" t="str">
        <f t="shared" si="40"/>
        <v>INV. SOUS-CONTRAT BODY</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customHeight="1">
      <c r="A436" s="706" t="s">
        <v>1148</v>
      </c>
      <c r="B436" s="706">
        <v>2026</v>
      </c>
      <c r="C436" s="706" t="s">
        <v>1960</v>
      </c>
      <c r="D436" s="706" t="s">
        <v>1961</v>
      </c>
      <c r="E436" s="706" t="s">
        <v>1141</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G24602</v>
      </c>
      <c r="AK436" s="905" t="str">
        <f t="shared" si="37"/>
        <v>INV. S-T BODY -CLIENT</v>
      </c>
      <c r="AL436" s="905">
        <f>IFERROR(INDEX(G436:R436,1,MATCH(Parametres!$B$3,G$1:R$1,0)-1)*IF(OR(F436="L",F436="S",F436="I"),-1,1),"")</f>
        <v>0</v>
      </c>
      <c r="AM436" s="905">
        <f t="shared" si="38"/>
        <v>0</v>
      </c>
      <c r="AN436" s="905">
        <f>INDEX(G436:R436,1,MATCH(Parametres!$B$3,G$1:R$1,0))*IF(OR(F436="L",F436="S",F436="I"),-1,1)</f>
        <v>0</v>
      </c>
      <c r="AO436" s="487" t="str">
        <f>+VLOOKUP($AJ436,Data_Validation!$A:$D,1,0)</f>
        <v>G24602</v>
      </c>
      <c r="AP436" s="487" t="str">
        <f>+VLOOKUP($AJ436,Data_Validation!$A:$D,3,0)</f>
        <v>Bilan</v>
      </c>
      <c r="AQ436" s="487" t="str">
        <f>+VLOOKUP($AJ436,Data_Validation!$A:$D,4,0)</f>
        <v>Sous-Traitance</v>
      </c>
      <c r="AR436" s="487" t="s">
        <v>299</v>
      </c>
      <c r="AS436" s="487">
        <f>+VLOOKUP($AJ436,Data_Validation!$A:$E,5,0)</f>
        <v>0</v>
      </c>
      <c r="AT436" s="904" t="str">
        <f t="shared" si="39"/>
        <v>G24602</v>
      </c>
      <c r="AU436" s="488" t="str">
        <f t="shared" si="40"/>
        <v>INV. S-T BODY -CLIENT</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customHeight="1">
      <c r="A437" s="706" t="s">
        <v>1148</v>
      </c>
      <c r="B437" s="706">
        <v>2026</v>
      </c>
      <c r="C437" s="706" t="s">
        <v>1962</v>
      </c>
      <c r="D437" s="706" t="s">
        <v>3302</v>
      </c>
      <c r="E437" s="706" t="s">
        <v>333</v>
      </c>
      <c r="F437" s="706" t="s">
        <v>1136</v>
      </c>
      <c r="G437" s="706">
        <v>13586.27</v>
      </c>
      <c r="H437" s="706">
        <v>14938.99</v>
      </c>
      <c r="I437" s="706">
        <v>5194.54</v>
      </c>
      <c r="J437" s="706">
        <v>3700.94</v>
      </c>
      <c r="K437" s="706">
        <v>25056.65</v>
      </c>
      <c r="L437" s="706">
        <v>16535.2</v>
      </c>
      <c r="M437" s="706">
        <v>11054.29</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G24700</v>
      </c>
      <c r="AK437" s="905" t="str">
        <f t="shared" si="37"/>
        <v>TRAVAUX EN COURS SERVICE</v>
      </c>
      <c r="AL437" s="905">
        <f>IFERROR(INDEX(G437:R437,1,MATCH(Parametres!$B$3,G$1:R$1,0)-1)*IF(OR(F437="L",F437="S",F437="I"),-1,1),"")</f>
        <v>25056.65</v>
      </c>
      <c r="AM437" s="905">
        <f t="shared" si="38"/>
        <v>-8521.4500000000007</v>
      </c>
      <c r="AN437" s="905">
        <f>INDEX(G437:R437,1,MATCH(Parametres!$B$3,G$1:R$1,0))*IF(OR(F437="L",F437="S",F437="I"),-1,1)</f>
        <v>16535.2</v>
      </c>
      <c r="AO437" s="487" t="str">
        <f>+VLOOKUP($AJ437,Data_Validation!$A:$D,1,0)</f>
        <v>G24700</v>
      </c>
      <c r="AP437" s="487" t="str">
        <f>+VLOOKUP($AJ437,Data_Validation!$A:$D,3,0)</f>
        <v>Bilan</v>
      </c>
      <c r="AQ437" s="487" t="str">
        <f>+VLOOKUP($AJ437,Data_Validation!$A:$D,4,0)</f>
        <v>Travaux en Cours</v>
      </c>
      <c r="AR437" s="487" t="s">
        <v>299</v>
      </c>
      <c r="AS437" s="487">
        <f>+VLOOKUP($AJ437,Data_Validation!$A:$E,5,0)</f>
        <v>0</v>
      </c>
      <c r="AT437" s="904" t="str">
        <f t="shared" si="39"/>
        <v>G24700</v>
      </c>
      <c r="AU437" s="488" t="str">
        <f t="shared" si="40"/>
        <v>TRAVAUX EN COURS SERVICE</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customHeight="1">
      <c r="A438" s="706" t="s">
        <v>1148</v>
      </c>
      <c r="B438" s="706">
        <v>2026</v>
      </c>
      <c r="C438" s="706" t="s">
        <v>1964</v>
      </c>
      <c r="D438" s="706" t="s">
        <v>1965</v>
      </c>
      <c r="E438" s="706" t="s">
        <v>333</v>
      </c>
      <c r="F438" s="706" t="s">
        <v>1136</v>
      </c>
      <c r="G438" s="706">
        <v>0</v>
      </c>
      <c r="H438" s="706">
        <v>0</v>
      </c>
      <c r="I438" s="706">
        <v>0</v>
      </c>
      <c r="J438" s="706">
        <v>0</v>
      </c>
      <c r="K438" s="706">
        <v>0</v>
      </c>
      <c r="L438" s="706">
        <v>475.32</v>
      </c>
      <c r="M438" s="706">
        <v>3486.32</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G24702</v>
      </c>
      <c r="AK438" s="905" t="str">
        <f t="shared" si="37"/>
        <v>TRAVAUX EN COURS ESTHETIQ</v>
      </c>
      <c r="AL438" s="905">
        <f>IFERROR(INDEX(G438:R438,1,MATCH(Parametres!$B$3,G$1:R$1,0)-1)*IF(OR(F438="L",F438="S",F438="I"),-1,1),"")</f>
        <v>0</v>
      </c>
      <c r="AM438" s="905">
        <f t="shared" si="38"/>
        <v>475.32</v>
      </c>
      <c r="AN438" s="905">
        <f>INDEX(G438:R438,1,MATCH(Parametres!$B$3,G$1:R$1,0))*IF(OR(F438="L",F438="S",F438="I"),-1,1)</f>
        <v>475.32</v>
      </c>
      <c r="AO438" s="487" t="str">
        <f>+VLOOKUP($AJ438,Data_Validation!$A:$D,1,0)</f>
        <v>G24702</v>
      </c>
      <c r="AP438" s="487" t="str">
        <f>+VLOOKUP($AJ438,Data_Validation!$A:$D,3,0)</f>
        <v>Bilan</v>
      </c>
      <c r="AQ438" s="487" t="str">
        <f>+VLOOKUP($AJ438,Data_Validation!$A:$D,4,0)</f>
        <v>Travaux en Cours</v>
      </c>
      <c r="AR438" s="487" t="s">
        <v>299</v>
      </c>
      <c r="AS438" s="487">
        <f>+VLOOKUP($AJ438,Data_Validation!$A:$E,5,0)</f>
        <v>0</v>
      </c>
      <c r="AT438" s="904" t="str">
        <f t="shared" si="39"/>
        <v>G24702</v>
      </c>
      <c r="AU438" s="488" t="str">
        <f t="shared" si="40"/>
        <v>TRAVAUX EN COURS ESTHETIQ</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customHeight="1">
      <c r="A439" s="706" t="s">
        <v>1148</v>
      </c>
      <c r="B439" s="706">
        <v>2026</v>
      </c>
      <c r="C439" s="706" t="s">
        <v>1966</v>
      </c>
      <c r="D439" s="706" t="s">
        <v>1967</v>
      </c>
      <c r="E439" s="706" t="s">
        <v>333</v>
      </c>
      <c r="F439" s="706" t="s">
        <v>1136</v>
      </c>
      <c r="G439" s="706">
        <v>8432.51</v>
      </c>
      <c r="H439" s="706">
        <v>7668.38</v>
      </c>
      <c r="I439" s="706">
        <v>5211.6400000000003</v>
      </c>
      <c r="J439" s="706">
        <v>3099.09</v>
      </c>
      <c r="K439" s="706">
        <v>1845.4</v>
      </c>
      <c r="L439" s="706">
        <v>4222.2299999999996</v>
      </c>
      <c r="M439" s="706">
        <v>7782.64</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G24705</v>
      </c>
      <c r="AK439" s="905" t="str">
        <f t="shared" si="37"/>
        <v>TRAVAUX EN COURS-CARROSS</v>
      </c>
      <c r="AL439" s="905">
        <f>IFERROR(INDEX(G439:R439,1,MATCH(Parametres!$B$3,G$1:R$1,0)-1)*IF(OR(F439="L",F439="S",F439="I"),-1,1),"")</f>
        <v>1845.4</v>
      </c>
      <c r="AM439" s="905">
        <f t="shared" si="38"/>
        <v>2376.8299999999995</v>
      </c>
      <c r="AN439" s="905">
        <f>INDEX(G439:R439,1,MATCH(Parametres!$B$3,G$1:R$1,0))*IF(OR(F439="L",F439="S",F439="I"),-1,1)</f>
        <v>4222.2299999999996</v>
      </c>
      <c r="AO439" s="487" t="str">
        <f>+VLOOKUP($AJ439,Data_Validation!$A:$D,1,0)</f>
        <v>G24705</v>
      </c>
      <c r="AP439" s="487" t="str">
        <f>+VLOOKUP($AJ439,Data_Validation!$A:$D,3,0)</f>
        <v>Bilan</v>
      </c>
      <c r="AQ439" s="487" t="str">
        <f>+VLOOKUP($AJ439,Data_Validation!$A:$D,4,0)</f>
        <v>Travaux en Cours</v>
      </c>
      <c r="AR439" s="487" t="s">
        <v>299</v>
      </c>
      <c r="AS439" s="487">
        <f>+VLOOKUP($AJ439,Data_Validation!$A:$E,5,0)</f>
        <v>0</v>
      </c>
      <c r="AT439" s="904" t="str">
        <f t="shared" si="39"/>
        <v>G24705</v>
      </c>
      <c r="AU439" s="488" t="str">
        <f t="shared" si="40"/>
        <v>TRAVAUX EN COURS-CARROSS</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customHeight="1">
      <c r="A440" s="706" t="s">
        <v>1148</v>
      </c>
      <c r="B440" s="706">
        <v>2026</v>
      </c>
      <c r="C440" s="706" t="s">
        <v>1968</v>
      </c>
      <c r="D440" s="706" t="s">
        <v>1969</v>
      </c>
      <c r="E440" s="706" t="s">
        <v>333</v>
      </c>
      <c r="F440" s="706" t="s">
        <v>1136</v>
      </c>
      <c r="G440" s="706">
        <v>0</v>
      </c>
      <c r="H440" s="706">
        <v>0</v>
      </c>
      <c r="I440" s="706">
        <v>0</v>
      </c>
      <c r="J440" s="706">
        <v>0</v>
      </c>
      <c r="K440" s="706">
        <v>-9700.1200000000008</v>
      </c>
      <c r="L440" s="706">
        <v>993.85</v>
      </c>
      <c r="M440" s="706">
        <v>-4455.75</v>
      </c>
      <c r="N440" s="706">
        <v>0</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G24707</v>
      </c>
      <c r="AK440" s="905" t="str">
        <f t="shared" si="37"/>
        <v>TRAVAUX EN COURS SAAQ</v>
      </c>
      <c r="AL440" s="905">
        <f>IFERROR(INDEX(G440:R440,1,MATCH(Parametres!$B$3,G$1:R$1,0)-1)*IF(OR(F440="L",F440="S",F440="I"),-1,1),"")</f>
        <v>-9700.1200000000008</v>
      </c>
      <c r="AM440" s="905">
        <f t="shared" si="38"/>
        <v>10693.970000000001</v>
      </c>
      <c r="AN440" s="905">
        <f>INDEX(G440:R440,1,MATCH(Parametres!$B$3,G$1:R$1,0))*IF(OR(F440="L",F440="S",F440="I"),-1,1)</f>
        <v>993.85</v>
      </c>
      <c r="AO440" s="487" t="str">
        <f>+VLOOKUP($AJ440,Data_Validation!$A:$D,1,0)</f>
        <v>G24707</v>
      </c>
      <c r="AP440" s="487" t="str">
        <f>+VLOOKUP($AJ440,Data_Validation!$A:$D,3,0)</f>
        <v>Bilan</v>
      </c>
      <c r="AQ440" s="487" t="str">
        <f>+VLOOKUP($AJ440,Data_Validation!$A:$D,4,0)</f>
        <v>Travaux en Cours</v>
      </c>
      <c r="AR440" s="487" t="s">
        <v>299</v>
      </c>
      <c r="AS440" s="487">
        <f>+VLOOKUP($AJ440,Data_Validation!$A:$E,5,0)</f>
        <v>0</v>
      </c>
      <c r="AT440" s="904" t="str">
        <f t="shared" si="39"/>
        <v>G24707</v>
      </c>
      <c r="AU440" s="488" t="str">
        <f t="shared" si="40"/>
        <v>TRAVAUX EN COURS SAAQ</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customHeight="1">
      <c r="A441" s="706" t="s">
        <v>1148</v>
      </c>
      <c r="B441" s="706">
        <v>2026</v>
      </c>
      <c r="C441" s="706" t="s">
        <v>1970</v>
      </c>
      <c r="D441" s="706" t="s">
        <v>1971</v>
      </c>
      <c r="E441" s="706" t="s">
        <v>1139</v>
      </c>
      <c r="F441" s="706" t="s">
        <v>1136</v>
      </c>
      <c r="G441" s="706">
        <v>31000</v>
      </c>
      <c r="H441" s="706">
        <v>22000</v>
      </c>
      <c r="I441" s="706">
        <v>56000</v>
      </c>
      <c r="J441" s="706">
        <v>222000</v>
      </c>
      <c r="K441" s="706">
        <v>260000</v>
      </c>
      <c r="L441" s="706">
        <v>261000</v>
      </c>
      <c r="M441" s="706">
        <v>234000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G25000</v>
      </c>
      <c r="AK441" s="905" t="str">
        <f t="shared" si="37"/>
        <v>A RECEVOIR ROULEZ ELECT</v>
      </c>
      <c r="AL441" s="905">
        <f>IFERROR(INDEX(G441:R441,1,MATCH(Parametres!$B$3,G$1:R$1,0)-1)*IF(OR(F441="L",F441="S",F441="I"),-1,1),"")</f>
        <v>260000</v>
      </c>
      <c r="AM441" s="905">
        <f t="shared" si="38"/>
        <v>1000</v>
      </c>
      <c r="AN441" s="905">
        <f>INDEX(G441:R441,1,MATCH(Parametres!$B$3,G$1:R$1,0))*IF(OR(F441="L",F441="S",F441="I"),-1,1)</f>
        <v>261000</v>
      </c>
      <c r="AO441" s="487" t="str">
        <f>+VLOOKUP($AJ441,Data_Validation!$A:$D,1,0)</f>
        <v>G25000</v>
      </c>
      <c r="AP441" s="487" t="str">
        <f>+VLOOKUP($AJ441,Data_Validation!$A:$D,3,0)</f>
        <v>Bilan</v>
      </c>
      <c r="AQ441" s="487" t="str">
        <f>+VLOOKUP($AJ441,Data_Validation!$A:$D,4,0)</f>
        <v>Recevables Autres</v>
      </c>
      <c r="AR441" s="487" t="s">
        <v>299</v>
      </c>
      <c r="AS441" s="487">
        <f>+VLOOKUP($AJ441,Data_Validation!$A:$E,5,0)</f>
        <v>0</v>
      </c>
      <c r="AT441" s="904" t="str">
        <f t="shared" si="39"/>
        <v>G25000</v>
      </c>
      <c r="AU441" s="488" t="str">
        <f t="shared" si="40"/>
        <v>A RECEVOIR ROULEZ ELECT</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customHeight="1">
      <c r="A442" s="706" t="s">
        <v>1148</v>
      </c>
      <c r="B442" s="706">
        <v>2026</v>
      </c>
      <c r="C442" s="706" t="s">
        <v>1972</v>
      </c>
      <c r="D442" s="706" t="s">
        <v>1973</v>
      </c>
      <c r="E442" s="706" t="s">
        <v>333</v>
      </c>
      <c r="F442" s="706" t="s">
        <v>1136</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G258</v>
      </c>
      <c r="AK442" s="905" t="str">
        <f t="shared" si="37"/>
        <v>PNEUS USAGÉS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G258</v>
      </c>
      <c r="AU442" s="488" t="str">
        <f t="shared" si="40"/>
        <v>PNEUS USAGÉS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customHeight="1">
      <c r="A443" s="706" t="s">
        <v>1148</v>
      </c>
      <c r="B443" s="706">
        <v>2026</v>
      </c>
      <c r="C443" s="706" t="s">
        <v>1974</v>
      </c>
      <c r="D443" s="706" t="s">
        <v>1975</v>
      </c>
      <c r="E443" s="706" t="s">
        <v>1135</v>
      </c>
      <c r="F443" s="706" t="s">
        <v>1136</v>
      </c>
      <c r="G443" s="706">
        <v>0</v>
      </c>
      <c r="H443" s="706">
        <v>0</v>
      </c>
      <c r="I443" s="706">
        <v>0</v>
      </c>
      <c r="J443" s="706">
        <v>0</v>
      </c>
      <c r="K443" s="706">
        <v>0</v>
      </c>
      <c r="L443" s="706">
        <v>0</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G25800</v>
      </c>
      <c r="AK443" s="905" t="str">
        <f t="shared" si="37"/>
        <v>PNEUS COURTOISIES</v>
      </c>
      <c r="AL443" s="905">
        <f>IFERROR(INDEX(G443:R443,1,MATCH(Parametres!$B$3,G$1:R$1,0)-1)*IF(OR(F443="L",F443="S",F443="I"),-1,1),"")</f>
        <v>0</v>
      </c>
      <c r="AM443" s="905">
        <f t="shared" si="38"/>
        <v>0</v>
      </c>
      <c r="AN443" s="905">
        <f>INDEX(G443:R443,1,MATCH(Parametres!$B$3,G$1:R$1,0))*IF(OR(F443="L",F443="S",F443="I"),-1,1)</f>
        <v>0</v>
      </c>
      <c r="AO443" s="487" t="str">
        <f>+VLOOKUP($AJ443,Data_Validation!$A:$D,1,0)</f>
        <v>G25800</v>
      </c>
      <c r="AP443" s="487">
        <f>+VLOOKUP($AJ443,Data_Validation!$A:$D,3,0)</f>
        <v>0</v>
      </c>
      <c r="AQ443" s="487">
        <f>+VLOOKUP($AJ443,Data_Validation!$A:$D,4,0)</f>
        <v>0</v>
      </c>
      <c r="AR443" s="487" t="s">
        <v>299</v>
      </c>
      <c r="AS443" s="487">
        <f>+VLOOKUP($AJ443,Data_Validation!$A:$E,5,0)</f>
        <v>0</v>
      </c>
      <c r="AT443" s="904" t="str">
        <f t="shared" si="39"/>
        <v>G25800</v>
      </c>
      <c r="AU443" s="488" t="str">
        <f t="shared" si="40"/>
        <v>PNEUS COURTOISIES</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customHeight="1">
      <c r="A444" s="706" t="s">
        <v>1148</v>
      </c>
      <c r="B444" s="706">
        <v>2026</v>
      </c>
      <c r="C444" s="706" t="s">
        <v>1976</v>
      </c>
      <c r="D444" s="706" t="s">
        <v>1977</v>
      </c>
      <c r="E444" s="706" t="s">
        <v>333</v>
      </c>
      <c r="F444" s="706" t="s">
        <v>1136</v>
      </c>
      <c r="G444" s="706">
        <v>-272876.02</v>
      </c>
      <c r="H444" s="706">
        <v>-272876.02</v>
      </c>
      <c r="I444" s="706">
        <v>-272876.02</v>
      </c>
      <c r="J444" s="706">
        <v>-272876.02</v>
      </c>
      <c r="K444" s="706">
        <v>-272876.02</v>
      </c>
      <c r="L444" s="706">
        <v>-272876.02</v>
      </c>
      <c r="M444" s="706">
        <v>-272876.02</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G26000</v>
      </c>
      <c r="AK444" s="905" t="str">
        <f t="shared" si="37"/>
        <v>PORTEFEUILLE</v>
      </c>
      <c r="AL444" s="905">
        <f>IFERROR(INDEX(G444:R444,1,MATCH(Parametres!$B$3,G$1:R$1,0)-1)*IF(OR(F444="L",F444="S",F444="I"),-1,1),"")</f>
        <v>-272876.02</v>
      </c>
      <c r="AM444" s="905">
        <f t="shared" si="38"/>
        <v>0</v>
      </c>
      <c r="AN444" s="905">
        <f>INDEX(G444:R444,1,MATCH(Parametres!$B$3,G$1:R$1,0))*IF(OR(F444="L",F444="S",F444="I"),-1,1)</f>
        <v>-272876.02</v>
      </c>
      <c r="AO444" s="487" t="str">
        <f>+VLOOKUP($AJ444,Data_Validation!$A:$D,1,0)</f>
        <v>G26000</v>
      </c>
      <c r="AP444" s="487" t="str">
        <f>+VLOOKUP($AJ444,Data_Validation!$A:$D,3,0)</f>
        <v>Bilan</v>
      </c>
      <c r="AQ444" s="487" t="str">
        <f>+VLOOKUP($AJ444,Data_Validation!$A:$D,4,0)</f>
        <v>Encaisse</v>
      </c>
      <c r="AR444" s="487" t="s">
        <v>299</v>
      </c>
      <c r="AS444" s="487">
        <f>+VLOOKUP($AJ444,Data_Validation!$A:$E,5,0)</f>
        <v>0</v>
      </c>
      <c r="AT444" s="904" t="str">
        <f t="shared" si="39"/>
        <v>G26000</v>
      </c>
      <c r="AU444" s="488" t="str">
        <f t="shared" si="40"/>
        <v>PORTEFEUILLE</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customHeight="1">
      <c r="A445" s="706" t="s">
        <v>1148</v>
      </c>
      <c r="B445" s="706">
        <v>2026</v>
      </c>
      <c r="C445" s="706" t="s">
        <v>1978</v>
      </c>
      <c r="D445" s="706" t="s">
        <v>1979</v>
      </c>
      <c r="E445" s="706" t="s">
        <v>1139</v>
      </c>
      <c r="F445" s="706" t="s">
        <v>1136</v>
      </c>
      <c r="G445" s="706">
        <v>-44258.66</v>
      </c>
      <c r="H445" s="706">
        <v>-34155.68</v>
      </c>
      <c r="I445" s="706">
        <v>-22499.8</v>
      </c>
      <c r="J445" s="706">
        <v>-24469.61</v>
      </c>
      <c r="K445" s="706">
        <v>-25313.77</v>
      </c>
      <c r="L445" s="706">
        <v>-17216.88</v>
      </c>
      <c r="M445" s="706">
        <v>-16892.25</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G26101</v>
      </c>
      <c r="AK445" s="905" t="str">
        <f t="shared" si="37"/>
        <v>INSPECTIONS (PDI)</v>
      </c>
      <c r="AL445" s="905">
        <f>IFERROR(INDEX(G445:R445,1,MATCH(Parametres!$B$3,G$1:R$1,0)-1)*IF(OR(F445="L",F445="S",F445="I"),-1,1),"")</f>
        <v>-25313.77</v>
      </c>
      <c r="AM445" s="905">
        <f t="shared" si="38"/>
        <v>8096.8899999999994</v>
      </c>
      <c r="AN445" s="905">
        <f>INDEX(G445:R445,1,MATCH(Parametres!$B$3,G$1:R$1,0))*IF(OR(F445="L",F445="S",F445="I"),-1,1)</f>
        <v>-17216.88</v>
      </c>
      <c r="AO445" s="487" t="str">
        <f>+VLOOKUP($AJ445,Data_Validation!$A:$D,1,0)</f>
        <v>G26101</v>
      </c>
      <c r="AP445" s="487" t="str">
        <f>+VLOOKUP($AJ445,Data_Validation!$A:$D,3,0)</f>
        <v>Bilan</v>
      </c>
      <c r="AQ445" s="487" t="str">
        <f>+VLOOKUP($AJ445,Data_Validation!$A:$D,4,0)</f>
        <v>Recevables Manufacturier</v>
      </c>
      <c r="AR445" s="487" t="s">
        <v>299</v>
      </c>
      <c r="AS445" s="487">
        <f>+VLOOKUP($AJ445,Data_Validation!$A:$E,5,0)</f>
        <v>0</v>
      </c>
      <c r="AT445" s="904" t="str">
        <f t="shared" si="39"/>
        <v>G26101</v>
      </c>
      <c r="AU445" s="488" t="str">
        <f t="shared" si="40"/>
        <v>INSPECTIONS (PDI)</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customHeight="1">
      <c r="A446" s="706" t="s">
        <v>1148</v>
      </c>
      <c r="B446" s="706">
        <v>2026</v>
      </c>
      <c r="C446" s="706" t="s">
        <v>1980</v>
      </c>
      <c r="D446" s="706" t="s">
        <v>1981</v>
      </c>
      <c r="E446" s="706" t="s">
        <v>1139</v>
      </c>
      <c r="F446" s="706" t="s">
        <v>1136</v>
      </c>
      <c r="G446" s="706">
        <v>18960.740000000002</v>
      </c>
      <c r="H446" s="706">
        <v>25362.17</v>
      </c>
      <c r="I446" s="706">
        <v>54403.18</v>
      </c>
      <c r="J446" s="706">
        <v>141724.88</v>
      </c>
      <c r="K446" s="706">
        <v>69583.12</v>
      </c>
      <c r="L446" s="706">
        <v>54266.01</v>
      </c>
      <c r="M446" s="706">
        <v>30335.79</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G26103</v>
      </c>
      <c r="AK446" s="905" t="str">
        <f t="shared" si="37"/>
        <v>PROGRAMMES DIVERS</v>
      </c>
      <c r="AL446" s="905">
        <f>IFERROR(INDEX(G446:R446,1,MATCH(Parametres!$B$3,G$1:R$1,0)-1)*IF(OR(F446="L",F446="S",F446="I"),-1,1),"")</f>
        <v>69583.12</v>
      </c>
      <c r="AM446" s="905">
        <f t="shared" si="38"/>
        <v>-15317.109999999993</v>
      </c>
      <c r="AN446" s="905">
        <f>INDEX(G446:R446,1,MATCH(Parametres!$B$3,G$1:R$1,0))*IF(OR(F446="L",F446="S",F446="I"),-1,1)</f>
        <v>54266.01</v>
      </c>
      <c r="AO446" s="487" t="str">
        <f>+VLOOKUP($AJ446,Data_Validation!$A:$D,1,0)</f>
        <v>G26103</v>
      </c>
      <c r="AP446" s="487" t="str">
        <f>+VLOOKUP($AJ446,Data_Validation!$A:$D,3,0)</f>
        <v>Bilan</v>
      </c>
      <c r="AQ446" s="487" t="str">
        <f>+VLOOKUP($AJ446,Data_Validation!$A:$D,4,0)</f>
        <v>Recevables Manufacturier</v>
      </c>
      <c r="AR446" s="487" t="s">
        <v>299</v>
      </c>
      <c r="AS446" s="487">
        <f>+VLOOKUP($AJ446,Data_Validation!$A:$E,5,0)</f>
        <v>0</v>
      </c>
      <c r="AT446" s="904" t="str">
        <f t="shared" si="39"/>
        <v>G26103</v>
      </c>
      <c r="AU446" s="488" t="str">
        <f t="shared" si="40"/>
        <v>PROGRAMMES DIVERS</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customHeight="1">
      <c r="A447" s="706" t="s">
        <v>1148</v>
      </c>
      <c r="B447" s="706">
        <v>2026</v>
      </c>
      <c r="C447" s="706" t="s">
        <v>1982</v>
      </c>
      <c r="D447" s="706" t="s">
        <v>1983</v>
      </c>
      <c r="E447" s="706" t="s">
        <v>1139</v>
      </c>
      <c r="F447" s="706" t="s">
        <v>1136</v>
      </c>
      <c r="G447" s="706">
        <v>43678.21</v>
      </c>
      <c r="H447" s="706">
        <v>110693.25</v>
      </c>
      <c r="I447" s="706">
        <v>213508.24</v>
      </c>
      <c r="J447" s="706">
        <v>205889.26</v>
      </c>
      <c r="K447" s="706">
        <v>187655.35</v>
      </c>
      <c r="L447" s="706">
        <v>188850.77</v>
      </c>
      <c r="M447" s="706">
        <v>139242.15</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G26104</v>
      </c>
      <c r="AK447" s="905" t="str">
        <f t="shared" si="37"/>
        <v>PROGRAMMES FLOTTES</v>
      </c>
      <c r="AL447" s="905">
        <f>IFERROR(INDEX(G447:R447,1,MATCH(Parametres!$B$3,G$1:R$1,0)-1)*IF(OR(F447="L",F447="S",F447="I"),-1,1),"")</f>
        <v>187655.35</v>
      </c>
      <c r="AM447" s="905">
        <f t="shared" si="38"/>
        <v>1195.4199999999837</v>
      </c>
      <c r="AN447" s="905">
        <f>INDEX(G447:R447,1,MATCH(Parametres!$B$3,G$1:R$1,0))*IF(OR(F447="L",F447="S",F447="I"),-1,1)</f>
        <v>188850.77</v>
      </c>
      <c r="AO447" s="487" t="str">
        <f>+VLOOKUP($AJ447,Data_Validation!$A:$D,1,0)</f>
        <v>G26104</v>
      </c>
      <c r="AP447" s="487" t="str">
        <f>+VLOOKUP($AJ447,Data_Validation!$A:$D,3,0)</f>
        <v>Bilan</v>
      </c>
      <c r="AQ447" s="487" t="str">
        <f>+VLOOKUP($AJ447,Data_Validation!$A:$D,4,0)</f>
        <v>Recevables Manufacturier</v>
      </c>
      <c r="AR447" s="487" t="s">
        <v>299</v>
      </c>
      <c r="AS447" s="487">
        <f>+VLOOKUP($AJ447,Data_Validation!$A:$E,5,0)</f>
        <v>0</v>
      </c>
      <c r="AT447" s="904" t="str">
        <f t="shared" si="39"/>
        <v>G26104</v>
      </c>
      <c r="AU447" s="488" t="str">
        <f t="shared" si="40"/>
        <v>PROGRAMMES FLOTTES</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customHeight="1">
      <c r="A448" s="706" t="s">
        <v>1148</v>
      </c>
      <c r="B448" s="706">
        <v>2026</v>
      </c>
      <c r="C448" s="706" t="s">
        <v>1984</v>
      </c>
      <c r="D448" s="706" t="s">
        <v>1985</v>
      </c>
      <c r="E448" s="706" t="s">
        <v>333</v>
      </c>
      <c r="F448" s="706" t="s">
        <v>1136</v>
      </c>
      <c r="G448" s="706">
        <v>15471.14</v>
      </c>
      <c r="H448" s="706">
        <v>12865.94</v>
      </c>
      <c r="I448" s="706">
        <v>9569.19</v>
      </c>
      <c r="J448" s="706">
        <v>6234.69</v>
      </c>
      <c r="K448" s="706">
        <v>3129.69</v>
      </c>
      <c r="L448" s="706">
        <v>213.69</v>
      </c>
      <c r="M448" s="706">
        <v>-1467.06</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G26155</v>
      </c>
      <c r="AK448" s="905" t="str">
        <f t="shared" si="37"/>
        <v>VIGNETTES AUTO / CAMIONS</v>
      </c>
      <c r="AL448" s="905">
        <f>IFERROR(INDEX(G448:R448,1,MATCH(Parametres!$B$3,G$1:R$1,0)-1)*IF(OR(F448="L",F448="S",F448="I"),-1,1),"")</f>
        <v>3129.69</v>
      </c>
      <c r="AM448" s="905">
        <f t="shared" si="38"/>
        <v>-2916</v>
      </c>
      <c r="AN448" s="905">
        <f>INDEX(G448:R448,1,MATCH(Parametres!$B$3,G$1:R$1,0))*IF(OR(F448="L",F448="S",F448="I"),-1,1)</f>
        <v>213.69</v>
      </c>
      <c r="AO448" s="487" t="str">
        <f>+VLOOKUP($AJ448,Data_Validation!$A:$D,1,0)</f>
        <v>G26155</v>
      </c>
      <c r="AP448" s="487" t="str">
        <f>+VLOOKUP($AJ448,Data_Validation!$A:$D,3,0)</f>
        <v>Bilan</v>
      </c>
      <c r="AQ448" s="487" t="str">
        <f>+VLOOKUP($AJ448,Data_Validation!$A:$D,4,0)</f>
        <v>Frais Payés d'Avance</v>
      </c>
      <c r="AR448" s="487" t="s">
        <v>299</v>
      </c>
      <c r="AS448" s="487">
        <f>+VLOOKUP($AJ448,Data_Validation!$A:$E,5,0)</f>
        <v>0</v>
      </c>
      <c r="AT448" s="904" t="str">
        <f t="shared" si="39"/>
        <v>G26155</v>
      </c>
      <c r="AU448" s="488" t="str">
        <f t="shared" si="40"/>
        <v>VIGNETTES AUTO / CAMIONS</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customHeight="1">
      <c r="A449" s="706" t="s">
        <v>1148</v>
      </c>
      <c r="B449" s="706">
        <v>2026</v>
      </c>
      <c r="C449" s="706" t="s">
        <v>1986</v>
      </c>
      <c r="D449" s="706" t="s">
        <v>1987</v>
      </c>
      <c r="E449" s="706" t="s">
        <v>1135</v>
      </c>
      <c r="F449" s="706" t="s">
        <v>1136</v>
      </c>
      <c r="G449" s="706">
        <v>32.19</v>
      </c>
      <c r="H449" s="706">
        <v>22215.22</v>
      </c>
      <c r="I449" s="706">
        <v>25872.63</v>
      </c>
      <c r="J449" s="706">
        <v>9272.42</v>
      </c>
      <c r="K449" s="706">
        <v>-16776.28</v>
      </c>
      <c r="L449" s="706">
        <v>17695.38</v>
      </c>
      <c r="M449" s="706">
        <v>13023.78</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G26300</v>
      </c>
      <c r="AK449" s="905" t="str">
        <f t="shared" si="37"/>
        <v>RECLAMATION EN GARANTIE</v>
      </c>
      <c r="AL449" s="905">
        <f>IFERROR(INDEX(G449:R449,1,MATCH(Parametres!$B$3,G$1:R$1,0)-1)*IF(OR(F449="L",F449="S",F449="I"),-1,1),"")</f>
        <v>-16776.28</v>
      </c>
      <c r="AM449" s="905">
        <f t="shared" si="38"/>
        <v>34471.660000000003</v>
      </c>
      <c r="AN449" s="905">
        <f>INDEX(G449:R449,1,MATCH(Parametres!$B$3,G$1:R$1,0))*IF(OR(F449="L",F449="S",F449="I"),-1,1)</f>
        <v>17695.38</v>
      </c>
      <c r="AO449" s="487" t="str">
        <f>+VLOOKUP($AJ449,Data_Validation!$A:$D,1,0)</f>
        <v>G26300</v>
      </c>
      <c r="AP449" s="487" t="str">
        <f>+VLOOKUP($AJ449,Data_Validation!$A:$D,3,0)</f>
        <v>Bilan</v>
      </c>
      <c r="AQ449" s="487" t="str">
        <f>+VLOOKUP($AJ449,Data_Validation!$A:$D,4,0)</f>
        <v>Recevables Garantie Manufacturier</v>
      </c>
      <c r="AR449" s="487" t="s">
        <v>299</v>
      </c>
      <c r="AS449" s="487">
        <f>+VLOOKUP($AJ449,Data_Validation!$A:$E,5,0)</f>
        <v>0</v>
      </c>
      <c r="AT449" s="904" t="str">
        <f t="shared" si="39"/>
        <v>G26300</v>
      </c>
      <c r="AU449" s="488" t="str">
        <f t="shared" si="40"/>
        <v>RECLAMATION EN GARANTIE</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customHeight="1">
      <c r="A450" s="706" t="s">
        <v>1148</v>
      </c>
      <c r="B450" s="706">
        <v>2026</v>
      </c>
      <c r="C450" s="706" t="s">
        <v>1988</v>
      </c>
      <c r="D450" s="706" t="s">
        <v>1989</v>
      </c>
      <c r="E450" s="706" t="s">
        <v>1135</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G26302</v>
      </c>
      <c r="AK450" s="905" t="str">
        <f t="shared" si="37"/>
        <v>RECLAMATIONS P.P.C.</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G26302</v>
      </c>
      <c r="AU450" s="488" t="str">
        <f t="shared" si="40"/>
        <v>RECLAMATIONS P.P.C.</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customHeight="1">
      <c r="A451" s="706" t="s">
        <v>1148</v>
      </c>
      <c r="B451" s="706">
        <v>2026</v>
      </c>
      <c r="C451" s="706" t="s">
        <v>1990</v>
      </c>
      <c r="D451" s="706" t="s">
        <v>1991</v>
      </c>
      <c r="E451" s="706" t="s">
        <v>1135</v>
      </c>
      <c r="F451" s="706" t="s">
        <v>1136</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G26303</v>
      </c>
      <c r="AK451" s="905" t="str">
        <f t="shared" si="37"/>
        <v>DEDUCTIBLE CLAIMS</v>
      </c>
      <c r="AL451" s="905">
        <f>IFERROR(INDEX(G451:R451,1,MATCH(Parametres!$B$3,G$1:R$1,0)-1)*IF(OR(F451="L",F451="S",F451="I"),-1,1),"")</f>
        <v>0</v>
      </c>
      <c r="AM451" s="905">
        <f t="shared" si="38"/>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t="str">
        <f t="shared" si="39"/>
        <v>G26303</v>
      </c>
      <c r="AU451" s="488" t="str">
        <f t="shared" si="40"/>
        <v>DEDUCTIBLE CLAIMS</v>
      </c>
      <c r="AV451" s="899">
        <f>IFERROR(INDEX(V451:AG451,1,MATCH(Parametres!$B$3,V$1:AG$1,0)-1)*IF(OR(C451="L",C451="S",C451="I"),-1,1),"")</f>
        <v>0</v>
      </c>
      <c r="AW451" s="899">
        <f t="shared" si="41"/>
        <v>0</v>
      </c>
      <c r="AX451" s="899">
        <f>INDEX(V451:AG451,1,MATCH(Parametres!$B$3,V$1:AG$1,0))*IF(OR(C451="L",C451="S",C451="I"),-1,1)</f>
        <v>0</v>
      </c>
      <c r="AY451" s="487" t="s">
        <v>337</v>
      </c>
      <c r="AZ451" s="487" t="e">
        <f>+VLOOKUP($AJ451,Data_Validation!$A:$E,5,0)</f>
        <v>#N/A</v>
      </c>
    </row>
    <row r="452" spans="1:52" ht="15.75" customHeight="1">
      <c r="A452" s="706" t="s">
        <v>1148</v>
      </c>
      <c r="B452" s="706">
        <v>2026</v>
      </c>
      <c r="C452" s="706" t="s">
        <v>1992</v>
      </c>
      <c r="D452" s="706" t="s">
        <v>1993</v>
      </c>
      <c r="E452" s="706" t="s">
        <v>1135</v>
      </c>
      <c r="F452" s="706" t="s">
        <v>1136</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G26310</v>
      </c>
      <c r="AK452" s="905" t="str">
        <f t="shared" ref="AK452:AK466" si="43">D452</f>
        <v>TRANSPORT-TELECON</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G26310</v>
      </c>
      <c r="AU452" s="488" t="str">
        <f t="shared" ref="AU452:AU515" si="46">D452</f>
        <v>TRANSPORT-TELECON</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customHeight="1">
      <c r="A453" s="706" t="s">
        <v>1148</v>
      </c>
      <c r="B453" s="706">
        <v>2026</v>
      </c>
      <c r="C453" s="706" t="s">
        <v>1994</v>
      </c>
      <c r="D453" s="706" t="s">
        <v>1995</v>
      </c>
      <c r="E453" s="706" t="s">
        <v>333</v>
      </c>
      <c r="F453" s="706" t="s">
        <v>1136</v>
      </c>
      <c r="G453" s="706">
        <v>2387030.44</v>
      </c>
      <c r="H453" s="706">
        <v>2383593.9700000002</v>
      </c>
      <c r="I453" s="706">
        <v>621662.51</v>
      </c>
      <c r="J453" s="706">
        <v>1147588.6599999999</v>
      </c>
      <c r="K453" s="706">
        <v>1872312.81</v>
      </c>
      <c r="L453" s="706">
        <v>856501.22</v>
      </c>
      <c r="M453" s="706">
        <v>856501.22</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G26500</v>
      </c>
      <c r="AK453" s="905" t="str">
        <f t="shared" si="43"/>
        <v>TPS TVH TVQ À RECEVOIR</v>
      </c>
      <c r="AL453" s="905">
        <f>IFERROR(INDEX(G453:R453,1,MATCH(Parametres!$B$3,G$1:R$1,0)-1)*IF(OR(F453="L",F453="S",F453="I"),-1,1),"")</f>
        <v>1872312.81</v>
      </c>
      <c r="AM453" s="905">
        <f t="shared" si="44"/>
        <v>-1015811.5900000001</v>
      </c>
      <c r="AN453" s="905">
        <f>INDEX(G453:R453,1,MATCH(Parametres!$B$3,G$1:R$1,0))*IF(OR(F453="L",F453="S",F453="I"),-1,1)</f>
        <v>856501.22</v>
      </c>
      <c r="AO453" s="487" t="str">
        <f>+VLOOKUP($AJ453,Data_Validation!$A:$D,1,0)</f>
        <v>G26500</v>
      </c>
      <c r="AP453" s="487" t="str">
        <f>+VLOOKUP($AJ453,Data_Validation!$A:$D,3,0)</f>
        <v>Bilan</v>
      </c>
      <c r="AQ453" s="487" t="str">
        <f>+VLOOKUP($AJ453,Data_Validation!$A:$D,4,0)</f>
        <v>Recevables Autres</v>
      </c>
      <c r="AR453" s="487" t="s">
        <v>299</v>
      </c>
      <c r="AS453" s="487">
        <f>+VLOOKUP($AJ453,Data_Validation!$A:$E,5,0)</f>
        <v>0</v>
      </c>
      <c r="AT453" s="904" t="str">
        <f t="shared" si="45"/>
        <v>G26500</v>
      </c>
      <c r="AU453" s="488" t="str">
        <f t="shared" si="46"/>
        <v>TPS TVH TVQ À RECEVOIR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customHeight="1">
      <c r="A454" s="706" t="s">
        <v>1148</v>
      </c>
      <c r="B454" s="706">
        <v>2026</v>
      </c>
      <c r="C454" s="706" t="s">
        <v>1996</v>
      </c>
      <c r="D454" s="706" t="s">
        <v>1997</v>
      </c>
      <c r="E454" s="706" t="s">
        <v>333</v>
      </c>
      <c r="F454" s="706" t="s">
        <v>1136</v>
      </c>
      <c r="G454" s="706">
        <v>-12300</v>
      </c>
      <c r="H454" s="706">
        <v>68962.92</v>
      </c>
      <c r="I454" s="706">
        <v>61612.92</v>
      </c>
      <c r="J454" s="706">
        <v>-15909.27</v>
      </c>
      <c r="K454" s="706">
        <v>-23259.27</v>
      </c>
      <c r="L454" s="706">
        <v>-7218.54</v>
      </c>
      <c r="M454" s="706">
        <v>-14568.54</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G27000</v>
      </c>
      <c r="AK454" s="905" t="str">
        <f t="shared" si="43"/>
        <v>TAXES PAYEES D'AVANCE</v>
      </c>
      <c r="AL454" s="905">
        <f>IFERROR(INDEX(G454:R454,1,MATCH(Parametres!$B$3,G$1:R$1,0)-1)*IF(OR(F454="L",F454="S",F454="I"),-1,1),"")</f>
        <v>-23259.27</v>
      </c>
      <c r="AM454" s="905">
        <f t="shared" si="44"/>
        <v>16040.73</v>
      </c>
      <c r="AN454" s="905">
        <f>INDEX(G454:R454,1,MATCH(Parametres!$B$3,G$1:R$1,0))*IF(OR(F454="L",F454="S",F454="I"),-1,1)</f>
        <v>-7218.54</v>
      </c>
      <c r="AO454" s="487" t="str">
        <f>+VLOOKUP($AJ454,Data_Validation!$A:$D,1,0)</f>
        <v>G27000</v>
      </c>
      <c r="AP454" s="487" t="str">
        <f>+VLOOKUP($AJ454,Data_Validation!$A:$D,3,0)</f>
        <v>Bilan</v>
      </c>
      <c r="AQ454" s="487" t="str">
        <f>+VLOOKUP($AJ454,Data_Validation!$A:$D,4,0)</f>
        <v>Frais Payés d'Avance</v>
      </c>
      <c r="AR454" s="487" t="s">
        <v>299</v>
      </c>
      <c r="AS454" s="487">
        <f>+VLOOKUP($AJ454,Data_Validation!$A:$E,5,0)</f>
        <v>0</v>
      </c>
      <c r="AT454" s="904" t="str">
        <f t="shared" si="45"/>
        <v>G27000</v>
      </c>
      <c r="AU454" s="488" t="str">
        <f t="shared" si="46"/>
        <v>TAXES PAYEES D'AVANCE</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customHeight="1">
      <c r="A455" s="706" t="s">
        <v>1148</v>
      </c>
      <c r="B455" s="706">
        <v>2026</v>
      </c>
      <c r="C455" s="706" t="s">
        <v>1998</v>
      </c>
      <c r="D455" s="706" t="s">
        <v>1999</v>
      </c>
      <c r="E455" s="706" t="s">
        <v>333</v>
      </c>
      <c r="F455" s="706" t="s">
        <v>1136</v>
      </c>
      <c r="G455" s="706">
        <v>0</v>
      </c>
      <c r="H455" s="706">
        <v>0</v>
      </c>
      <c r="I455" s="706">
        <v>0</v>
      </c>
      <c r="J455" s="706">
        <v>-4727.6099999999997</v>
      </c>
      <c r="K455" s="706">
        <v>33093.25</v>
      </c>
      <c r="L455" s="706">
        <v>28365.64</v>
      </c>
      <c r="M455" s="706">
        <v>23638.03</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G27010</v>
      </c>
      <c r="AK455" s="905" t="str">
        <f t="shared" si="43"/>
        <v>FPA TAXES TERRAIN</v>
      </c>
      <c r="AL455" s="905">
        <f>IFERROR(INDEX(G455:R455,1,MATCH(Parametres!$B$3,G$1:R$1,0)-1)*IF(OR(F455="L",F455="S",F455="I"),-1,1),"")</f>
        <v>33093.25</v>
      </c>
      <c r="AM455" s="905">
        <f t="shared" si="44"/>
        <v>-4727.6100000000006</v>
      </c>
      <c r="AN455" s="905">
        <f>INDEX(G455:R455,1,MATCH(Parametres!$B$3,G$1:R$1,0))*IF(OR(F455="L",F455="S",F455="I"),-1,1)</f>
        <v>28365.64</v>
      </c>
      <c r="AO455" s="487" t="str">
        <f>+VLOOKUP($AJ455,Data_Validation!$A:$D,1,0)</f>
        <v>G27010</v>
      </c>
      <c r="AP455" s="487" t="str">
        <f>+VLOOKUP($AJ455,Data_Validation!$A:$D,3,0)</f>
        <v>Bilan</v>
      </c>
      <c r="AQ455" s="487" t="str">
        <f>+VLOOKUP($AJ455,Data_Validation!$A:$D,4,0)</f>
        <v>Frais Payés d'Avance</v>
      </c>
      <c r="AR455" s="487" t="s">
        <v>299</v>
      </c>
      <c r="AS455" s="487">
        <f>+VLOOKUP($AJ455,Data_Validation!$A:$E,5,0)</f>
        <v>0</v>
      </c>
      <c r="AT455" s="904" t="str">
        <f t="shared" si="45"/>
        <v>G27010</v>
      </c>
      <c r="AU455" s="488" t="str">
        <f t="shared" si="46"/>
        <v>FPA TAXES TERRAIN</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customHeight="1">
      <c r="A456" s="706" t="s">
        <v>1148</v>
      </c>
      <c r="B456" s="706">
        <v>2026</v>
      </c>
      <c r="C456" s="706" t="s">
        <v>2000</v>
      </c>
      <c r="D456" s="706" t="s">
        <v>2001</v>
      </c>
      <c r="E456" s="706" t="s">
        <v>333</v>
      </c>
      <c r="F456" s="706" t="s">
        <v>1136</v>
      </c>
      <c r="G456" s="706">
        <v>73932.25</v>
      </c>
      <c r="H456" s="706">
        <v>67211.13</v>
      </c>
      <c r="I456" s="706">
        <v>60490.01</v>
      </c>
      <c r="J456" s="706">
        <v>53768.89</v>
      </c>
      <c r="K456" s="706">
        <v>47047.77</v>
      </c>
      <c r="L456" s="706">
        <v>40326.65</v>
      </c>
      <c r="M456" s="706">
        <v>33605.53</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G27100</v>
      </c>
      <c r="AK456" s="905" t="str">
        <f t="shared" si="43"/>
        <v>ASSURANCES PAYEES AVANCE</v>
      </c>
      <c r="AL456" s="905">
        <f>IFERROR(INDEX(G456:R456,1,MATCH(Parametres!$B$3,G$1:R$1,0)-1)*IF(OR(F456="L",F456="S",F456="I"),-1,1),"")</f>
        <v>47047.77</v>
      </c>
      <c r="AM456" s="905">
        <f t="shared" si="44"/>
        <v>-6721.1199999999953</v>
      </c>
      <c r="AN456" s="905">
        <f>INDEX(G456:R456,1,MATCH(Parametres!$B$3,G$1:R$1,0))*IF(OR(F456="L",F456="S",F456="I"),-1,1)</f>
        <v>40326.65</v>
      </c>
      <c r="AO456" s="487" t="str">
        <f>+VLOOKUP($AJ456,Data_Validation!$A:$D,1,0)</f>
        <v>G27100</v>
      </c>
      <c r="AP456" s="487" t="str">
        <f>+VLOOKUP($AJ456,Data_Validation!$A:$D,3,0)</f>
        <v>Bilan</v>
      </c>
      <c r="AQ456" s="487" t="str">
        <f>+VLOOKUP($AJ456,Data_Validation!$A:$D,4,0)</f>
        <v>Frais Payés d'Avance</v>
      </c>
      <c r="AR456" s="487" t="s">
        <v>299</v>
      </c>
      <c r="AS456" s="487">
        <f>+VLOOKUP($AJ456,Data_Validation!$A:$E,5,0)</f>
        <v>0</v>
      </c>
      <c r="AT456" s="904" t="str">
        <f t="shared" si="45"/>
        <v>G27100</v>
      </c>
      <c r="AU456" s="488" t="str">
        <f t="shared" si="46"/>
        <v>ASSURANCES PAYEES AVANCE</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customHeight="1">
      <c r="A457" s="706" t="s">
        <v>1148</v>
      </c>
      <c r="B457" s="706">
        <v>2026</v>
      </c>
      <c r="C457" s="706" t="s">
        <v>2002</v>
      </c>
      <c r="D457" s="706" t="s">
        <v>2003</v>
      </c>
      <c r="E457" s="706" t="s">
        <v>333</v>
      </c>
      <c r="F457" s="706" t="s">
        <v>1136</v>
      </c>
      <c r="G457" s="706">
        <v>412825.86</v>
      </c>
      <c r="H457" s="706">
        <v>435676.05</v>
      </c>
      <c r="I457" s="706">
        <v>411403.29</v>
      </c>
      <c r="J457" s="706">
        <v>324485.84999999998</v>
      </c>
      <c r="K457" s="706">
        <v>301673.56</v>
      </c>
      <c r="L457" s="706">
        <v>299000.81</v>
      </c>
      <c r="M457" s="706">
        <v>266354.32</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G27400</v>
      </c>
      <c r="AK457" s="905" t="str">
        <f t="shared" si="43"/>
        <v>FRAIS PAYES AVANCE AUTRES</v>
      </c>
      <c r="AL457" s="905">
        <f>IFERROR(INDEX(G457:R457,1,MATCH(Parametres!$B$3,G$1:R$1,0)-1)*IF(OR(F457="L",F457="S",F457="I"),-1,1),"")</f>
        <v>301673.56</v>
      </c>
      <c r="AM457" s="905">
        <f t="shared" si="44"/>
        <v>-2672.75</v>
      </c>
      <c r="AN457" s="905">
        <f>INDEX(G457:R457,1,MATCH(Parametres!$B$3,G$1:R$1,0))*IF(OR(F457="L",F457="S",F457="I"),-1,1)</f>
        <v>299000.81</v>
      </c>
      <c r="AO457" s="487" t="str">
        <f>+VLOOKUP($AJ457,Data_Validation!$A:$D,1,0)</f>
        <v>G27400</v>
      </c>
      <c r="AP457" s="487" t="str">
        <f>+VLOOKUP($AJ457,Data_Validation!$A:$D,3,0)</f>
        <v>Bilan</v>
      </c>
      <c r="AQ457" s="487" t="str">
        <f>+VLOOKUP($AJ457,Data_Validation!$A:$D,4,0)</f>
        <v>Frais Payés d'Avance</v>
      </c>
      <c r="AR457" s="487" t="s">
        <v>299</v>
      </c>
      <c r="AS457" s="487">
        <f>+VLOOKUP($AJ457,Data_Validation!$A:$E,5,0)</f>
        <v>0</v>
      </c>
      <c r="AT457" s="904" t="str">
        <f t="shared" si="45"/>
        <v>G27400</v>
      </c>
      <c r="AU457" s="488" t="str">
        <f t="shared" si="46"/>
        <v>FRAIS PAYES AVANCE AUTRES</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customHeight="1">
      <c r="A458" s="706" t="s">
        <v>1148</v>
      </c>
      <c r="B458" s="706">
        <v>2026</v>
      </c>
      <c r="C458" s="706" t="s">
        <v>2004</v>
      </c>
      <c r="D458" s="706" t="s">
        <v>2005</v>
      </c>
      <c r="E458" s="706" t="s">
        <v>1142</v>
      </c>
      <c r="F458" s="706" t="s">
        <v>1136</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G27401</v>
      </c>
      <c r="AK458" s="905" t="str">
        <f t="shared" si="43"/>
        <v>DEPOT PAYÉ D'AVANCE</v>
      </c>
      <c r="AL458" s="905">
        <f>IFERROR(INDEX(G458:R458,1,MATCH(Parametres!$B$3,G$1:R$1,0)-1)*IF(OR(F458="L",F458="S",F458="I"),-1,1),"")</f>
        <v>0</v>
      </c>
      <c r="AM458" s="905">
        <f t="shared" si="44"/>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t="str">
        <f t="shared" si="45"/>
        <v>G27401</v>
      </c>
      <c r="AU458" s="488" t="str">
        <f t="shared" si="46"/>
        <v>DEPOT PAYÉ D'AVANCE</v>
      </c>
      <c r="AV458" s="899">
        <f>IFERROR(INDEX(V458:AG458,1,MATCH(Parametres!$B$3,V$1:AG$1,0)-1)*IF(OR(C458="L",C458="S",C458="I"),-1,1),"")</f>
        <v>0</v>
      </c>
      <c r="AW458" s="899">
        <f t="shared" si="47"/>
        <v>0</v>
      </c>
      <c r="AX458" s="899">
        <f>INDEX(V458:AG458,1,MATCH(Parametres!$B$3,V$1:AG$1,0))*IF(OR(C458="L",C458="S",C458="I"),-1,1)</f>
        <v>0</v>
      </c>
      <c r="AY458" s="487" t="s">
        <v>337</v>
      </c>
      <c r="AZ458" s="487" t="e">
        <f>+VLOOKUP($AJ458,Data_Validation!$A:$E,5,0)</f>
        <v>#N/A</v>
      </c>
    </row>
    <row r="459" spans="1:52" ht="15" customHeight="1">
      <c r="A459" s="706" t="s">
        <v>1148</v>
      </c>
      <c r="B459" s="706">
        <v>2026</v>
      </c>
      <c r="C459" s="706" t="s">
        <v>2006</v>
      </c>
      <c r="D459" s="706" t="s">
        <v>2007</v>
      </c>
      <c r="E459" s="706" t="s">
        <v>333</v>
      </c>
      <c r="F459" s="706" t="s">
        <v>1136</v>
      </c>
      <c r="G459" s="706">
        <v>0</v>
      </c>
      <c r="H459" s="706">
        <v>0</v>
      </c>
      <c r="I459" s="706">
        <v>0</v>
      </c>
      <c r="J459" s="706">
        <v>0</v>
      </c>
      <c r="K459" s="706">
        <v>-2657.94</v>
      </c>
      <c r="L459" s="706">
        <v>-2854.19</v>
      </c>
      <c r="M459" s="706">
        <v>-2854.19</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G27410</v>
      </c>
      <c r="AK459" s="905" t="str">
        <f t="shared" si="43"/>
        <v>HYDRO-QUEBEC</v>
      </c>
      <c r="AL459" s="905">
        <f>IFERROR(INDEX(G459:R459,1,MATCH(Parametres!$B$3,G$1:R$1,0)-1)*IF(OR(F459="L",F459="S",F459="I"),-1,1),"")</f>
        <v>-2657.94</v>
      </c>
      <c r="AM459" s="905">
        <f t="shared" si="44"/>
        <v>-196.25</v>
      </c>
      <c r="AN459" s="905">
        <f>INDEX(G459:R459,1,MATCH(Parametres!$B$3,G$1:R$1,0))*IF(OR(F459="L",F459="S",F459="I"),-1,1)</f>
        <v>-2854.19</v>
      </c>
      <c r="AO459" s="487" t="str">
        <f>+VLOOKUP($AJ459,Data_Validation!$A:$D,1,0)</f>
        <v>G27410</v>
      </c>
      <c r="AP459" s="487" t="str">
        <f>+VLOOKUP($AJ459,Data_Validation!$A:$D,3,0)</f>
        <v>Bilan</v>
      </c>
      <c r="AQ459" s="487" t="str">
        <f>+VLOOKUP($AJ459,Data_Validation!$A:$D,4,0)</f>
        <v>Frais Payés d'Avance</v>
      </c>
      <c r="AR459" s="487" t="s">
        <v>299</v>
      </c>
      <c r="AS459" s="487">
        <f>+VLOOKUP($AJ459,Data_Validation!$A:$E,5,0)</f>
        <v>0</v>
      </c>
      <c r="AT459" s="904" t="str">
        <f t="shared" si="45"/>
        <v>G27410</v>
      </c>
      <c r="AU459" s="488" t="str">
        <f t="shared" si="46"/>
        <v>HYDRO-QUEBEC</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customHeight="1">
      <c r="A460" s="706" t="s">
        <v>1148</v>
      </c>
      <c r="B460" s="706">
        <v>2026</v>
      </c>
      <c r="C460" s="706" t="s">
        <v>2008</v>
      </c>
      <c r="D460" s="706" t="s">
        <v>2009</v>
      </c>
      <c r="E460" s="706" t="s">
        <v>333</v>
      </c>
      <c r="F460" s="706" t="s">
        <v>1136</v>
      </c>
      <c r="G460" s="706">
        <v>0</v>
      </c>
      <c r="H460" s="706">
        <v>0</v>
      </c>
      <c r="I460" s="706">
        <v>0</v>
      </c>
      <c r="J460" s="706">
        <v>0</v>
      </c>
      <c r="K460" s="706">
        <v>14369.24</v>
      </c>
      <c r="L460" s="706">
        <v>10282.67</v>
      </c>
      <c r="M460" s="706">
        <v>10282.67</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G27411</v>
      </c>
      <c r="AK460" s="905" t="str">
        <f t="shared" si="43"/>
        <v>ENERGIR</v>
      </c>
      <c r="AL460" s="905">
        <f>IFERROR(INDEX(G460:R460,1,MATCH(Parametres!$B$3,G$1:R$1,0)-1)*IF(OR(F460="L",F460="S",F460="I"),-1,1),"")</f>
        <v>14369.24</v>
      </c>
      <c r="AM460" s="905">
        <f t="shared" si="44"/>
        <v>-4086.5699999999997</v>
      </c>
      <c r="AN460" s="905">
        <f>INDEX(G460:R460,1,MATCH(Parametres!$B$3,G$1:R$1,0))*IF(OR(F460="L",F460="S",F460="I"),-1,1)</f>
        <v>10282.67</v>
      </c>
      <c r="AO460" s="487" t="str">
        <f>+VLOOKUP($AJ460,Data_Validation!$A:$D,1,0)</f>
        <v>G27411</v>
      </c>
      <c r="AP460" s="487" t="str">
        <f>+VLOOKUP($AJ460,Data_Validation!$A:$D,3,0)</f>
        <v>Bilan</v>
      </c>
      <c r="AQ460" s="487" t="str">
        <f>+VLOOKUP($AJ460,Data_Validation!$A:$D,4,0)</f>
        <v>Frais Payés d'Avance</v>
      </c>
      <c r="AR460" s="487" t="s">
        <v>299</v>
      </c>
      <c r="AS460" s="487">
        <f>+VLOOKUP($AJ460,Data_Validation!$A:$E,5,0)</f>
        <v>0</v>
      </c>
      <c r="AT460" s="904" t="str">
        <f t="shared" si="45"/>
        <v>G27411</v>
      </c>
      <c r="AU460" s="488" t="str">
        <f t="shared" si="46"/>
        <v>ENERGIR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customHeight="1">
      <c r="A461" s="706" t="s">
        <v>1148</v>
      </c>
      <c r="B461" s="706">
        <v>2026</v>
      </c>
      <c r="C461" s="706" t="s">
        <v>2010</v>
      </c>
      <c r="D461" s="706" t="s">
        <v>2011</v>
      </c>
      <c r="E461" s="706" t="s">
        <v>333</v>
      </c>
      <c r="F461" s="706" t="s">
        <v>1136</v>
      </c>
      <c r="G461" s="706">
        <v>0</v>
      </c>
      <c r="H461" s="706">
        <v>0</v>
      </c>
      <c r="I461" s="706">
        <v>0</v>
      </c>
      <c r="J461" s="706">
        <v>0</v>
      </c>
      <c r="K461" s="706">
        <v>1515.5</v>
      </c>
      <c r="L461" s="706">
        <v>1299</v>
      </c>
      <c r="M461" s="706">
        <v>1299</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G27420</v>
      </c>
      <c r="AK461" s="905" t="str">
        <f t="shared" si="43"/>
        <v>COTISATION CCAQ</v>
      </c>
      <c r="AL461" s="905">
        <f>IFERROR(INDEX(G461:R461,1,MATCH(Parametres!$B$3,G$1:R$1,0)-1)*IF(OR(F461="L",F461="S",F461="I"),-1,1),"")</f>
        <v>1515.5</v>
      </c>
      <c r="AM461" s="905">
        <f t="shared" si="44"/>
        <v>-216.5</v>
      </c>
      <c r="AN461" s="905">
        <f>INDEX(G461:R461,1,MATCH(Parametres!$B$3,G$1:R$1,0))*IF(OR(F461="L",F461="S",F461="I"),-1,1)</f>
        <v>1299</v>
      </c>
      <c r="AO461" s="487" t="str">
        <f>+VLOOKUP($AJ461,Data_Validation!$A:$D,1,0)</f>
        <v>G27420</v>
      </c>
      <c r="AP461" s="487" t="str">
        <f>+VLOOKUP($AJ461,Data_Validation!$A:$D,3,0)</f>
        <v>Bilan</v>
      </c>
      <c r="AQ461" s="487" t="str">
        <f>+VLOOKUP($AJ461,Data_Validation!$A:$D,4,0)</f>
        <v>Frais Payés d'Avance</v>
      </c>
      <c r="AR461" s="487" t="s">
        <v>299</v>
      </c>
      <c r="AS461" s="487">
        <f>+VLOOKUP($AJ461,Data_Validation!$A:$E,5,0)</f>
        <v>0</v>
      </c>
      <c r="AT461" s="904" t="str">
        <f t="shared" si="45"/>
        <v>G27420</v>
      </c>
      <c r="AU461" s="488" t="str">
        <f t="shared" si="46"/>
        <v>COTISATION CCAQ</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customHeight="1">
      <c r="A462" s="706" t="s">
        <v>1148</v>
      </c>
      <c r="B462" s="706">
        <v>2026</v>
      </c>
      <c r="C462" s="706" t="s">
        <v>2012</v>
      </c>
      <c r="D462" s="706" t="s">
        <v>2013</v>
      </c>
      <c r="E462" s="706" t="s">
        <v>333</v>
      </c>
      <c r="F462" s="706" t="s">
        <v>1136</v>
      </c>
      <c r="G462" s="706">
        <v>0</v>
      </c>
      <c r="H462" s="706">
        <v>0</v>
      </c>
      <c r="I462" s="706">
        <v>0</v>
      </c>
      <c r="J462" s="706">
        <v>0</v>
      </c>
      <c r="K462" s="706">
        <v>1590.4</v>
      </c>
      <c r="L462" s="706">
        <v>1363.2</v>
      </c>
      <c r="M462" s="706">
        <v>1363.2</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G27421</v>
      </c>
      <c r="AK462" s="905" t="str">
        <f t="shared" si="43"/>
        <v>COTISATION CARRXPERT</v>
      </c>
      <c r="AL462" s="905">
        <f>IFERROR(INDEX(G462:R462,1,MATCH(Parametres!$B$3,G$1:R$1,0)-1)*IF(OR(F462="L",F462="S",F462="I"),-1,1),"")</f>
        <v>1590.4</v>
      </c>
      <c r="AM462" s="905">
        <f t="shared" si="44"/>
        <v>-227.20000000000005</v>
      </c>
      <c r="AN462" s="905">
        <f>INDEX(G462:R462,1,MATCH(Parametres!$B$3,G$1:R$1,0))*IF(OR(F462="L",F462="S",F462="I"),-1,1)</f>
        <v>1363.2</v>
      </c>
      <c r="AO462" s="487" t="str">
        <f>+VLOOKUP($AJ462,Data_Validation!$A:$D,1,0)</f>
        <v>G27421</v>
      </c>
      <c r="AP462" s="487" t="str">
        <f>+VLOOKUP($AJ462,Data_Validation!$A:$D,3,0)</f>
        <v>Bilan</v>
      </c>
      <c r="AQ462" s="487" t="str">
        <f>+VLOOKUP($AJ462,Data_Validation!$A:$D,4,0)</f>
        <v>Frais Payés d'Avance</v>
      </c>
      <c r="AR462" s="487" t="s">
        <v>299</v>
      </c>
      <c r="AS462" s="487">
        <f>+VLOOKUP($AJ462,Data_Validation!$A:$E,5,0)</f>
        <v>0</v>
      </c>
      <c r="AT462" s="904" t="str">
        <f t="shared" si="45"/>
        <v>G27421</v>
      </c>
      <c r="AU462" s="488" t="str">
        <f t="shared" si="46"/>
        <v>COTISATION CARRXPERT</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customHeight="1">
      <c r="A463" s="706" t="s">
        <v>1148</v>
      </c>
      <c r="B463" s="706">
        <v>2026</v>
      </c>
      <c r="C463" s="706" t="s">
        <v>2014</v>
      </c>
      <c r="D463" s="706" t="s">
        <v>2015</v>
      </c>
      <c r="E463" s="706" t="s">
        <v>333</v>
      </c>
      <c r="F463" s="706" t="s">
        <v>1136</v>
      </c>
      <c r="G463" s="706">
        <v>0</v>
      </c>
      <c r="H463" s="706">
        <v>0</v>
      </c>
      <c r="I463" s="706">
        <v>0</v>
      </c>
      <c r="J463" s="706">
        <v>0</v>
      </c>
      <c r="K463" s="706">
        <v>-49627.99</v>
      </c>
      <c r="L463" s="706">
        <v>-60176.6</v>
      </c>
      <c r="M463" s="706">
        <v>-54480.800000000003</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G27430</v>
      </c>
      <c r="AK463" s="905" t="str">
        <f t="shared" si="43"/>
        <v>PLAQUE PAYE D'AVANCE</v>
      </c>
      <c r="AL463" s="905">
        <f>IFERROR(INDEX(G463:R463,1,MATCH(Parametres!$B$3,G$1:R$1,0)-1)*IF(OR(F463="L",F463="S",F463="I"),-1,1),"")</f>
        <v>-49627.99</v>
      </c>
      <c r="AM463" s="905">
        <f t="shared" si="44"/>
        <v>-10548.61</v>
      </c>
      <c r="AN463" s="905">
        <f>INDEX(G463:R463,1,MATCH(Parametres!$B$3,G$1:R$1,0))*IF(OR(F463="L",F463="S",F463="I"),-1,1)</f>
        <v>-60176.6</v>
      </c>
      <c r="AO463" s="487" t="str">
        <f>+VLOOKUP($AJ463,Data_Validation!$A:$D,1,0)</f>
        <v>G27430</v>
      </c>
      <c r="AP463" s="487" t="str">
        <f>+VLOOKUP($AJ463,Data_Validation!$A:$D,3,0)</f>
        <v>Bilan</v>
      </c>
      <c r="AQ463" s="487" t="str">
        <f>+VLOOKUP($AJ463,Data_Validation!$A:$D,4,0)</f>
        <v>Frais Payés d'Avance</v>
      </c>
      <c r="AR463" s="487" t="s">
        <v>299</v>
      </c>
      <c r="AS463" s="487">
        <f>+VLOOKUP($AJ463,Data_Validation!$A:$E,5,0)</f>
        <v>0</v>
      </c>
      <c r="AT463" s="904" t="str">
        <f t="shared" si="45"/>
        <v>G27430</v>
      </c>
      <c r="AU463" s="488" t="str">
        <f t="shared" si="46"/>
        <v>PLAQUE PAYE D'AVANCE</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customHeight="1">
      <c r="A464" s="706" t="s">
        <v>1148</v>
      </c>
      <c r="B464" s="706">
        <v>2026</v>
      </c>
      <c r="C464" s="706" t="s">
        <v>2016</v>
      </c>
      <c r="D464" s="706" t="s">
        <v>2017</v>
      </c>
      <c r="E464" s="706" t="s">
        <v>333</v>
      </c>
      <c r="F464" s="706" t="s">
        <v>1136</v>
      </c>
      <c r="G464" s="706">
        <v>0</v>
      </c>
      <c r="H464" s="706">
        <v>0</v>
      </c>
      <c r="I464" s="706">
        <v>0</v>
      </c>
      <c r="J464" s="706">
        <v>0</v>
      </c>
      <c r="K464" s="706">
        <v>5445</v>
      </c>
      <c r="L464" s="706">
        <v>3645</v>
      </c>
      <c r="M464" s="706">
        <v>3645</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G27440</v>
      </c>
      <c r="AK464" s="905" t="str">
        <f t="shared" si="43"/>
        <v>DENEIGEMENT PAYE D'AVANCE</v>
      </c>
      <c r="AL464" s="905">
        <f>IFERROR(INDEX(G464:R464,1,MATCH(Parametres!$B$3,G$1:R$1,0)-1)*IF(OR(F464="L",F464="S",F464="I"),-1,1),"")</f>
        <v>5445</v>
      </c>
      <c r="AM464" s="905">
        <f t="shared" si="44"/>
        <v>-1800</v>
      </c>
      <c r="AN464" s="905">
        <f>INDEX(G464:R464,1,MATCH(Parametres!$B$3,G$1:R$1,0))*IF(OR(F464="L",F464="S",F464="I"),-1,1)</f>
        <v>3645</v>
      </c>
      <c r="AO464" s="487" t="str">
        <f>+VLOOKUP($AJ464,Data_Validation!$A:$D,1,0)</f>
        <v>G27440</v>
      </c>
      <c r="AP464" s="487" t="str">
        <f>+VLOOKUP($AJ464,Data_Validation!$A:$D,3,0)</f>
        <v>Bilan</v>
      </c>
      <c r="AQ464" s="487" t="str">
        <f>+VLOOKUP($AJ464,Data_Validation!$A:$D,4,0)</f>
        <v>Frais Payés d'Avance</v>
      </c>
      <c r="AR464" s="487" t="s">
        <v>299</v>
      </c>
      <c r="AS464" s="487">
        <f>+VLOOKUP($AJ464,Data_Validation!$A:$E,5,0)</f>
        <v>0</v>
      </c>
      <c r="AT464" s="904" t="str">
        <f t="shared" si="45"/>
        <v>G27440</v>
      </c>
      <c r="AU464" s="488" t="str">
        <f t="shared" si="46"/>
        <v>DENEIGEMENT PAYE D'AVANCE</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customHeight="1">
      <c r="A465" s="706" t="s">
        <v>1148</v>
      </c>
      <c r="B465" s="706">
        <v>2026</v>
      </c>
      <c r="C465" s="706" t="s">
        <v>2018</v>
      </c>
      <c r="D465" s="706" t="s">
        <v>2019</v>
      </c>
      <c r="E465" s="706" t="s">
        <v>1143</v>
      </c>
      <c r="F465" s="706" t="s">
        <v>1136</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G27700</v>
      </c>
      <c r="AK465" s="905" t="str">
        <f t="shared" si="43"/>
        <v>INV VEHICULE EN LOCATION</v>
      </c>
      <c r="AL465" s="905">
        <f>IFERROR(INDEX(G465:R465,1,MATCH(Parametres!$B$3,G$1:R$1,0)-1)*IF(OR(F465="L",F465="S",F465="I"),-1,1),"")</f>
        <v>0</v>
      </c>
      <c r="AM465" s="905">
        <f t="shared" si="44"/>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t="str">
        <f t="shared" si="45"/>
        <v>G27700</v>
      </c>
      <c r="AU465" s="488" t="str">
        <f t="shared" si="46"/>
        <v>INV VEHICULE EN LOCATION</v>
      </c>
      <c r="AV465" s="899">
        <f>IFERROR(INDEX(V465:AG465,1,MATCH(Parametres!$B$3,V$1:AG$1,0)-1)*IF(OR(C465="L",C465="S",C465="I"),-1,1),"")</f>
        <v>0</v>
      </c>
      <c r="AW465" s="899">
        <f t="shared" si="47"/>
        <v>0</v>
      </c>
      <c r="AX465" s="899">
        <f>INDEX(V465:AG465,1,MATCH(Parametres!$B$3,V$1:AG$1,0))*IF(OR(C465="L",C465="S",C465="I"),-1,1)</f>
        <v>0</v>
      </c>
      <c r="AY465" s="487" t="s">
        <v>337</v>
      </c>
      <c r="AZ465" s="487" t="e">
        <f>+VLOOKUP($AJ465,Data_Validation!$A:$E,5,0)</f>
        <v>#N/A</v>
      </c>
    </row>
    <row r="466" spans="1:52" ht="15" customHeight="1">
      <c r="A466" s="706" t="s">
        <v>1148</v>
      </c>
      <c r="B466" s="706">
        <v>2026</v>
      </c>
      <c r="C466" s="706" t="s">
        <v>2020</v>
      </c>
      <c r="D466" s="706" t="s">
        <v>2021</v>
      </c>
      <c r="E466" s="706" t="s">
        <v>333</v>
      </c>
      <c r="F466" s="706" t="s">
        <v>1136</v>
      </c>
      <c r="G466" s="706">
        <v>0</v>
      </c>
      <c r="H466" s="706">
        <v>0</v>
      </c>
      <c r="I466" s="706">
        <v>0</v>
      </c>
      <c r="J466" s="706">
        <v>0</v>
      </c>
      <c r="K466" s="706">
        <v>0</v>
      </c>
      <c r="L466" s="706">
        <v>0</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G27701</v>
      </c>
      <c r="AK466" s="905" t="str">
        <f t="shared" si="43"/>
        <v>AMORT. ACC. VEH. LOCATION</v>
      </c>
      <c r="AL466" s="905">
        <f>IFERROR(INDEX(G466:R466,1,MATCH(Parametres!$B$3,G$1:R$1,0)-1)*IF(OR(F466="L",F466="S",F466="I"),-1,1),"")</f>
        <v>0</v>
      </c>
      <c r="AM466" s="905">
        <f t="shared" si="44"/>
        <v>0</v>
      </c>
      <c r="AN466" s="905">
        <f>INDEX(G466:R466,1,MATCH(Parametres!$B$3,G$1:R$1,0))*IF(OR(F466="L",F466="S",F466="I"),-1,1)</f>
        <v>0</v>
      </c>
      <c r="AO466" s="487" t="str">
        <f>+VLOOKUP($AJ466,Data_Validation!$A:$D,1,0)</f>
        <v>G27701</v>
      </c>
      <c r="AP466" s="487">
        <f>+VLOOKUP($AJ466,Data_Validation!$A:$D,3,0)</f>
        <v>0</v>
      </c>
      <c r="AQ466" s="487">
        <f>+VLOOKUP($AJ466,Data_Validation!$A:$D,4,0)</f>
        <v>0</v>
      </c>
      <c r="AR466" s="487" t="s">
        <v>299</v>
      </c>
      <c r="AS466" s="487">
        <f>+VLOOKUP($AJ466,Data_Validation!$A:$E,5,0)</f>
        <v>0</v>
      </c>
      <c r="AT466" s="904" t="str">
        <f t="shared" si="45"/>
        <v>G27701</v>
      </c>
      <c r="AU466" s="488" t="str">
        <f t="shared" si="46"/>
        <v>AMORT. ACC. VEH. LOCATION</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customHeight="1">
      <c r="A467" s="706" t="s">
        <v>1148</v>
      </c>
      <c r="B467" s="706">
        <v>2026</v>
      </c>
      <c r="C467" s="706" t="s">
        <v>2022</v>
      </c>
      <c r="D467" s="706" t="s">
        <v>2023</v>
      </c>
      <c r="E467" s="706" t="s">
        <v>333</v>
      </c>
      <c r="F467" s="706" t="s">
        <v>1136</v>
      </c>
      <c r="G467" s="706">
        <v>1718553.45</v>
      </c>
      <c r="H467" s="706">
        <v>1718553.45</v>
      </c>
      <c r="I467" s="706">
        <v>1718553.45</v>
      </c>
      <c r="J467" s="706">
        <v>1718553.45</v>
      </c>
      <c r="K467" s="706">
        <v>1718553.45</v>
      </c>
      <c r="L467" s="706">
        <v>1718553.45</v>
      </c>
      <c r="M467" s="706">
        <v>1718553.45</v>
      </c>
      <c r="N467" s="706">
        <v>0</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G28200</v>
      </c>
      <c r="AK467" s="905" t="str">
        <f t="shared" ref="AK467:AK530" si="49">D467</f>
        <v>MACHINERIE EQUIP. ATELIER</v>
      </c>
      <c r="AL467" s="905">
        <f>IFERROR(INDEX(G467:R467,1,MATCH(Parametres!$B$3,G$1:R$1,0)-1)*IF(OR(F467="L",F467="S",F467="I"),-1,1),"")</f>
        <v>1718553.45</v>
      </c>
      <c r="AM467" s="905">
        <f t="shared" si="44"/>
        <v>0</v>
      </c>
      <c r="AN467" s="905">
        <f>INDEX(G467:R467,1,MATCH(Parametres!$B$3,G$1:R$1,0))*IF(OR(F467="L",F467="S",F467="I"),-1,1)</f>
        <v>1718553.45</v>
      </c>
      <c r="AO467" s="487" t="str">
        <f>+VLOOKUP($AJ467,Data_Validation!$A:$D,1,0)</f>
        <v>G28200</v>
      </c>
      <c r="AP467" s="487" t="str">
        <f>+VLOOKUP($AJ467,Data_Validation!$A:$D,3,0)</f>
        <v>Bilan</v>
      </c>
      <c r="AQ467" s="487" t="str">
        <f>+VLOOKUP($AJ467,Data_Validation!$A:$D,4,0)</f>
        <v>Équipements Service</v>
      </c>
      <c r="AR467" s="487" t="s">
        <v>299</v>
      </c>
      <c r="AS467" s="487">
        <f>+VLOOKUP($AJ467,Data_Validation!$A:$E,5,0)</f>
        <v>0</v>
      </c>
      <c r="AT467" s="904" t="str">
        <f t="shared" si="45"/>
        <v>G28200</v>
      </c>
      <c r="AU467" s="488" t="str">
        <f t="shared" si="46"/>
        <v>MACHINERIE EQUIP. ATELIER</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customHeight="1">
      <c r="A468" s="706" t="s">
        <v>1148</v>
      </c>
      <c r="B468" s="706">
        <v>2026</v>
      </c>
      <c r="C468" s="706" t="s">
        <v>2024</v>
      </c>
      <c r="D468" s="706" t="s">
        <v>2025</v>
      </c>
      <c r="E468" s="706" t="s">
        <v>333</v>
      </c>
      <c r="F468" s="706" t="s">
        <v>1136</v>
      </c>
      <c r="G468" s="706">
        <v>0</v>
      </c>
      <c r="H468" s="706">
        <v>0</v>
      </c>
      <c r="I468" s="706">
        <v>13498.78</v>
      </c>
      <c r="J468" s="706">
        <v>13498.78</v>
      </c>
      <c r="K468" s="706">
        <v>13498.78</v>
      </c>
      <c r="L468" s="706">
        <v>13498.78</v>
      </c>
      <c r="M468" s="706">
        <v>13498.78</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G28210</v>
      </c>
      <c r="AK468" s="905" t="str">
        <f t="shared" si="49"/>
        <v>MACHINERIE EQUIP. CARR</v>
      </c>
      <c r="AL468" s="905">
        <f>IFERROR(INDEX(G468:R468,1,MATCH(Parametres!$B$3,G$1:R$1,0)-1)*IF(OR(F468="L",F468="S",F468="I"),-1,1),"")</f>
        <v>13498.78</v>
      </c>
      <c r="AM468" s="905">
        <f t="shared" si="44"/>
        <v>0</v>
      </c>
      <c r="AN468" s="905">
        <f>INDEX(G468:R468,1,MATCH(Parametres!$B$3,G$1:R$1,0))*IF(OR(F468="L",F468="S",F468="I"),-1,1)</f>
        <v>13498.78</v>
      </c>
      <c r="AO468" s="487" t="str">
        <f>+VLOOKUP($AJ468,Data_Validation!$A:$D,1,0)</f>
        <v>G28210</v>
      </c>
      <c r="AP468" s="487" t="str">
        <f>+VLOOKUP($AJ468,Data_Validation!$A:$D,3,0)</f>
        <v>Bilan</v>
      </c>
      <c r="AQ468" s="487" t="str">
        <f>+VLOOKUP($AJ468,Data_Validation!$A:$D,4,0)</f>
        <v>Équipements Service</v>
      </c>
      <c r="AR468" s="487" t="s">
        <v>299</v>
      </c>
      <c r="AS468" s="487">
        <f>+VLOOKUP($AJ468,Data_Validation!$A:$E,5,0)</f>
        <v>0</v>
      </c>
      <c r="AT468" s="904" t="str">
        <f t="shared" si="45"/>
        <v>G28210</v>
      </c>
      <c r="AU468" s="488" t="str">
        <f t="shared" si="46"/>
        <v>MACHINERIE EQUIP. CARR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customHeight="1">
      <c r="A469" s="706" t="s">
        <v>1148</v>
      </c>
      <c r="B469" s="706">
        <v>2026</v>
      </c>
      <c r="C469" s="706" t="s">
        <v>2026</v>
      </c>
      <c r="D469" s="706" t="s">
        <v>2027</v>
      </c>
      <c r="E469" s="706" t="s">
        <v>333</v>
      </c>
      <c r="F469" s="706" t="s">
        <v>1136</v>
      </c>
      <c r="G469" s="706">
        <v>7077.33</v>
      </c>
      <c r="H469" s="706">
        <v>7077.33</v>
      </c>
      <c r="I469" s="706">
        <v>7077.33</v>
      </c>
      <c r="J469" s="706">
        <v>7077.33</v>
      </c>
      <c r="K469" s="706">
        <v>7077.33</v>
      </c>
      <c r="L469" s="706">
        <v>7077.33</v>
      </c>
      <c r="M469" s="706">
        <v>7077.33</v>
      </c>
      <c r="N469" s="706">
        <v>0</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G28300</v>
      </c>
      <c r="AK469" s="905" t="str">
        <f t="shared" si="49"/>
        <v>PNEUS ET ACC.DEMO/COURT</v>
      </c>
      <c r="AL469" s="905">
        <f>IFERROR(INDEX(G469:R469,1,MATCH(Parametres!$B$3,G$1:R$1,0)-1)*IF(OR(F469="L",F469="S",F469="I"),-1,1),"")</f>
        <v>7077.33</v>
      </c>
      <c r="AM469" s="905">
        <f t="shared" si="44"/>
        <v>0</v>
      </c>
      <c r="AN469" s="905">
        <f>INDEX(G469:R469,1,MATCH(Parametres!$B$3,G$1:R$1,0))*IF(OR(F469="L",F469="S",F469="I"),-1,1)</f>
        <v>7077.33</v>
      </c>
      <c r="AO469" s="487" t="str">
        <f>+VLOOKUP($AJ469,Data_Validation!$A:$D,1,0)</f>
        <v>G28300</v>
      </c>
      <c r="AP469" s="487" t="str">
        <f>+VLOOKUP($AJ469,Data_Validation!$A:$D,3,0)</f>
        <v>Bilan</v>
      </c>
      <c r="AQ469" s="487" t="str">
        <f>+VLOOKUP($AJ469,Data_Validation!$A:$D,4,0)</f>
        <v>Équipements Service</v>
      </c>
      <c r="AR469" s="487" t="s">
        <v>299</v>
      </c>
      <c r="AS469" s="487">
        <f>+VLOOKUP($AJ469,Data_Validation!$A:$E,5,0)</f>
        <v>0</v>
      </c>
      <c r="AT469" s="904" t="str">
        <f t="shared" si="45"/>
        <v>G28300</v>
      </c>
      <c r="AU469" s="488" t="str">
        <f t="shared" si="46"/>
        <v>PNEUS ET ACC.DEMO/COURT</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customHeight="1">
      <c r="A470" s="706" t="s">
        <v>1148</v>
      </c>
      <c r="B470" s="706">
        <v>2026</v>
      </c>
      <c r="C470" s="706" t="s">
        <v>2028</v>
      </c>
      <c r="D470" s="706" t="s">
        <v>2029</v>
      </c>
      <c r="E470" s="706" t="s">
        <v>333</v>
      </c>
      <c r="F470" s="706" t="s">
        <v>1136</v>
      </c>
      <c r="G470" s="706">
        <v>368778.01</v>
      </c>
      <c r="H470" s="706">
        <v>368778.01</v>
      </c>
      <c r="I470" s="706">
        <v>368778.01</v>
      </c>
      <c r="J470" s="706">
        <v>368778.01</v>
      </c>
      <c r="K470" s="706">
        <v>368778.01</v>
      </c>
      <c r="L470" s="706">
        <v>368778.01</v>
      </c>
      <c r="M470" s="706">
        <v>368778.01</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G28400</v>
      </c>
      <c r="AK470" s="905" t="str">
        <f t="shared" si="49"/>
        <v>MOBILIER &amp; EQUIP BUREAU</v>
      </c>
      <c r="AL470" s="905">
        <f>IFERROR(INDEX(G470:R470,1,MATCH(Parametres!$B$3,G$1:R$1,0)-1)*IF(OR(F470="L",F470="S",F470="I"),-1,1),"")</f>
        <v>368778.01</v>
      </c>
      <c r="AM470" s="905">
        <f t="shared" si="44"/>
        <v>0</v>
      </c>
      <c r="AN470" s="905">
        <f>INDEX(G470:R470,1,MATCH(Parametres!$B$3,G$1:R$1,0))*IF(OR(F470="L",F470="S",F470="I"),-1,1)</f>
        <v>368778.01</v>
      </c>
      <c r="AO470" s="487" t="str">
        <f>+VLOOKUP($AJ470,Data_Validation!$A:$D,1,0)</f>
        <v>G28400</v>
      </c>
      <c r="AP470" s="487" t="str">
        <f>+VLOOKUP($AJ470,Data_Validation!$A:$D,3,0)</f>
        <v>Bilan</v>
      </c>
      <c r="AQ470" s="487" t="str">
        <f>+VLOOKUP($AJ470,Data_Validation!$A:$D,4,0)</f>
        <v>Mobilier</v>
      </c>
      <c r="AR470" s="487" t="s">
        <v>299</v>
      </c>
      <c r="AS470" s="487">
        <f>+VLOOKUP($AJ470,Data_Validation!$A:$E,5,0)</f>
        <v>0</v>
      </c>
      <c r="AT470" s="904" t="str">
        <f t="shared" si="45"/>
        <v>G28400</v>
      </c>
      <c r="AU470" s="488" t="str">
        <f t="shared" si="46"/>
        <v>MOBILIER &amp; EQUIP BUREAU</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customHeight="1">
      <c r="A471" s="706" t="s">
        <v>1148</v>
      </c>
      <c r="B471" s="706">
        <v>2026</v>
      </c>
      <c r="C471" s="706" t="s">
        <v>2030</v>
      </c>
      <c r="D471" s="706" t="s">
        <v>2031</v>
      </c>
      <c r="E471" s="706" t="s">
        <v>333</v>
      </c>
      <c r="F471" s="706" t="s">
        <v>1136</v>
      </c>
      <c r="G471" s="706">
        <v>125277.95</v>
      </c>
      <c r="H471" s="706">
        <v>125277.95</v>
      </c>
      <c r="I471" s="706">
        <v>125277.95</v>
      </c>
      <c r="J471" s="706">
        <v>125277.95</v>
      </c>
      <c r="K471" s="706">
        <v>125277.95</v>
      </c>
      <c r="L471" s="706">
        <v>125277.95</v>
      </c>
      <c r="M471" s="706">
        <v>125277.95</v>
      </c>
      <c r="N471" s="706">
        <v>0</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G28500</v>
      </c>
      <c r="AK471" s="905" t="str">
        <f t="shared" si="49"/>
        <v>LIFT PIECES / TRACTEUR</v>
      </c>
      <c r="AL471" s="905">
        <f>IFERROR(INDEX(G471:R471,1,MATCH(Parametres!$B$3,G$1:R$1,0)-1)*IF(OR(F471="L",F471="S",F471="I"),-1,1),"")</f>
        <v>125277.95</v>
      </c>
      <c r="AM471" s="905">
        <f t="shared" si="44"/>
        <v>0</v>
      </c>
      <c r="AN471" s="905">
        <f>INDEX(G471:R471,1,MATCH(Parametres!$B$3,G$1:R$1,0))*IF(OR(F471="L",F471="S",F471="I"),-1,1)</f>
        <v>125277.95</v>
      </c>
      <c r="AO471" s="487" t="str">
        <f>+VLOOKUP($AJ471,Data_Validation!$A:$D,1,0)</f>
        <v>G28500</v>
      </c>
      <c r="AP471" s="487" t="str">
        <f>+VLOOKUP($AJ471,Data_Validation!$A:$D,3,0)</f>
        <v>Bilan</v>
      </c>
      <c r="AQ471" s="487" t="str">
        <f>+VLOOKUP($AJ471,Data_Validation!$A:$D,4,0)</f>
        <v>Équipements Service</v>
      </c>
      <c r="AR471" s="487" t="s">
        <v>299</v>
      </c>
      <c r="AS471" s="487">
        <f>+VLOOKUP($AJ471,Data_Validation!$A:$E,5,0)</f>
        <v>0</v>
      </c>
      <c r="AT471" s="904" t="str">
        <f t="shared" si="45"/>
        <v>G28500</v>
      </c>
      <c r="AU471" s="488" t="str">
        <f t="shared" si="46"/>
        <v>LIFT PIECES / TRACTEUR</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customHeight="1">
      <c r="A472" s="706" t="s">
        <v>1148</v>
      </c>
      <c r="B472" s="706">
        <v>2026</v>
      </c>
      <c r="C472" s="706" t="s">
        <v>2032</v>
      </c>
      <c r="D472" s="706" t="s">
        <v>2033</v>
      </c>
      <c r="E472" s="706" t="s">
        <v>333</v>
      </c>
      <c r="F472" s="706" t="s">
        <v>1136</v>
      </c>
      <c r="G472" s="706">
        <v>214593.95</v>
      </c>
      <c r="H472" s="706">
        <v>214593.95</v>
      </c>
      <c r="I472" s="706">
        <v>214593.95</v>
      </c>
      <c r="J472" s="706">
        <v>214593.95</v>
      </c>
      <c r="K472" s="706">
        <v>214593.95</v>
      </c>
      <c r="L472" s="706">
        <v>214593.95</v>
      </c>
      <c r="M472" s="706">
        <v>214593.95</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G28600</v>
      </c>
      <c r="AK472" s="905" t="str">
        <f t="shared" si="49"/>
        <v>BATIMENT</v>
      </c>
      <c r="AL472" s="905">
        <f>IFERROR(INDEX(G472:R472,1,MATCH(Parametres!$B$3,G$1:R$1,0)-1)*IF(OR(F472="L",F472="S",F472="I"),-1,1),"")</f>
        <v>214593.95</v>
      </c>
      <c r="AM472" s="905">
        <f t="shared" si="44"/>
        <v>0</v>
      </c>
      <c r="AN472" s="905">
        <f>INDEX(G472:R472,1,MATCH(Parametres!$B$3,G$1:R$1,0))*IF(OR(F472="L",F472="S",F472="I"),-1,1)</f>
        <v>214593.95</v>
      </c>
      <c r="AO472" s="487" t="str">
        <f>+VLOOKUP($AJ472,Data_Validation!$A:$D,1,0)</f>
        <v>G28600</v>
      </c>
      <c r="AP472" s="487" t="str">
        <f>+VLOOKUP($AJ472,Data_Validation!$A:$D,3,0)</f>
        <v>Bilan</v>
      </c>
      <c r="AQ472" s="487" t="str">
        <f>+VLOOKUP($AJ472,Data_Validation!$A:$D,4,0)</f>
        <v>Améliorations Locatives</v>
      </c>
      <c r="AR472" s="487" t="s">
        <v>299</v>
      </c>
      <c r="AS472" s="487">
        <f>+VLOOKUP($AJ472,Data_Validation!$A:$E,5,0)</f>
        <v>0</v>
      </c>
      <c r="AT472" s="904" t="str">
        <f t="shared" si="45"/>
        <v>G28600</v>
      </c>
      <c r="AU472" s="488" t="str">
        <f t="shared" si="46"/>
        <v>BATIMENT</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customHeight="1">
      <c r="A473" s="706" t="s">
        <v>1148</v>
      </c>
      <c r="B473" s="706">
        <v>2026</v>
      </c>
      <c r="C473" s="706" t="s">
        <v>2034</v>
      </c>
      <c r="D473" s="706" t="s">
        <v>2035</v>
      </c>
      <c r="E473" s="706" t="s">
        <v>333</v>
      </c>
      <c r="F473" s="706" t="s">
        <v>1136</v>
      </c>
      <c r="G473" s="706">
        <v>264203.43</v>
      </c>
      <c r="H473" s="706">
        <v>264203.43</v>
      </c>
      <c r="I473" s="706">
        <v>264203.43</v>
      </c>
      <c r="J473" s="706">
        <v>267836.38</v>
      </c>
      <c r="K473" s="706">
        <v>267836.38</v>
      </c>
      <c r="L473" s="706">
        <v>267836.38</v>
      </c>
      <c r="M473" s="706">
        <v>267836.38</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G28700</v>
      </c>
      <c r="AK473" s="905" t="str">
        <f t="shared" si="49"/>
        <v>MATERIEL INFORMATIQUE</v>
      </c>
      <c r="AL473" s="905">
        <f>IFERROR(INDEX(G473:R473,1,MATCH(Parametres!$B$3,G$1:R$1,0)-1)*IF(OR(F473="L",F473="S",F473="I"),-1,1),"")</f>
        <v>267836.38</v>
      </c>
      <c r="AM473" s="905">
        <f t="shared" si="44"/>
        <v>0</v>
      </c>
      <c r="AN473" s="905">
        <f>INDEX(G473:R473,1,MATCH(Parametres!$B$3,G$1:R$1,0))*IF(OR(F473="L",F473="S",F473="I"),-1,1)</f>
        <v>267836.38</v>
      </c>
      <c r="AO473" s="487" t="str">
        <f>+VLOOKUP($AJ473,Data_Validation!$A:$D,1,0)</f>
        <v>G28700</v>
      </c>
      <c r="AP473" s="487" t="str">
        <f>+VLOOKUP($AJ473,Data_Validation!$A:$D,3,0)</f>
        <v>Bilan</v>
      </c>
      <c r="AQ473" s="487" t="str">
        <f>+VLOOKUP($AJ473,Data_Validation!$A:$D,4,0)</f>
        <v>Équipements Informatique</v>
      </c>
      <c r="AR473" s="487" t="s">
        <v>299</v>
      </c>
      <c r="AS473" s="487">
        <f>+VLOOKUP($AJ473,Data_Validation!$A:$E,5,0)</f>
        <v>0</v>
      </c>
      <c r="AT473" s="904" t="str">
        <f t="shared" si="45"/>
        <v>G28700</v>
      </c>
      <c r="AU473" s="488" t="str">
        <f t="shared" si="46"/>
        <v>MATERIEL INFORMATIQUE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customHeight="1">
      <c r="A474" s="706" t="s">
        <v>1148</v>
      </c>
      <c r="B474" s="706">
        <v>2026</v>
      </c>
      <c r="C474" s="706" t="s">
        <v>2036</v>
      </c>
      <c r="D474" s="706" t="s">
        <v>647</v>
      </c>
      <c r="E474" s="706" t="s">
        <v>333</v>
      </c>
      <c r="F474" s="706" t="s">
        <v>1136</v>
      </c>
      <c r="G474" s="706">
        <v>55976.71</v>
      </c>
      <c r="H474" s="706">
        <v>55976.71</v>
      </c>
      <c r="I474" s="706">
        <v>55976.71</v>
      </c>
      <c r="J474" s="706">
        <v>55976.71</v>
      </c>
      <c r="K474" s="706">
        <v>55976.71</v>
      </c>
      <c r="L474" s="706">
        <v>55976.71</v>
      </c>
      <c r="M474" s="706">
        <v>55976.71</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G28800</v>
      </c>
      <c r="AK474" s="905" t="str">
        <f t="shared" si="49"/>
        <v>ENSEIGNES</v>
      </c>
      <c r="AL474" s="905">
        <f>IFERROR(INDEX(G474:R474,1,MATCH(Parametres!$B$3,G$1:R$1,0)-1)*IF(OR(F474="L",F474="S",F474="I"),-1,1),"")</f>
        <v>55976.71</v>
      </c>
      <c r="AM474" s="905">
        <f t="shared" si="44"/>
        <v>0</v>
      </c>
      <c r="AN474" s="905">
        <f>INDEX(G474:R474,1,MATCH(Parametres!$B$3,G$1:R$1,0))*IF(OR(F474="L",F474="S",F474="I"),-1,1)</f>
        <v>55976.71</v>
      </c>
      <c r="AO474" s="487" t="str">
        <f>+VLOOKUP($AJ474,Data_Validation!$A:$D,1,0)</f>
        <v>G28800</v>
      </c>
      <c r="AP474" s="487" t="str">
        <f>+VLOOKUP($AJ474,Data_Validation!$A:$D,3,0)</f>
        <v>Bilan</v>
      </c>
      <c r="AQ474" s="487" t="str">
        <f>+VLOOKUP($AJ474,Data_Validation!$A:$D,4,0)</f>
        <v>Enseigne</v>
      </c>
      <c r="AR474" s="487" t="s">
        <v>299</v>
      </c>
      <c r="AS474" s="487">
        <f>+VLOOKUP($AJ474,Data_Validation!$A:$E,5,0)</f>
        <v>0</v>
      </c>
      <c r="AT474" s="904" t="str">
        <f t="shared" si="45"/>
        <v>G28800</v>
      </c>
      <c r="AU474" s="488" t="str">
        <f t="shared" si="46"/>
        <v>ENSEIGNES</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customHeight="1">
      <c r="A475" s="706" t="s">
        <v>1148</v>
      </c>
      <c r="B475" s="706">
        <v>2026</v>
      </c>
      <c r="C475" s="706" t="s">
        <v>2037</v>
      </c>
      <c r="D475" s="706" t="s">
        <v>2038</v>
      </c>
      <c r="E475" s="706" t="s">
        <v>333</v>
      </c>
      <c r="F475" s="706" t="s">
        <v>1136</v>
      </c>
      <c r="G475" s="706">
        <v>0</v>
      </c>
      <c r="H475" s="706">
        <v>0</v>
      </c>
      <c r="I475" s="706">
        <v>0</v>
      </c>
      <c r="J475" s="706">
        <v>0</v>
      </c>
      <c r="K475" s="706">
        <v>0</v>
      </c>
      <c r="L475" s="706">
        <v>0</v>
      </c>
      <c r="M475" s="706">
        <v>0</v>
      </c>
      <c r="N475" s="706">
        <v>0</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G28900</v>
      </c>
      <c r="AK475" s="905" t="str">
        <f t="shared" si="49"/>
        <v>ASPHALTE</v>
      </c>
      <c r="AL475" s="905">
        <f>IFERROR(INDEX(G475:R475,1,MATCH(Parametres!$B$3,G$1:R$1,0)-1)*IF(OR(F475="L",F475="S",F475="I"),-1,1),"")</f>
        <v>0</v>
      </c>
      <c r="AM475" s="905">
        <f t="shared" si="44"/>
        <v>0</v>
      </c>
      <c r="AN475" s="905">
        <f>INDEX(G475:R475,1,MATCH(Parametres!$B$3,G$1:R$1,0))*IF(OR(F475="L",F475="S",F475="I"),-1,1)</f>
        <v>0</v>
      </c>
      <c r="AO475" s="487" t="str">
        <f>+VLOOKUP($AJ475,Data_Validation!$A:$D,1,0)</f>
        <v>G28900</v>
      </c>
      <c r="AP475" s="487">
        <f>+VLOOKUP($AJ475,Data_Validation!$A:$D,3,0)</f>
        <v>0</v>
      </c>
      <c r="AQ475" s="487">
        <f>+VLOOKUP($AJ475,Data_Validation!$A:$D,4,0)</f>
        <v>0</v>
      </c>
      <c r="AR475" s="487" t="s">
        <v>299</v>
      </c>
      <c r="AS475" s="487">
        <f>+VLOOKUP($AJ475,Data_Validation!$A:$E,5,0)</f>
        <v>0</v>
      </c>
      <c r="AT475" s="904" t="str">
        <f t="shared" si="45"/>
        <v>G28900</v>
      </c>
      <c r="AU475" s="488" t="str">
        <f t="shared" si="46"/>
        <v>ASPHALTE</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customHeight="1">
      <c r="A476" s="706" t="s">
        <v>1148</v>
      </c>
      <c r="B476" s="706">
        <v>2026</v>
      </c>
      <c r="C476" s="706" t="s">
        <v>2039</v>
      </c>
      <c r="D476" s="706" t="s">
        <v>2040</v>
      </c>
      <c r="E476" s="706" t="s">
        <v>333</v>
      </c>
      <c r="F476" s="706" t="s">
        <v>1136</v>
      </c>
      <c r="G476" s="706">
        <v>12974</v>
      </c>
      <c r="H476" s="706">
        <v>12974</v>
      </c>
      <c r="I476" s="706">
        <v>12974</v>
      </c>
      <c r="J476" s="706">
        <v>12974</v>
      </c>
      <c r="K476" s="706">
        <v>12974</v>
      </c>
      <c r="L476" s="706">
        <v>12974</v>
      </c>
      <c r="M476" s="706">
        <v>12974</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G29300</v>
      </c>
      <c r="AK476" s="905" t="str">
        <f t="shared" si="49"/>
        <v>BILLETS &amp; C/R ADMINIS.</v>
      </c>
      <c r="AL476" s="905">
        <f>IFERROR(INDEX(G476:R476,1,MATCH(Parametres!$B$3,G$1:R$1,0)-1)*IF(OR(F476="L",F476="S",F476="I"),-1,1),"")</f>
        <v>12974</v>
      </c>
      <c r="AM476" s="905">
        <f t="shared" si="44"/>
        <v>0</v>
      </c>
      <c r="AN476" s="905">
        <f>INDEX(G476:R476,1,MATCH(Parametres!$B$3,G$1:R$1,0))*IF(OR(F476="L",F476="S",F476="I"),-1,1)</f>
        <v>12974</v>
      </c>
      <c r="AO476" s="487" t="str">
        <f>+VLOOKUP($AJ476,Data_Validation!$A:$D,1,0)</f>
        <v>G29300</v>
      </c>
      <c r="AP476" s="487" t="str">
        <f>+VLOOKUP($AJ476,Data_Validation!$A:$D,3,0)</f>
        <v>Bilan</v>
      </c>
      <c r="AQ476" s="487" t="str">
        <f>+VLOOKUP($AJ476,Data_Validation!$A:$D,4,0)</f>
        <v>Avances à Recevoir Long Terme</v>
      </c>
      <c r="AR476" s="487" t="s">
        <v>299</v>
      </c>
      <c r="AS476" s="487">
        <f>+VLOOKUP($AJ476,Data_Validation!$A:$E,5,0)</f>
        <v>0</v>
      </c>
      <c r="AT476" s="904" t="str">
        <f t="shared" si="45"/>
        <v>G29300</v>
      </c>
      <c r="AU476" s="488" t="str">
        <f t="shared" si="46"/>
        <v>BILLETS &amp; C/R ADMINIS.</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customHeight="1">
      <c r="A477" s="706" t="s">
        <v>1148</v>
      </c>
      <c r="B477" s="706">
        <v>2026</v>
      </c>
      <c r="C477" s="706" t="s">
        <v>2041</v>
      </c>
      <c r="D477" s="706" t="s">
        <v>2042</v>
      </c>
      <c r="E477" s="706" t="s">
        <v>333</v>
      </c>
      <c r="F477" s="706" t="s">
        <v>1136</v>
      </c>
      <c r="G477" s="706">
        <v>2000000</v>
      </c>
      <c r="H477" s="706">
        <v>0</v>
      </c>
      <c r="I477" s="706">
        <v>0</v>
      </c>
      <c r="J477" s="706">
        <v>1000000</v>
      </c>
      <c r="K477" s="706">
        <v>1000000</v>
      </c>
      <c r="L477" s="706">
        <v>500000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G29400</v>
      </c>
      <c r="AK477" s="905" t="str">
        <f t="shared" si="49"/>
        <v>EPARGNE BULK</v>
      </c>
      <c r="AL477" s="905">
        <f>IFERROR(INDEX(G477:R477,1,MATCH(Parametres!$B$3,G$1:R$1,0)-1)*IF(OR(F477="L",F477="S",F477="I"),-1,1),"")</f>
        <v>1000000</v>
      </c>
      <c r="AM477" s="905">
        <f t="shared" si="44"/>
        <v>-500000</v>
      </c>
      <c r="AN477" s="905">
        <f>INDEX(G477:R477,1,MATCH(Parametres!$B$3,G$1:R$1,0))*IF(OR(F477="L",F477="S",F477="I"),-1,1)</f>
        <v>500000</v>
      </c>
      <c r="AO477" s="487" t="str">
        <f>+VLOOKUP($AJ477,Data_Validation!$A:$D,1,0)</f>
        <v>G29400</v>
      </c>
      <c r="AP477" s="487" t="str">
        <f>+VLOOKUP($AJ477,Data_Validation!$A:$D,3,0)</f>
        <v>Bilan</v>
      </c>
      <c r="AQ477" s="487" t="str">
        <f>+VLOOKUP($AJ477,Data_Validation!$A:$D,4,0)</f>
        <v>Encaisse</v>
      </c>
      <c r="AR477" s="487" t="s">
        <v>299</v>
      </c>
      <c r="AS477" s="487">
        <f>+VLOOKUP($AJ477,Data_Validation!$A:$E,5,0)</f>
        <v>0</v>
      </c>
      <c r="AT477" s="904" t="str">
        <f t="shared" si="45"/>
        <v>G29400</v>
      </c>
      <c r="AU477" s="488" t="str">
        <f t="shared" si="46"/>
        <v>EPARGNE BULK</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customHeight="1">
      <c r="A478" s="706" t="s">
        <v>1148</v>
      </c>
      <c r="B478" s="706">
        <v>2026</v>
      </c>
      <c r="C478" s="706" t="s">
        <v>2043</v>
      </c>
      <c r="D478" s="706" t="s">
        <v>2044</v>
      </c>
      <c r="E478" s="706" t="s">
        <v>333</v>
      </c>
      <c r="F478" s="706" t="s">
        <v>1136</v>
      </c>
      <c r="G478" s="706">
        <v>2000</v>
      </c>
      <c r="H478" s="706">
        <v>2000</v>
      </c>
      <c r="I478" s="706">
        <v>2000</v>
      </c>
      <c r="J478" s="706">
        <v>2000</v>
      </c>
      <c r="K478" s="706">
        <v>2000</v>
      </c>
      <c r="L478" s="706">
        <v>2000</v>
      </c>
      <c r="M478" s="706">
        <v>2000</v>
      </c>
      <c r="N478" s="706">
        <v>0</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G29600</v>
      </c>
      <c r="AK478" s="905" t="str">
        <f t="shared" si="49"/>
        <v>AUTRES PLACEMENTS &amp; BIENS</v>
      </c>
      <c r="AL478" s="905">
        <f>IFERROR(INDEX(G478:R478,1,MATCH(Parametres!$B$3,G$1:R$1,0)-1)*IF(OR(F478="L",F478="S",F478="I"),-1,1),"")</f>
        <v>2000</v>
      </c>
      <c r="AM478" s="905">
        <f t="shared" si="44"/>
        <v>0</v>
      </c>
      <c r="AN478" s="905">
        <f>INDEX(G478:R478,1,MATCH(Parametres!$B$3,G$1:R$1,0))*IF(OR(F478="L",F478="S",F478="I"),-1,1)</f>
        <v>2000</v>
      </c>
      <c r="AO478" s="487" t="str">
        <f>+VLOOKUP($AJ478,Data_Validation!$A:$D,1,0)</f>
        <v>G29600</v>
      </c>
      <c r="AP478" s="487" t="str">
        <f>+VLOOKUP($AJ478,Data_Validation!$A:$D,3,0)</f>
        <v>Bilan</v>
      </c>
      <c r="AQ478" s="487" t="str">
        <f>+VLOOKUP($AJ478,Data_Validation!$A:$D,4,0)</f>
        <v>Avances à Recevoir Long Terme</v>
      </c>
      <c r="AR478" s="487" t="s">
        <v>299</v>
      </c>
      <c r="AS478" s="487">
        <f>+VLOOKUP($AJ478,Data_Validation!$A:$E,5,0)</f>
        <v>0</v>
      </c>
      <c r="AT478" s="904" t="str">
        <f t="shared" si="45"/>
        <v>G29600</v>
      </c>
      <c r="AU478" s="488" t="str">
        <f t="shared" si="46"/>
        <v>AUTRES PLACEMENTS &amp; BIENS</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customHeight="1">
      <c r="A479" s="706" t="s">
        <v>1148</v>
      </c>
      <c r="B479" s="706">
        <v>2026</v>
      </c>
      <c r="C479" s="706" t="s">
        <v>2045</v>
      </c>
      <c r="D479" s="706" t="s">
        <v>2046</v>
      </c>
      <c r="E479" s="706" t="s">
        <v>333</v>
      </c>
      <c r="F479" s="706" t="s">
        <v>1136</v>
      </c>
      <c r="G479" s="706">
        <v>-66.849999999999994</v>
      </c>
      <c r="H479" s="706">
        <v>-66.849999999999994</v>
      </c>
      <c r="I479" s="706">
        <v>-66.849999999999994</v>
      </c>
      <c r="J479" s="706">
        <v>-66.849999999999994</v>
      </c>
      <c r="K479" s="706">
        <v>-66.849999999999994</v>
      </c>
      <c r="L479" s="706">
        <v>-66.849999999999994</v>
      </c>
      <c r="M479" s="706">
        <v>-66.849999999999994</v>
      </c>
      <c r="N479" s="706">
        <v>0</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G29900</v>
      </c>
      <c r="AK479" s="905" t="str">
        <f t="shared" si="49"/>
        <v>INTER-DIVISION</v>
      </c>
      <c r="AL479" s="905">
        <f>IFERROR(INDEX(G479:R479,1,MATCH(Parametres!$B$3,G$1:R$1,0)-1)*IF(OR(F479="L",F479="S",F479="I"),-1,1),"")</f>
        <v>-66.849999999999994</v>
      </c>
      <c r="AM479" s="905">
        <f t="shared" si="44"/>
        <v>0</v>
      </c>
      <c r="AN479" s="905">
        <f>INDEX(G479:R479,1,MATCH(Parametres!$B$3,G$1:R$1,0))*IF(OR(F479="L",F479="S",F479="I"),-1,1)</f>
        <v>-66.849999999999994</v>
      </c>
      <c r="AO479" s="487" t="str">
        <f>+VLOOKUP($AJ479,Data_Validation!$A:$D,1,0)</f>
        <v>G29900</v>
      </c>
      <c r="AP479" s="487" t="str">
        <f>+VLOOKUP($AJ479,Data_Validation!$A:$D,3,0)</f>
        <v>Bilan</v>
      </c>
      <c r="AQ479" s="487" t="str">
        <f>+VLOOKUP($AJ479,Data_Validation!$A:$D,4,0)</f>
        <v>Avances à Recevoir Long Terme</v>
      </c>
      <c r="AR479" s="487" t="s">
        <v>299</v>
      </c>
      <c r="AS479" s="487">
        <f>+VLOOKUP($AJ479,Data_Validation!$A:$E,5,0)</f>
        <v>0</v>
      </c>
      <c r="AT479" s="904" t="str">
        <f t="shared" si="45"/>
        <v>G29900</v>
      </c>
      <c r="AU479" s="488" t="str">
        <f t="shared" si="46"/>
        <v>INTER-DIVISION</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customHeight="1">
      <c r="A480" s="706" t="s">
        <v>1148</v>
      </c>
      <c r="B480" s="706">
        <v>2026</v>
      </c>
      <c r="C480" s="706" t="s">
        <v>2047</v>
      </c>
      <c r="D480" s="706" t="s">
        <v>2048</v>
      </c>
      <c r="E480" s="706" t="s">
        <v>1146</v>
      </c>
      <c r="F480" s="706" t="s">
        <v>1135</v>
      </c>
      <c r="G480" s="706">
        <v>546497.76</v>
      </c>
      <c r="H480" s="706">
        <v>562323.41</v>
      </c>
      <c r="I480" s="706">
        <v>1708430.46</v>
      </c>
      <c r="J480" s="706">
        <v>4110330.37</v>
      </c>
      <c r="K480" s="706">
        <v>2543636.4300000002</v>
      </c>
      <c r="L480" s="706">
        <v>2478319.29</v>
      </c>
      <c r="M480" s="706">
        <v>1455039.36</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G30000</v>
      </c>
      <c r="AK480" s="905" t="str">
        <f t="shared" si="49"/>
        <v>C/P FOURNISSEURS</v>
      </c>
      <c r="AL480" s="905">
        <f>IFERROR(INDEX(G480:R480,1,MATCH(Parametres!$B$3,G$1:R$1,0)-1)*IF(OR(F480="L",F480="S",F480="I"),-1,1),"")</f>
        <v>-2543636.4300000002</v>
      </c>
      <c r="AM480" s="905">
        <f t="shared" si="44"/>
        <v>65317.14000000013</v>
      </c>
      <c r="AN480" s="905">
        <f>INDEX(G480:R480,1,MATCH(Parametres!$B$3,G$1:R$1,0))*IF(OR(F480="L",F480="S",F480="I"),-1,1)</f>
        <v>-2478319.29</v>
      </c>
      <c r="AO480" s="487" t="str">
        <f>+VLOOKUP($AJ480,Data_Validation!$A:$D,1,0)</f>
        <v>G30000</v>
      </c>
      <c r="AP480" s="487" t="str">
        <f>+VLOOKUP($AJ480,Data_Validation!$A:$D,3,0)</f>
        <v>Bilan</v>
      </c>
      <c r="AQ480" s="487" t="str">
        <f>+VLOOKUP($AJ480,Data_Validation!$A:$D,4,0)</f>
        <v>Comptes à Payer Fournisseurs</v>
      </c>
      <c r="AR480" s="487" t="s">
        <v>299</v>
      </c>
      <c r="AS480" s="487">
        <f>+VLOOKUP($AJ480,Data_Validation!$A:$E,5,0)</f>
        <v>0</v>
      </c>
      <c r="AT480" s="904" t="str">
        <f t="shared" si="45"/>
        <v>G30000</v>
      </c>
      <c r="AU480" s="488" t="str">
        <f t="shared" si="46"/>
        <v>C/P FOURNISSEURS</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customHeight="1">
      <c r="A481" s="706" t="s">
        <v>1148</v>
      </c>
      <c r="B481" s="706">
        <v>2026</v>
      </c>
      <c r="C481" s="706" t="s">
        <v>2049</v>
      </c>
      <c r="D481" s="706" t="s">
        <v>2050</v>
      </c>
      <c r="E481" s="706" t="s">
        <v>1146</v>
      </c>
      <c r="F481" s="706" t="s">
        <v>1135</v>
      </c>
      <c r="G481" s="706">
        <v>0</v>
      </c>
      <c r="H481" s="706">
        <v>0</v>
      </c>
      <c r="I481" s="706">
        <v>0</v>
      </c>
      <c r="J481" s="706">
        <v>0</v>
      </c>
      <c r="K481" s="706">
        <v>0</v>
      </c>
      <c r="L481" s="706">
        <v>0</v>
      </c>
      <c r="M481" s="706">
        <v>0</v>
      </c>
      <c r="N481" s="706">
        <v>0</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G30001</v>
      </c>
      <c r="AK481" s="905" t="str">
        <f t="shared" si="49"/>
        <v>COMPTES A PAYER OPEN-ITEM</v>
      </c>
      <c r="AL481" s="905">
        <f>IFERROR(INDEX(G481:R481,1,MATCH(Parametres!$B$3,G$1:R$1,0)-1)*IF(OR(F481="L",F481="S",F481="I"),-1,1),"")</f>
        <v>0</v>
      </c>
      <c r="AM481" s="905">
        <f t="shared" si="44"/>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t="str">
        <f t="shared" si="45"/>
        <v>G30001</v>
      </c>
      <c r="AU481" s="488" t="str">
        <f t="shared" si="46"/>
        <v>COMPTES A PAYER OPEN-ITEM</v>
      </c>
      <c r="AV481" s="899">
        <f>IFERROR(INDEX(V481:AG481,1,MATCH(Parametres!$B$3,V$1:AG$1,0)-1)*IF(OR(C481="L",C481="S",C481="I"),-1,1),"")</f>
        <v>0</v>
      </c>
      <c r="AW481" s="899">
        <f t="shared" si="47"/>
        <v>0</v>
      </c>
      <c r="AX481" s="899">
        <f>INDEX(V481:AG481,1,MATCH(Parametres!$B$3,V$1:AG$1,0))*IF(OR(C481="L",C481="S",C481="I"),-1,1)</f>
        <v>0</v>
      </c>
      <c r="AY481" s="487" t="s">
        <v>337</v>
      </c>
      <c r="AZ481" s="487" t="e">
        <f>+VLOOKUP($AJ481,Data_Validation!$A:$E,5,0)</f>
        <v>#N/A</v>
      </c>
    </row>
    <row r="482" spans="1:52" ht="15" customHeight="1">
      <c r="A482" s="706" t="s">
        <v>1148</v>
      </c>
      <c r="B482" s="706">
        <v>2026</v>
      </c>
      <c r="C482" s="706" t="s">
        <v>2051</v>
      </c>
      <c r="D482" s="706" t="s">
        <v>2052</v>
      </c>
      <c r="E482" s="706" t="s">
        <v>1139</v>
      </c>
      <c r="F482" s="706" t="s">
        <v>1135</v>
      </c>
      <c r="G482" s="706">
        <v>0</v>
      </c>
      <c r="H482" s="706">
        <v>0</v>
      </c>
      <c r="I482" s="706">
        <v>195</v>
      </c>
      <c r="J482" s="706">
        <v>195</v>
      </c>
      <c r="K482" s="706">
        <v>195</v>
      </c>
      <c r="L482" s="706">
        <v>195</v>
      </c>
      <c r="M482" s="706">
        <v>195</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G30010</v>
      </c>
      <c r="AK482" s="905" t="str">
        <f t="shared" si="49"/>
        <v>CLAIMS G.M. DU AUX CLIENT</v>
      </c>
      <c r="AL482" s="905">
        <f>IFERROR(INDEX(G482:R482,1,MATCH(Parametres!$B$3,G$1:R$1,0)-1)*IF(OR(F482="L",F482="S",F482="I"),-1,1),"")</f>
        <v>-195</v>
      </c>
      <c r="AM482" s="905">
        <f t="shared" si="44"/>
        <v>0</v>
      </c>
      <c r="AN482" s="905">
        <f>INDEX(G482:R482,1,MATCH(Parametres!$B$3,G$1:R$1,0))*IF(OR(F482="L",F482="S",F482="I"),-1,1)</f>
        <v>-195</v>
      </c>
      <c r="AO482" s="487" t="str">
        <f>+VLOOKUP($AJ482,Data_Validation!$A:$D,1,0)</f>
        <v>G30010</v>
      </c>
      <c r="AP482" s="487" t="str">
        <f>+VLOOKUP($AJ482,Data_Validation!$A:$D,3,0)</f>
        <v>Bilan</v>
      </c>
      <c r="AQ482" s="487" t="str">
        <f>+VLOOKUP($AJ482,Data_Validation!$A:$D,4,0)</f>
        <v>Autres Comptes à Payer</v>
      </c>
      <c r="AR482" s="487" t="s">
        <v>299</v>
      </c>
      <c r="AS482" s="487">
        <f>+VLOOKUP($AJ482,Data_Validation!$A:$E,5,0)</f>
        <v>0</v>
      </c>
      <c r="AT482" s="904" t="str">
        <f t="shared" si="45"/>
        <v>G30010</v>
      </c>
      <c r="AU482" s="488" t="str">
        <f t="shared" si="46"/>
        <v>CLAIMS G.M. DU AUX CLIENT</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customHeight="1">
      <c r="A483" s="706" t="s">
        <v>1148</v>
      </c>
      <c r="B483" s="706">
        <v>2026</v>
      </c>
      <c r="C483" s="706" t="s">
        <v>2053</v>
      </c>
      <c r="D483" s="706" t="s">
        <v>2054</v>
      </c>
      <c r="E483" s="706" t="s">
        <v>1139</v>
      </c>
      <c r="F483" s="706" t="s">
        <v>1135</v>
      </c>
      <c r="G483" s="706">
        <v>41747.69</v>
      </c>
      <c r="H483" s="706">
        <v>14473.42</v>
      </c>
      <c r="I483" s="706">
        <v>16879</v>
      </c>
      <c r="J483" s="706">
        <v>-836.15</v>
      </c>
      <c r="K483" s="706">
        <v>12556.56</v>
      </c>
      <c r="L483" s="706">
        <v>24569</v>
      </c>
      <c r="M483" s="706">
        <v>-193</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G30020</v>
      </c>
      <c r="AK483" s="905" t="str">
        <f t="shared" si="49"/>
        <v>PLAN PROTECTION A PAYER</v>
      </c>
      <c r="AL483" s="905">
        <f>IFERROR(INDEX(G483:R483,1,MATCH(Parametres!$B$3,G$1:R$1,0)-1)*IF(OR(F483="L",F483="S",F483="I"),-1,1),"")</f>
        <v>-12556.56</v>
      </c>
      <c r="AM483" s="905">
        <f t="shared" si="44"/>
        <v>-12012.44</v>
      </c>
      <c r="AN483" s="905">
        <f>INDEX(G483:R483,1,MATCH(Parametres!$B$3,G$1:R$1,0))*IF(OR(F483="L",F483="S",F483="I"),-1,1)</f>
        <v>-24569</v>
      </c>
      <c r="AO483" s="487" t="str">
        <f>+VLOOKUP($AJ483,Data_Validation!$A:$D,1,0)</f>
        <v>G30020</v>
      </c>
      <c r="AP483" s="487" t="str">
        <f>+VLOOKUP($AJ483,Data_Validation!$A:$D,3,0)</f>
        <v>Bilan</v>
      </c>
      <c r="AQ483" s="487" t="str">
        <f>+VLOOKUP($AJ483,Data_Validation!$A:$D,4,0)</f>
        <v>Autres Comptes à Payer</v>
      </c>
      <c r="AR483" s="487" t="s">
        <v>299</v>
      </c>
      <c r="AS483" s="487">
        <f>+VLOOKUP($AJ483,Data_Validation!$A:$E,5,0)</f>
        <v>0</v>
      </c>
      <c r="AT483" s="904" t="str">
        <f t="shared" si="45"/>
        <v>G30020</v>
      </c>
      <c r="AU483" s="488" t="str">
        <f t="shared" si="46"/>
        <v>PLAN PROTECTION A PAYER</v>
      </c>
      <c r="AV483" s="899">
        <f>IFERROR(INDEX(V483:AG483,1,MATCH(Parametres!$B$3,V$1:AG$1,0)-1)*IF(OR(C483="L",C483="S",C483="I"),-1,1),"")</f>
        <v>0</v>
      </c>
      <c r="AW483" s="899">
        <f t="shared" si="47"/>
        <v>0</v>
      </c>
      <c r="AX483" s="899">
        <f>INDEX(V483:AG483,1,MATCH(Parametres!$B$3,V$1:AG$1,0))*IF(OR(C483="L",C483="S",C483="I"),-1,1)</f>
        <v>0</v>
      </c>
      <c r="AY483" s="487" t="s">
        <v>337</v>
      </c>
      <c r="AZ483" s="487">
        <f>+VLOOKUP($AJ483,Data_Validation!$A:$E,5,0)</f>
        <v>0</v>
      </c>
    </row>
    <row r="484" spans="1:52" ht="15" customHeight="1">
      <c r="A484" s="706" t="s">
        <v>1148</v>
      </c>
      <c r="B484" s="706">
        <v>2026</v>
      </c>
      <c r="C484" s="706" t="s">
        <v>2055</v>
      </c>
      <c r="D484" s="706" t="s">
        <v>2056</v>
      </c>
      <c r="E484" s="706" t="s">
        <v>333</v>
      </c>
      <c r="F484" s="706" t="s">
        <v>1135</v>
      </c>
      <c r="G484" s="706">
        <v>1633.5</v>
      </c>
      <c r="H484" s="706">
        <v>2146.5</v>
      </c>
      <c r="I484" s="706">
        <v>1795.5</v>
      </c>
      <c r="J484" s="706">
        <v>2093</v>
      </c>
      <c r="K484" s="706">
        <v>2628</v>
      </c>
      <c r="L484" s="706">
        <v>1629</v>
      </c>
      <c r="M484" s="706">
        <v>1899</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G30030</v>
      </c>
      <c r="AK484" s="905" t="str">
        <f t="shared" si="49"/>
        <v>DROIT SPECIF. SUR PNEUS</v>
      </c>
      <c r="AL484" s="905">
        <f>IFERROR(INDEX(G484:R484,1,MATCH(Parametres!$B$3,G$1:R$1,0)-1)*IF(OR(F484="L",F484="S",F484="I"),-1,1),"")</f>
        <v>-2628</v>
      </c>
      <c r="AM484" s="905">
        <f t="shared" si="44"/>
        <v>999</v>
      </c>
      <c r="AN484" s="905">
        <f>INDEX(G484:R484,1,MATCH(Parametres!$B$3,G$1:R$1,0))*IF(OR(F484="L",F484="S",F484="I"),-1,1)</f>
        <v>-1629</v>
      </c>
      <c r="AO484" s="487" t="str">
        <f>+VLOOKUP($AJ484,Data_Validation!$A:$D,1,0)</f>
        <v>G30030</v>
      </c>
      <c r="AP484" s="487" t="str">
        <f>+VLOOKUP($AJ484,Data_Validation!$A:$D,3,0)</f>
        <v>Bilan</v>
      </c>
      <c r="AQ484" s="487" t="str">
        <f>+VLOOKUP($AJ484,Data_Validation!$A:$D,4,0)</f>
        <v>Taxes de Vente à Payer</v>
      </c>
      <c r="AR484" s="487" t="s">
        <v>299</v>
      </c>
      <c r="AS484" s="487">
        <f>+VLOOKUP($AJ484,Data_Validation!$A:$E,5,0)</f>
        <v>0</v>
      </c>
      <c r="AT484" s="904" t="str">
        <f t="shared" si="45"/>
        <v>G30030</v>
      </c>
      <c r="AU484" s="488" t="str">
        <f t="shared" si="46"/>
        <v>DROIT SPECIF. SUR PNEUS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customHeight="1">
      <c r="A485" s="706" t="s">
        <v>1148</v>
      </c>
      <c r="B485" s="706">
        <v>2026</v>
      </c>
      <c r="C485" s="706" t="s">
        <v>3303</v>
      </c>
      <c r="D485" s="706" t="s">
        <v>3304</v>
      </c>
      <c r="E485" s="706" t="s">
        <v>336</v>
      </c>
      <c r="F485" s="706" t="s">
        <v>1135</v>
      </c>
      <c r="G485" s="706">
        <v>0</v>
      </c>
      <c r="H485" s="706">
        <v>0</v>
      </c>
      <c r="I485" s="706">
        <v>0</v>
      </c>
      <c r="J485" s="706">
        <v>0</v>
      </c>
      <c r="K485" s="706">
        <v>0</v>
      </c>
      <c r="L485" s="706">
        <v>0</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G30035</v>
      </c>
      <c r="AK485" s="905" t="str">
        <f t="shared" si="49"/>
        <v>AP VEH BMW SHERBROOKE</v>
      </c>
      <c r="AL485" s="905">
        <f>IFERROR(INDEX(G485:R485,1,MATCH(Parametres!$B$3,G$1:R$1,0)-1)*IF(OR(F485="L",F485="S",F485="I"),-1,1),"")</f>
        <v>0</v>
      </c>
      <c r="AM485" s="905">
        <f t="shared" si="44"/>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t="str">
        <f t="shared" si="45"/>
        <v>G30035</v>
      </c>
      <c r="AU485" s="488" t="str">
        <f t="shared" si="46"/>
        <v>AP VEH BMW SHERBROOKE</v>
      </c>
      <c r="AV485" s="899">
        <f>IFERROR(INDEX(V485:AG485,1,MATCH(Parametres!$B$3,V$1:AG$1,0)-1)*IF(OR(C485="L",C485="S",C485="I"),-1,1),"")</f>
        <v>0</v>
      </c>
      <c r="AW485" s="899">
        <f t="shared" si="47"/>
        <v>0</v>
      </c>
      <c r="AX485" s="899">
        <f>INDEX(V485:AG485,1,MATCH(Parametres!$B$3,V$1:AG$1,0))*IF(OR(C485="L",C485="S",C485="I"),-1,1)</f>
        <v>0</v>
      </c>
      <c r="AY485" s="487" t="s">
        <v>337</v>
      </c>
      <c r="AZ485" s="487" t="e">
        <f>+VLOOKUP($AJ485,Data_Validation!$A:$E,5,0)</f>
        <v>#N/A</v>
      </c>
    </row>
    <row r="486" spans="1:52" ht="15" customHeight="1">
      <c r="A486" s="706" t="s">
        <v>1148</v>
      </c>
      <c r="B486" s="706">
        <v>2026</v>
      </c>
      <c r="C486" s="706" t="s">
        <v>2057</v>
      </c>
      <c r="D486" s="706" t="s">
        <v>2058</v>
      </c>
      <c r="E486" s="706" t="s">
        <v>333</v>
      </c>
      <c r="F486" s="706" t="s">
        <v>1135</v>
      </c>
      <c r="G486" s="706">
        <v>44500</v>
      </c>
      <c r="H486" s="706">
        <v>44500</v>
      </c>
      <c r="I486" s="706">
        <v>44500</v>
      </c>
      <c r="J486" s="706">
        <v>44500</v>
      </c>
      <c r="K486" s="706">
        <v>44500</v>
      </c>
      <c r="L486" s="706">
        <v>44500</v>
      </c>
      <c r="M486" s="706">
        <v>44500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G30040</v>
      </c>
      <c r="AK486" s="905" t="str">
        <f t="shared" si="49"/>
        <v>AVANCE REMARK. AUTO CANAD</v>
      </c>
      <c r="AL486" s="905">
        <f>IFERROR(INDEX(G486:R486,1,MATCH(Parametres!$B$3,G$1:R$1,0)-1)*IF(OR(F486="L",F486="S",F486="I"),-1,1),"")</f>
        <v>-44500</v>
      </c>
      <c r="AM486" s="905">
        <f t="shared" si="44"/>
        <v>0</v>
      </c>
      <c r="AN486" s="905">
        <f>INDEX(G486:R486,1,MATCH(Parametres!$B$3,G$1:R$1,0))*IF(OR(F486="L",F486="S",F486="I"),-1,1)</f>
        <v>-44500</v>
      </c>
      <c r="AO486" s="487" t="str">
        <f>+VLOOKUP($AJ486,Data_Validation!$A:$D,1,0)</f>
        <v>G30040</v>
      </c>
      <c r="AP486" s="487" t="str">
        <f>+VLOOKUP($AJ486,Data_Validation!$A:$D,3,0)</f>
        <v>Bilan</v>
      </c>
      <c r="AQ486" s="487" t="str">
        <f>+VLOOKUP($AJ486,Data_Validation!$A:$D,4,0)</f>
        <v>Payables Intercos</v>
      </c>
      <c r="AR486" s="487" t="s">
        <v>299</v>
      </c>
      <c r="AS486" s="487">
        <f>+VLOOKUP($AJ486,Data_Validation!$A:$E,5,0)</f>
        <v>0</v>
      </c>
      <c r="AT486" s="904" t="str">
        <f t="shared" si="45"/>
        <v>G30040</v>
      </c>
      <c r="AU486" s="488" t="str">
        <f t="shared" si="46"/>
        <v>AVANCE REMARK. AUTO CANAD</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customHeight="1">
      <c r="A487" s="706" t="s">
        <v>1148</v>
      </c>
      <c r="B487" s="706">
        <v>2026</v>
      </c>
      <c r="C487" s="706" t="s">
        <v>3305</v>
      </c>
      <c r="D487" s="706" t="s">
        <v>3306</v>
      </c>
      <c r="E487" s="706" t="s">
        <v>336</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G30041</v>
      </c>
      <c r="AK487" s="905" t="str">
        <f t="shared" si="49"/>
        <v>AP VEH LOCATION LMB</v>
      </c>
      <c r="AL487" s="905">
        <f>IFERROR(INDEX(G487:R487,1,MATCH(Parametres!$B$3,G$1:R$1,0)-1)*IF(OR(F487="L",F487="S",F487="I"),-1,1),"")</f>
        <v>0</v>
      </c>
      <c r="AM487" s="905">
        <f t="shared" si="44"/>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t="str">
        <f t="shared" si="45"/>
        <v>G30041</v>
      </c>
      <c r="AU487" s="488" t="str">
        <f t="shared" si="46"/>
        <v>AP VEH LOCATION LMB</v>
      </c>
      <c r="AV487" s="899">
        <f>IFERROR(INDEX(V487:AG487,1,MATCH(Parametres!$B$3,V$1:AG$1,0)-1)*IF(OR(C487="L",C487="S",C487="I"),-1,1),"")</f>
        <v>0</v>
      </c>
      <c r="AW487" s="899">
        <f t="shared" si="47"/>
        <v>0</v>
      </c>
      <c r="AX487" s="899">
        <f>INDEX(V487:AG487,1,MATCH(Parametres!$B$3,V$1:AG$1,0))*IF(OR(C487="L",C487="S",C487="I"),-1,1)</f>
        <v>0</v>
      </c>
      <c r="AY487" s="487" t="s">
        <v>337</v>
      </c>
      <c r="AZ487" s="487" t="e">
        <f>+VLOOKUP($AJ487,Data_Validation!$A:$E,5,0)</f>
        <v>#N/A</v>
      </c>
    </row>
    <row r="488" spans="1:52" ht="15" customHeight="1">
      <c r="A488" s="706" t="s">
        <v>1148</v>
      </c>
      <c r="B488" s="706">
        <v>2026</v>
      </c>
      <c r="C488" s="706" t="s">
        <v>2059</v>
      </c>
      <c r="D488" s="706" t="s">
        <v>2060</v>
      </c>
      <c r="E488" s="706" t="s">
        <v>333</v>
      </c>
      <c r="F488" s="706" t="s">
        <v>1135</v>
      </c>
      <c r="G488" s="706">
        <v>3562</v>
      </c>
      <c r="H488" s="706">
        <v>3562</v>
      </c>
      <c r="I488" s="706">
        <v>3562</v>
      </c>
      <c r="J488" s="706">
        <v>3562</v>
      </c>
      <c r="K488" s="706">
        <v>3562</v>
      </c>
      <c r="L488" s="706">
        <v>3562</v>
      </c>
      <c r="M488" s="706">
        <v>3562</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G30045</v>
      </c>
      <c r="AK488" s="905" t="str">
        <f t="shared" si="49"/>
        <v>AVANCE 9046-6640 QC INC</v>
      </c>
      <c r="AL488" s="905">
        <f>IFERROR(INDEX(G488:R488,1,MATCH(Parametres!$B$3,G$1:R$1,0)-1)*IF(OR(F488="L",F488="S",F488="I"),-1,1),"")</f>
        <v>-3562</v>
      </c>
      <c r="AM488" s="905">
        <f t="shared" si="44"/>
        <v>0</v>
      </c>
      <c r="AN488" s="905">
        <f>INDEX(G488:R488,1,MATCH(Parametres!$B$3,G$1:R$1,0))*IF(OR(F488="L",F488="S",F488="I"),-1,1)</f>
        <v>-3562</v>
      </c>
      <c r="AO488" s="487" t="str">
        <f>+VLOOKUP($AJ488,Data_Validation!$A:$D,1,0)</f>
        <v>G30045</v>
      </c>
      <c r="AP488" s="487" t="str">
        <f>+VLOOKUP($AJ488,Data_Validation!$A:$D,3,0)</f>
        <v>Bilan</v>
      </c>
      <c r="AQ488" s="487" t="str">
        <f>+VLOOKUP($AJ488,Data_Validation!$A:$D,4,0)</f>
        <v>Payables Intercos</v>
      </c>
      <c r="AR488" s="487" t="s">
        <v>299</v>
      </c>
      <c r="AS488" s="487">
        <f>+VLOOKUP($AJ488,Data_Validation!$A:$E,5,0)</f>
        <v>0</v>
      </c>
      <c r="AT488" s="904" t="str">
        <f t="shared" si="45"/>
        <v>G30045</v>
      </c>
      <c r="AU488" s="488" t="str">
        <f t="shared" si="46"/>
        <v>AVANCE 9046-6640 QC INC</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customHeight="1">
      <c r="A489" s="706" t="s">
        <v>1148</v>
      </c>
      <c r="B489" s="706">
        <v>2026</v>
      </c>
      <c r="C489" s="706" t="s">
        <v>2061</v>
      </c>
      <c r="D489" s="706" t="s">
        <v>2062</v>
      </c>
      <c r="E489" s="706" t="s">
        <v>333</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G30046</v>
      </c>
      <c r="AK489" s="905" t="str">
        <f t="shared" si="49"/>
        <v>AVANCE HYUNDAI ST-CONSTAN</v>
      </c>
      <c r="AL489" s="905">
        <f>IFERROR(INDEX(G489:R489,1,MATCH(Parametres!$B$3,G$1:R$1,0)-1)*IF(OR(F489="L",F489="S",F489="I"),-1,1),"")</f>
        <v>0</v>
      </c>
      <c r="AM489" s="905">
        <f t="shared" si="44"/>
        <v>0</v>
      </c>
      <c r="AN489" s="905">
        <f>INDEX(G489:R489,1,MATCH(Parametres!$B$3,G$1:R$1,0))*IF(OR(F489="L",F489="S",F489="I"),-1,1)</f>
        <v>0</v>
      </c>
      <c r="AO489" s="487" t="str">
        <f>+VLOOKUP($AJ489,Data_Validation!$A:$D,1,0)</f>
        <v>G30046</v>
      </c>
      <c r="AP489" s="487" t="str">
        <f>+VLOOKUP($AJ489,Data_Validation!$A:$D,3,0)</f>
        <v>Bilan</v>
      </c>
      <c r="AQ489" s="487" t="str">
        <f>+VLOOKUP($AJ489,Data_Validation!$A:$D,4,0)</f>
        <v>Payables Intercos</v>
      </c>
      <c r="AR489" s="487" t="s">
        <v>299</v>
      </c>
      <c r="AS489" s="487">
        <f>+VLOOKUP($AJ489,Data_Validation!$A:$E,5,0)</f>
        <v>0</v>
      </c>
      <c r="AT489" s="904" t="str">
        <f t="shared" si="45"/>
        <v>G30046</v>
      </c>
      <c r="AU489" s="488" t="str">
        <f t="shared" si="46"/>
        <v>AVANCE HYUNDAI ST-CONSTAN</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customHeight="1">
      <c r="A490" s="706" t="s">
        <v>1148</v>
      </c>
      <c r="B490" s="706">
        <v>2026</v>
      </c>
      <c r="C490" s="706" t="s">
        <v>2063</v>
      </c>
      <c r="D490" s="706" t="s">
        <v>2064</v>
      </c>
      <c r="E490" s="706" t="s">
        <v>333</v>
      </c>
      <c r="F490" s="706" t="s">
        <v>1135</v>
      </c>
      <c r="G490" s="706">
        <v>0</v>
      </c>
      <c r="H490" s="706">
        <v>0</v>
      </c>
      <c r="I490" s="706">
        <v>0</v>
      </c>
      <c r="J490" s="706">
        <v>0</v>
      </c>
      <c r="K490" s="706">
        <v>0</v>
      </c>
      <c r="L490" s="706">
        <v>0</v>
      </c>
      <c r="M490" s="706">
        <v>0</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G30047</v>
      </c>
      <c r="AK490" s="905" t="str">
        <f t="shared" si="49"/>
        <v>AVANCE - PAUL LOISELLE</v>
      </c>
      <c r="AL490" s="905">
        <f>IFERROR(INDEX(G490:R490,1,MATCH(Parametres!$B$3,G$1:R$1,0)-1)*IF(OR(F490="L",F490="S",F490="I"),-1,1),"")</f>
        <v>0</v>
      </c>
      <c r="AM490" s="905">
        <f t="shared" si="44"/>
        <v>0</v>
      </c>
      <c r="AN490" s="905">
        <f>INDEX(G490:R490,1,MATCH(Parametres!$B$3,G$1:R$1,0))*IF(OR(F490="L",F490="S",F490="I"),-1,1)</f>
        <v>0</v>
      </c>
      <c r="AO490" s="487" t="str">
        <f>+VLOOKUP($AJ490,Data_Validation!$A:$D,1,0)</f>
        <v>G30047</v>
      </c>
      <c r="AP490" s="487" t="str">
        <f>+VLOOKUP($AJ490,Data_Validation!$A:$D,3,0)</f>
        <v>Bilan</v>
      </c>
      <c r="AQ490" s="487" t="str">
        <f>+VLOOKUP($AJ490,Data_Validation!$A:$D,4,0)</f>
        <v>Payables Intercos</v>
      </c>
      <c r="AR490" s="487" t="s">
        <v>299</v>
      </c>
      <c r="AS490" s="487">
        <f>+VLOOKUP($AJ490,Data_Validation!$A:$E,5,0)</f>
        <v>0</v>
      </c>
      <c r="AT490" s="904" t="str">
        <f t="shared" si="45"/>
        <v>G30047</v>
      </c>
      <c r="AU490" s="488" t="str">
        <f t="shared" si="46"/>
        <v>AVANCE - PAUL LOISELLE</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customHeight="1">
      <c r="A491" s="706" t="s">
        <v>1148</v>
      </c>
      <c r="B491" s="706">
        <v>2026</v>
      </c>
      <c r="C491" s="706" t="s">
        <v>2065</v>
      </c>
      <c r="D491" s="706" t="s">
        <v>2066</v>
      </c>
      <c r="E491" s="706" t="s">
        <v>333</v>
      </c>
      <c r="F491" s="706" t="s">
        <v>1135</v>
      </c>
      <c r="G491" s="706">
        <v>0</v>
      </c>
      <c r="H491" s="706">
        <v>0</v>
      </c>
      <c r="I491" s="706">
        <v>0</v>
      </c>
      <c r="J491" s="706">
        <v>0</v>
      </c>
      <c r="K491" s="706">
        <v>0</v>
      </c>
      <c r="L491" s="706">
        <v>0</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G30048</v>
      </c>
      <c r="AK491" s="905" t="str">
        <f t="shared" si="49"/>
        <v>AVANCE LUC POIRIER</v>
      </c>
      <c r="AL491" s="905">
        <f>IFERROR(INDEX(G491:R491,1,MATCH(Parametres!$B$3,G$1:R$1,0)-1)*IF(OR(F491="L",F491="S",F491="I"),-1,1),"")</f>
        <v>0</v>
      </c>
      <c r="AM491" s="905">
        <f t="shared" si="44"/>
        <v>0</v>
      </c>
      <c r="AN491" s="905">
        <f>INDEX(G491:R491,1,MATCH(Parametres!$B$3,G$1:R$1,0))*IF(OR(F491="L",F491="S",F491="I"),-1,1)</f>
        <v>0</v>
      </c>
      <c r="AO491" s="487" t="str">
        <f>+VLOOKUP($AJ491,Data_Validation!$A:$D,1,0)</f>
        <v>G30048</v>
      </c>
      <c r="AP491" s="487">
        <f>+VLOOKUP($AJ491,Data_Validation!$A:$D,3,0)</f>
        <v>0</v>
      </c>
      <c r="AQ491" s="487">
        <f>+VLOOKUP($AJ491,Data_Validation!$A:$D,4,0)</f>
        <v>0</v>
      </c>
      <c r="AR491" s="487" t="s">
        <v>299</v>
      </c>
      <c r="AS491" s="487">
        <f>+VLOOKUP($AJ491,Data_Validation!$A:$E,5,0)</f>
        <v>0</v>
      </c>
      <c r="AT491" s="904" t="str">
        <f t="shared" si="45"/>
        <v>G30048</v>
      </c>
      <c r="AU491" s="488" t="str">
        <f t="shared" si="46"/>
        <v>AVANCE LUC POIRIER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customHeight="1">
      <c r="A492" s="706" t="s">
        <v>1148</v>
      </c>
      <c r="B492" s="706">
        <v>2026</v>
      </c>
      <c r="C492" s="706" t="s">
        <v>2067</v>
      </c>
      <c r="D492" s="706" t="s">
        <v>2068</v>
      </c>
      <c r="E492" s="706" t="s">
        <v>333</v>
      </c>
      <c r="F492" s="706" t="s">
        <v>1135</v>
      </c>
      <c r="G492" s="706">
        <v>0</v>
      </c>
      <c r="H492" s="706">
        <v>0</v>
      </c>
      <c r="I492" s="706">
        <v>991</v>
      </c>
      <c r="J492" s="706">
        <v>991</v>
      </c>
      <c r="K492" s="706">
        <v>991</v>
      </c>
      <c r="L492" s="706">
        <v>991</v>
      </c>
      <c r="M492" s="706">
        <v>991</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G30050</v>
      </c>
      <c r="AK492" s="905" t="str">
        <f t="shared" si="49"/>
        <v>REVENUS DIFFERES</v>
      </c>
      <c r="AL492" s="905">
        <f>IFERROR(INDEX(G492:R492,1,MATCH(Parametres!$B$3,G$1:R$1,0)-1)*IF(OR(F492="L",F492="S",F492="I"),-1,1),"")</f>
        <v>-991</v>
      </c>
      <c r="AM492" s="905">
        <f t="shared" si="44"/>
        <v>0</v>
      </c>
      <c r="AN492" s="905">
        <f>INDEX(G492:R492,1,MATCH(Parametres!$B$3,G$1:R$1,0))*IF(OR(F492="L",F492="S",F492="I"),-1,1)</f>
        <v>-991</v>
      </c>
      <c r="AO492" s="487" t="str">
        <f>+VLOOKUP($AJ492,Data_Validation!$A:$D,1,0)</f>
        <v>G30050</v>
      </c>
      <c r="AP492" s="487" t="str">
        <f>+VLOOKUP($AJ492,Data_Validation!$A:$D,3,0)</f>
        <v>Bilan</v>
      </c>
      <c r="AQ492" s="487" t="str">
        <f>+VLOOKUP($AJ492,Data_Validation!$A:$D,4,0)</f>
        <v>Autres Courus</v>
      </c>
      <c r="AR492" s="487" t="s">
        <v>299</v>
      </c>
      <c r="AS492" s="487">
        <f>+VLOOKUP($AJ492,Data_Validation!$A:$E,5,0)</f>
        <v>0</v>
      </c>
      <c r="AT492" s="904" t="str">
        <f t="shared" si="45"/>
        <v>G30050</v>
      </c>
      <c r="AU492" s="488" t="str">
        <f t="shared" si="46"/>
        <v>REVENUS DIFFERES</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customHeight="1">
      <c r="A493" s="706" t="s">
        <v>1148</v>
      </c>
      <c r="B493" s="706">
        <v>2026</v>
      </c>
      <c r="C493" s="706" t="s">
        <v>2069</v>
      </c>
      <c r="D493" s="706" t="s">
        <v>2070</v>
      </c>
      <c r="E493" s="706" t="s">
        <v>1141</v>
      </c>
      <c r="F493" s="706" t="s">
        <v>1135</v>
      </c>
      <c r="G493" s="706">
        <v>289413.49</v>
      </c>
      <c r="H493" s="706">
        <v>363152.12</v>
      </c>
      <c r="I493" s="706">
        <v>480330.18</v>
      </c>
      <c r="J493" s="706">
        <v>469909.63</v>
      </c>
      <c r="K493" s="706">
        <v>549896.92000000004</v>
      </c>
      <c r="L493" s="706">
        <v>611748.11</v>
      </c>
      <c r="M493" s="706">
        <v>591347.05000000005</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G30051</v>
      </c>
      <c r="AK493" s="905" t="str">
        <f t="shared" si="49"/>
        <v>REVENUS DIFFERÉS II</v>
      </c>
      <c r="AL493" s="905">
        <f>IFERROR(INDEX(G493:R493,1,MATCH(Parametres!$B$3,G$1:R$1,0)-1)*IF(OR(F493="L",F493="S",F493="I"),-1,1),"")</f>
        <v>-549896.92000000004</v>
      </c>
      <c r="AM493" s="905">
        <f t="shared" si="44"/>
        <v>-61851.189999999944</v>
      </c>
      <c r="AN493" s="905">
        <f>INDEX(G493:R493,1,MATCH(Parametres!$B$3,G$1:R$1,0))*IF(OR(F493="L",F493="S",F493="I"),-1,1)</f>
        <v>-611748.11</v>
      </c>
      <c r="AO493" s="487" t="str">
        <f>+VLOOKUP($AJ493,Data_Validation!$A:$D,1,0)</f>
        <v>G30051</v>
      </c>
      <c r="AP493" s="487" t="str">
        <f>+VLOOKUP($AJ493,Data_Validation!$A:$D,3,0)</f>
        <v>Bilan</v>
      </c>
      <c r="AQ493" s="487" t="str">
        <f>+VLOOKUP($AJ493,Data_Validation!$A:$D,4,0)</f>
        <v>Autres Courus</v>
      </c>
      <c r="AR493" s="487" t="s">
        <v>299</v>
      </c>
      <c r="AS493" s="487">
        <f>+VLOOKUP($AJ493,Data_Validation!$A:$E,5,0)</f>
        <v>0</v>
      </c>
      <c r="AT493" s="904" t="str">
        <f t="shared" si="45"/>
        <v>G30051</v>
      </c>
      <c r="AU493" s="488" t="str">
        <f t="shared" si="46"/>
        <v>REVENUS DIFFERÉS II</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customHeight="1">
      <c r="A494" s="706" t="s">
        <v>1148</v>
      </c>
      <c r="B494" s="706">
        <v>2026</v>
      </c>
      <c r="C494" s="706" t="s">
        <v>2071</v>
      </c>
      <c r="D494" s="706" t="s">
        <v>2072</v>
      </c>
      <c r="E494" s="706" t="s">
        <v>333</v>
      </c>
      <c r="F494" s="706" t="s">
        <v>1135</v>
      </c>
      <c r="G494" s="706">
        <v>185658.82</v>
      </c>
      <c r="H494" s="706">
        <v>143527.18</v>
      </c>
      <c r="I494" s="706">
        <v>-83147.490000000005</v>
      </c>
      <c r="J494" s="706">
        <v>37749.65</v>
      </c>
      <c r="K494" s="706">
        <v>54764.9</v>
      </c>
      <c r="L494" s="706">
        <v>-112099.49</v>
      </c>
      <c r="M494" s="706">
        <v>-112099.49</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G30055</v>
      </c>
      <c r="AK494" s="905" t="str">
        <f t="shared" si="49"/>
        <v>RESERVE US-GAMMA</v>
      </c>
      <c r="AL494" s="905">
        <f>IFERROR(INDEX(G494:R494,1,MATCH(Parametres!$B$3,G$1:R$1,0)-1)*IF(OR(F494="L",F494="S",F494="I"),-1,1),"")</f>
        <v>-54764.9</v>
      </c>
      <c r="AM494" s="905">
        <f t="shared" si="44"/>
        <v>166864.39000000001</v>
      </c>
      <c r="AN494" s="905">
        <f>INDEX(G494:R494,1,MATCH(Parametres!$B$3,G$1:R$1,0))*IF(OR(F494="L",F494="S",F494="I"),-1,1)</f>
        <v>112099.49</v>
      </c>
      <c r="AO494" s="487" t="str">
        <f>+VLOOKUP($AJ494,Data_Validation!$A:$D,1,0)</f>
        <v>G30055</v>
      </c>
      <c r="AP494" s="487" t="str">
        <f>+VLOOKUP($AJ494,Data_Validation!$A:$D,3,0)</f>
        <v>Bilan</v>
      </c>
      <c r="AQ494" s="487" t="str">
        <f>+VLOOKUP($AJ494,Data_Validation!$A:$D,4,0)</f>
        <v>Autres Courus</v>
      </c>
      <c r="AR494" s="487" t="s">
        <v>299</v>
      </c>
      <c r="AS494" s="487">
        <f>+VLOOKUP($AJ494,Data_Validation!$A:$E,5,0)</f>
        <v>0</v>
      </c>
      <c r="AT494" s="904" t="str">
        <f t="shared" si="45"/>
        <v>G30055</v>
      </c>
      <c r="AU494" s="488" t="str">
        <f t="shared" si="46"/>
        <v>RESERVE US-GAMMA</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customHeight="1">
      <c r="A495" s="706" t="s">
        <v>1148</v>
      </c>
      <c r="B495" s="706">
        <v>2026</v>
      </c>
      <c r="C495" s="706" t="s">
        <v>2073</v>
      </c>
      <c r="D495" s="706" t="s">
        <v>2074</v>
      </c>
      <c r="E495" s="706" t="s">
        <v>333</v>
      </c>
      <c r="F495" s="706" t="s">
        <v>1135</v>
      </c>
      <c r="G495" s="706">
        <v>2000000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G30070</v>
      </c>
      <c r="AK495" s="905" t="str">
        <f t="shared" si="49"/>
        <v>AVANCES HAWKSBERY CHEV</v>
      </c>
      <c r="AL495" s="905">
        <f>IFERROR(INDEX(G495:R495,1,MATCH(Parametres!$B$3,G$1:R$1,0)-1)*IF(OR(F495="L",F495="S",F495="I"),-1,1),"")</f>
        <v>0</v>
      </c>
      <c r="AM495" s="905">
        <f t="shared" si="44"/>
        <v>0</v>
      </c>
      <c r="AN495" s="905">
        <f>INDEX(G495:R495,1,MATCH(Parametres!$B$3,G$1:R$1,0))*IF(OR(F495="L",F495="S",F495="I"),-1,1)</f>
        <v>0</v>
      </c>
      <c r="AO495" s="487" t="str">
        <f>+VLOOKUP($AJ495,Data_Validation!$A:$D,1,0)</f>
        <v>G30070</v>
      </c>
      <c r="AP495" s="487" t="str">
        <f>+VLOOKUP($AJ495,Data_Validation!$A:$D,3,0)</f>
        <v>Bilan</v>
      </c>
      <c r="AQ495" s="487" t="str">
        <f>+VLOOKUP($AJ495,Data_Validation!$A:$D,4,0)</f>
        <v>Payables Intercos</v>
      </c>
      <c r="AR495" s="487" t="s">
        <v>299</v>
      </c>
      <c r="AS495" s="487">
        <f>+VLOOKUP($AJ495,Data_Validation!$A:$E,5,0)</f>
        <v>0</v>
      </c>
      <c r="AT495" s="904" t="str">
        <f t="shared" si="45"/>
        <v>G30070</v>
      </c>
      <c r="AU495" s="488" t="str">
        <f t="shared" si="46"/>
        <v>AVANCES HAWKSBERY CHEV</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customHeight="1">
      <c r="A496" s="706" t="s">
        <v>1148</v>
      </c>
      <c r="B496" s="706">
        <v>2026</v>
      </c>
      <c r="C496" s="706" t="s">
        <v>2075</v>
      </c>
      <c r="D496" s="706" t="s">
        <v>2076</v>
      </c>
      <c r="E496" s="706" t="s">
        <v>333</v>
      </c>
      <c r="F496" s="706" t="s">
        <v>1135</v>
      </c>
      <c r="G496" s="706">
        <v>-3367687.77</v>
      </c>
      <c r="H496" s="706">
        <v>-3367687.77</v>
      </c>
      <c r="I496" s="706">
        <v>-3317687.77</v>
      </c>
      <c r="J496" s="706">
        <v>-3317687.77</v>
      </c>
      <c r="K496" s="706">
        <v>-3317687.77</v>
      </c>
      <c r="L496" s="706">
        <v>-4117687.77</v>
      </c>
      <c r="M496" s="706">
        <v>-4117687.77</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G30080</v>
      </c>
      <c r="AK496" s="905" t="str">
        <f t="shared" si="49"/>
        <v>AVANCES 13721515 CANADA I</v>
      </c>
      <c r="AL496" s="905">
        <f>IFERROR(INDEX(G496:R496,1,MATCH(Parametres!$B$3,G$1:R$1,0)-1)*IF(OR(F496="L",F496="S",F496="I"),-1,1),"")</f>
        <v>3317687.77</v>
      </c>
      <c r="AM496" s="905">
        <f t="shared" si="44"/>
        <v>800000</v>
      </c>
      <c r="AN496" s="905">
        <f>INDEX(G496:R496,1,MATCH(Parametres!$B$3,G$1:R$1,0))*IF(OR(F496="L",F496="S",F496="I"),-1,1)</f>
        <v>4117687.77</v>
      </c>
      <c r="AO496" s="487" t="str">
        <f>+VLOOKUP($AJ496,Data_Validation!$A:$D,1,0)</f>
        <v>G30080</v>
      </c>
      <c r="AP496" s="487" t="str">
        <f>+VLOOKUP($AJ496,Data_Validation!$A:$D,3,0)</f>
        <v>Bilan</v>
      </c>
      <c r="AQ496" s="487" t="str">
        <f>+VLOOKUP($AJ496,Data_Validation!$A:$D,4,0)</f>
        <v>Payables Intercos</v>
      </c>
      <c r="AR496" s="487" t="s">
        <v>299</v>
      </c>
      <c r="AS496" s="487">
        <f>+VLOOKUP($AJ496,Data_Validation!$A:$E,5,0)</f>
        <v>0</v>
      </c>
      <c r="AT496" s="904" t="str">
        <f t="shared" si="45"/>
        <v>G30080</v>
      </c>
      <c r="AU496" s="488" t="str">
        <f t="shared" si="46"/>
        <v>AVANCES 13721515 CANADA I</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customHeight="1">
      <c r="A497" s="706" t="s">
        <v>1148</v>
      </c>
      <c r="B497" s="706">
        <v>2026</v>
      </c>
      <c r="C497" s="706" t="s">
        <v>2077</v>
      </c>
      <c r="D497" s="706" t="s">
        <v>2078</v>
      </c>
      <c r="E497" s="706" t="s">
        <v>333</v>
      </c>
      <c r="F497" s="706" t="s">
        <v>1135</v>
      </c>
      <c r="G497" s="706">
        <v>181477.75</v>
      </c>
      <c r="H497" s="706">
        <v>181477.75</v>
      </c>
      <c r="I497" s="706">
        <v>180282.01</v>
      </c>
      <c r="J497" s="706">
        <v>180282.01</v>
      </c>
      <c r="K497" s="706">
        <v>180282.01</v>
      </c>
      <c r="L497" s="706">
        <v>180282.01</v>
      </c>
      <c r="M497" s="706">
        <v>180282.01</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G30090</v>
      </c>
      <c r="AK497" s="905" t="str">
        <f t="shared" si="49"/>
        <v>AVANCES 9512-1703 QC</v>
      </c>
      <c r="AL497" s="905">
        <f>IFERROR(INDEX(G497:R497,1,MATCH(Parametres!$B$3,G$1:R$1,0)-1)*IF(OR(F497="L",F497="S",F497="I"),-1,1),"")</f>
        <v>-180282.01</v>
      </c>
      <c r="AM497" s="905">
        <f t="shared" si="44"/>
        <v>0</v>
      </c>
      <c r="AN497" s="905">
        <f>INDEX(G497:R497,1,MATCH(Parametres!$B$3,G$1:R$1,0))*IF(OR(F497="L",F497="S",F497="I"),-1,1)</f>
        <v>-180282.01</v>
      </c>
      <c r="AO497" s="487" t="str">
        <f>+VLOOKUP($AJ497,Data_Validation!$A:$D,1,0)</f>
        <v>G30090</v>
      </c>
      <c r="AP497" s="487" t="str">
        <f>+VLOOKUP($AJ497,Data_Validation!$A:$D,3,0)</f>
        <v>Bilan</v>
      </c>
      <c r="AQ497" s="487" t="str">
        <f>+VLOOKUP($AJ497,Data_Validation!$A:$D,4,0)</f>
        <v>Payables Intercos</v>
      </c>
      <c r="AR497" s="487" t="s">
        <v>299</v>
      </c>
      <c r="AS497" s="487">
        <f>+VLOOKUP($AJ497,Data_Validation!$A:$E,5,0)</f>
        <v>0</v>
      </c>
      <c r="AT497" s="904" t="str">
        <f t="shared" si="45"/>
        <v>G30090</v>
      </c>
      <c r="AU497" s="488" t="str">
        <f t="shared" si="46"/>
        <v>AVANCES 9512-1703 QC</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customHeight="1">
      <c r="A498" s="706" t="s">
        <v>1148</v>
      </c>
      <c r="B498" s="706">
        <v>2026</v>
      </c>
      <c r="C498" s="706" t="s">
        <v>2079</v>
      </c>
      <c r="D498" s="706" t="s">
        <v>2080</v>
      </c>
      <c r="E498" s="706" t="s">
        <v>333</v>
      </c>
      <c r="F498" s="706" t="s">
        <v>1135</v>
      </c>
      <c r="G498" s="706">
        <v>0</v>
      </c>
      <c r="H498" s="706">
        <v>0</v>
      </c>
      <c r="I498" s="706">
        <v>4936149</v>
      </c>
      <c r="J498" s="706">
        <v>4904017</v>
      </c>
      <c r="K498" s="706">
        <v>4871744</v>
      </c>
      <c r="L498" s="706">
        <v>4839332</v>
      </c>
      <c r="M498" s="706">
        <v>4839332</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G30095</v>
      </c>
      <c r="AK498" s="905" t="str">
        <f t="shared" si="49"/>
        <v>PRET BANQUE TD</v>
      </c>
      <c r="AL498" s="905">
        <f>IFERROR(INDEX(G498:R498,1,MATCH(Parametres!$B$3,G$1:R$1,0)-1)*IF(OR(F498="L",F498="S",F498="I"),-1,1),"")</f>
        <v>-4871744</v>
      </c>
      <c r="AM498" s="905">
        <f t="shared" si="44"/>
        <v>32412</v>
      </c>
      <c r="AN498" s="905">
        <f>INDEX(G498:R498,1,MATCH(Parametres!$B$3,G$1:R$1,0))*IF(OR(F498="L",F498="S",F498="I"),-1,1)</f>
        <v>-4839332</v>
      </c>
      <c r="AO498" s="487" t="str">
        <f>+VLOOKUP($AJ498,Data_Validation!$A:$D,1,0)</f>
        <v>G30095</v>
      </c>
      <c r="AP498" s="487" t="str">
        <f>+VLOOKUP($AJ498,Data_Validation!$A:$D,3,0)</f>
        <v>Bilan</v>
      </c>
      <c r="AQ498" s="487" t="str">
        <f>+VLOOKUP($AJ498,Data_Validation!$A:$D,4,0)</f>
        <v>Dette à Long terme</v>
      </c>
      <c r="AR498" s="487" t="s">
        <v>299</v>
      </c>
      <c r="AS498" s="487">
        <f>+VLOOKUP($AJ498,Data_Validation!$A:$E,5,0)</f>
        <v>0</v>
      </c>
      <c r="AT498" s="904" t="str">
        <f t="shared" si="45"/>
        <v>G30095</v>
      </c>
      <c r="AU498" s="488" t="str">
        <f t="shared" si="46"/>
        <v>PRET BANQUE TD</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customHeight="1">
      <c r="A499" s="706" t="s">
        <v>1148</v>
      </c>
      <c r="B499" s="706">
        <v>2026</v>
      </c>
      <c r="C499" s="706" t="s">
        <v>2081</v>
      </c>
      <c r="D499" s="706" t="s">
        <v>2082</v>
      </c>
      <c r="E499" s="706" t="s">
        <v>1142</v>
      </c>
      <c r="F499" s="706" t="s">
        <v>1135</v>
      </c>
      <c r="G499" s="706">
        <v>0</v>
      </c>
      <c r="H499" s="706">
        <v>0</v>
      </c>
      <c r="I499" s="706">
        <v>0</v>
      </c>
      <c r="J499" s="706">
        <v>0</v>
      </c>
      <c r="K499" s="706">
        <v>0</v>
      </c>
      <c r="L499" s="706">
        <v>0</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G30100</v>
      </c>
      <c r="AK499" s="905" t="str">
        <f t="shared" si="49"/>
        <v>DEPOT CLIENTS</v>
      </c>
      <c r="AL499" s="905">
        <f>IFERROR(INDEX(G499:R499,1,MATCH(Parametres!$B$3,G$1:R$1,0)-1)*IF(OR(F499="L",F499="S",F499="I"),-1,1),"")</f>
        <v>0</v>
      </c>
      <c r="AM499" s="905">
        <f t="shared" si="44"/>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t="str">
        <f t="shared" si="45"/>
        <v>G30100</v>
      </c>
      <c r="AU499" s="488" t="str">
        <f t="shared" si="46"/>
        <v>DEPOT CLIENTS</v>
      </c>
      <c r="AV499" s="899">
        <f>IFERROR(INDEX(V499:AG499,1,MATCH(Parametres!$B$3,V$1:AG$1,0)-1)*IF(OR(C499="L",C499="S",C499="I"),-1,1),"")</f>
        <v>0</v>
      </c>
      <c r="AW499" s="899">
        <f t="shared" si="47"/>
        <v>0</v>
      </c>
      <c r="AX499" s="899">
        <f>INDEX(V499:AG499,1,MATCH(Parametres!$B$3,V$1:AG$1,0))*IF(OR(C499="L",C499="S",C499="I"),-1,1)</f>
        <v>0</v>
      </c>
      <c r="AY499" s="487" t="s">
        <v>337</v>
      </c>
      <c r="AZ499" s="487" t="e">
        <f>+VLOOKUP($AJ499,Data_Validation!$A:$E,5,0)</f>
        <v>#N/A</v>
      </c>
    </row>
    <row r="500" spans="1:52" ht="15" customHeight="1">
      <c r="A500" s="706" t="s">
        <v>1148</v>
      </c>
      <c r="B500" s="706">
        <v>2026</v>
      </c>
      <c r="C500" s="706" t="s">
        <v>2083</v>
      </c>
      <c r="D500" s="706" t="s">
        <v>2082</v>
      </c>
      <c r="E500" s="706" t="s">
        <v>1142</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G30300</v>
      </c>
      <c r="AK500" s="905" t="str">
        <f t="shared" si="49"/>
        <v>DEPOT CLIENTS</v>
      </c>
      <c r="AL500" s="905">
        <f>IFERROR(INDEX(G500:R500,1,MATCH(Parametres!$B$3,G$1:R$1,0)-1)*IF(OR(F500="L",F500="S",F500="I"),-1,1),"")</f>
        <v>0</v>
      </c>
      <c r="AM500" s="905">
        <f t="shared" si="44"/>
        <v>0</v>
      </c>
      <c r="AN500" s="905">
        <f>INDEX(G500:R500,1,MATCH(Parametres!$B$3,G$1:R$1,0))*IF(OR(F500="L",F500="S",F500="I"),-1,1)</f>
        <v>0</v>
      </c>
      <c r="AO500" s="487" t="str">
        <f>+VLOOKUP($AJ500,Data_Validation!$A:$D,1,0)</f>
        <v>G30300</v>
      </c>
      <c r="AP500" s="487" t="str">
        <f>+VLOOKUP($AJ500,Data_Validation!$A:$D,3,0)</f>
        <v>Bilan</v>
      </c>
      <c r="AQ500" s="487" t="str">
        <f>+VLOOKUP($AJ500,Data_Validation!$A:$D,4,0)</f>
        <v>Dépôts de Client</v>
      </c>
      <c r="AR500" s="487" t="s">
        <v>299</v>
      </c>
      <c r="AS500" s="487">
        <f>+VLOOKUP($AJ500,Data_Validation!$A:$E,5,0)</f>
        <v>0</v>
      </c>
      <c r="AT500" s="904" t="str">
        <f t="shared" si="45"/>
        <v>G30300</v>
      </c>
      <c r="AU500" s="488" t="str">
        <f t="shared" si="46"/>
        <v>DEPOT CLIENTS</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customHeight="1">
      <c r="A501" s="706" t="s">
        <v>1148</v>
      </c>
      <c r="B501" s="706">
        <v>2026</v>
      </c>
      <c r="C501" s="706" t="s">
        <v>2084</v>
      </c>
      <c r="D501" s="706" t="s">
        <v>2085</v>
      </c>
      <c r="E501" s="706" t="s">
        <v>1145</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G30900</v>
      </c>
      <c r="AK501" s="905" t="str">
        <f t="shared" si="49"/>
        <v>EFFETS A PAYER POINDS MOY</v>
      </c>
      <c r="AL501" s="905">
        <f>IFERROR(INDEX(G501:R501,1,MATCH(Parametres!$B$3,G$1:R$1,0)-1)*IF(OR(F501="L",F501="S",F501="I"),-1,1),"")</f>
        <v>0</v>
      </c>
      <c r="AM501" s="905">
        <f t="shared" si="44"/>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t="str">
        <f t="shared" si="45"/>
        <v>G30900</v>
      </c>
      <c r="AU501" s="488" t="str">
        <f t="shared" si="46"/>
        <v>EFFETS A PAYER POINDS MOY</v>
      </c>
      <c r="AV501" s="899">
        <f>IFERROR(INDEX(V501:AG501,1,MATCH(Parametres!$B$3,V$1:AG$1,0)-1)*IF(OR(C501="L",C501="S",C501="I"),-1,1),"")</f>
        <v>0</v>
      </c>
      <c r="AW501" s="899">
        <f t="shared" si="47"/>
        <v>0</v>
      </c>
      <c r="AX501" s="899">
        <f>INDEX(V501:AG501,1,MATCH(Parametres!$B$3,V$1:AG$1,0))*IF(OR(C501="L",C501="S",C501="I"),-1,1)</f>
        <v>0</v>
      </c>
      <c r="AY501" s="487" t="s">
        <v>337</v>
      </c>
      <c r="AZ501" s="487" t="e">
        <f>+VLOOKUP($AJ501,Data_Validation!$A:$E,5,0)</f>
        <v>#N/A</v>
      </c>
    </row>
    <row r="502" spans="1:52" ht="15" customHeight="1">
      <c r="A502" s="706" t="s">
        <v>1148</v>
      </c>
      <c r="B502" s="706">
        <v>2026</v>
      </c>
      <c r="C502" s="706" t="s">
        <v>2086</v>
      </c>
      <c r="D502" s="706" t="s">
        <v>2087</v>
      </c>
      <c r="E502" s="706" t="s">
        <v>1145</v>
      </c>
      <c r="F502" s="706" t="s">
        <v>1135</v>
      </c>
      <c r="G502" s="706">
        <v>35475226.490000002</v>
      </c>
      <c r="H502" s="706">
        <v>33617704.479999997</v>
      </c>
      <c r="I502" s="706">
        <v>38478809.700000003</v>
      </c>
      <c r="J502" s="706">
        <v>30592851.460000001</v>
      </c>
      <c r="K502" s="706">
        <v>31086026.609999999</v>
      </c>
      <c r="L502" s="706">
        <v>23163491.899999999</v>
      </c>
      <c r="M502" s="706">
        <v>20432203.969999999</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G31000</v>
      </c>
      <c r="AK502" s="905" t="str">
        <f t="shared" si="49"/>
        <v>EFFETS A PAYER VEHICULES</v>
      </c>
      <c r="AL502" s="905">
        <f>IFERROR(INDEX(G502:R502,1,MATCH(Parametres!$B$3,G$1:R$1,0)-1)*IF(OR(F502="L",F502="S",F502="I"),-1,1),"")</f>
        <v>-31086026.609999999</v>
      </c>
      <c r="AM502" s="905">
        <f t="shared" si="44"/>
        <v>7922534.7100000009</v>
      </c>
      <c r="AN502" s="905">
        <f>INDEX(G502:R502,1,MATCH(Parametres!$B$3,G$1:R$1,0))*IF(OR(F502="L",F502="S",F502="I"),-1,1)</f>
        <v>-23163491.899999999</v>
      </c>
      <c r="AO502" s="487" t="str">
        <f>+VLOOKUP($AJ502,Data_Validation!$A:$D,1,0)</f>
        <v>G31000</v>
      </c>
      <c r="AP502" s="487" t="str">
        <f>+VLOOKUP($AJ502,Data_Validation!$A:$D,3,0)</f>
        <v>Bilan</v>
      </c>
      <c r="AQ502" s="487" t="str">
        <f>+VLOOKUP($AJ502,Data_Validation!$A:$D,4,0)</f>
        <v>Effet à Payer Véhicules Neufs</v>
      </c>
      <c r="AR502" s="487" t="s">
        <v>299</v>
      </c>
      <c r="AS502" s="487">
        <f>+VLOOKUP($AJ502,Data_Validation!$A:$E,5,0)</f>
        <v>0</v>
      </c>
      <c r="AT502" s="904" t="str">
        <f t="shared" si="45"/>
        <v>G31000</v>
      </c>
      <c r="AU502" s="488" t="str">
        <f t="shared" si="46"/>
        <v>EFFETS A PAYER VEHICULES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customHeight="1">
      <c r="A503" s="706" t="s">
        <v>1148</v>
      </c>
      <c r="B503" s="706">
        <v>2026</v>
      </c>
      <c r="C503" s="706" t="s">
        <v>2088</v>
      </c>
      <c r="D503" s="706" t="s">
        <v>2089</v>
      </c>
      <c r="E503" s="706" t="s">
        <v>1145</v>
      </c>
      <c r="F503" s="706" t="s">
        <v>1135</v>
      </c>
      <c r="G503" s="706">
        <v>22521503.649999999</v>
      </c>
      <c r="H503" s="706">
        <v>18148455.949999999</v>
      </c>
      <c r="I503" s="706">
        <v>19683759.649999999</v>
      </c>
      <c r="J503" s="706">
        <v>18909452.829999998</v>
      </c>
      <c r="K503" s="706">
        <v>16711712.949999999</v>
      </c>
      <c r="L503" s="706">
        <v>10228910.720000001</v>
      </c>
      <c r="M503" s="706">
        <v>11635030.699999999</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G31100</v>
      </c>
      <c r="AK503" s="905" t="str">
        <f t="shared" si="49"/>
        <v>EFFETS PAYER VEH. OCC.</v>
      </c>
      <c r="AL503" s="905">
        <f>IFERROR(INDEX(G503:R503,1,MATCH(Parametres!$B$3,G$1:R$1,0)-1)*IF(OR(F503="L",F503="S",F503="I"),-1,1),"")</f>
        <v>-16711712.949999999</v>
      </c>
      <c r="AM503" s="905">
        <f t="shared" si="44"/>
        <v>6482802.2299999986</v>
      </c>
      <c r="AN503" s="905">
        <f>INDEX(G503:R503,1,MATCH(Parametres!$B$3,G$1:R$1,0))*IF(OR(F503="L",F503="S",F503="I"),-1,1)</f>
        <v>-10228910.720000001</v>
      </c>
      <c r="AO503" s="487" t="str">
        <f>+VLOOKUP($AJ503,Data_Validation!$A:$D,1,0)</f>
        <v>G31100</v>
      </c>
      <c r="AP503" s="487" t="str">
        <f>+VLOOKUP($AJ503,Data_Validation!$A:$D,3,0)</f>
        <v>Bilan</v>
      </c>
      <c r="AQ503" s="487" t="str">
        <f>+VLOOKUP($AJ503,Data_Validation!$A:$D,4,0)</f>
        <v>Effet à Payer Véhicules Usagés</v>
      </c>
      <c r="AR503" s="487" t="s">
        <v>299</v>
      </c>
      <c r="AS503" s="487">
        <f>+VLOOKUP($AJ503,Data_Validation!$A:$E,5,0)</f>
        <v>0</v>
      </c>
      <c r="AT503" s="904" t="str">
        <f t="shared" si="45"/>
        <v>G31100</v>
      </c>
      <c r="AU503" s="488" t="str">
        <f t="shared" si="46"/>
        <v>EFFETS PAYER VEH. OCC.</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customHeight="1">
      <c r="A504" s="706" t="s">
        <v>1148</v>
      </c>
      <c r="B504" s="706">
        <v>2026</v>
      </c>
      <c r="C504" s="706" t="s">
        <v>2090</v>
      </c>
      <c r="D504" s="706" t="s">
        <v>2091</v>
      </c>
      <c r="E504" s="706" t="s">
        <v>1145</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G31200</v>
      </c>
      <c r="AK504" s="905" t="str">
        <f t="shared" si="49"/>
        <v>A/P VEHICULES LOCATIONS</v>
      </c>
      <c r="AL504" s="905">
        <f>IFERROR(INDEX(G504:R504,1,MATCH(Parametres!$B$3,G$1:R$1,0)-1)*IF(OR(F504="L",F504="S",F504="I"),-1,1),"")</f>
        <v>0</v>
      </c>
      <c r="AM504" s="905">
        <f t="shared" si="44"/>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t="str">
        <f t="shared" si="45"/>
        <v>G31200</v>
      </c>
      <c r="AU504" s="488" t="str">
        <f t="shared" si="46"/>
        <v>A/P VEHICULES LOCATIONS</v>
      </c>
      <c r="AV504" s="899">
        <f>IFERROR(INDEX(V504:AG504,1,MATCH(Parametres!$B$3,V$1:AG$1,0)-1)*IF(OR(C504="L",C504="S",C504="I"),-1,1),"")</f>
        <v>0</v>
      </c>
      <c r="AW504" s="899">
        <f t="shared" si="47"/>
        <v>0</v>
      </c>
      <c r="AX504" s="899">
        <f>INDEX(V504:AG504,1,MATCH(Parametres!$B$3,V$1:AG$1,0))*IF(OR(C504="L",C504="S",C504="I"),-1,1)</f>
        <v>0</v>
      </c>
      <c r="AY504" s="487" t="s">
        <v>337</v>
      </c>
      <c r="AZ504" s="487" t="e">
        <f>+VLOOKUP($AJ504,Data_Validation!$A:$E,5,0)</f>
        <v>#N/A</v>
      </c>
    </row>
    <row r="505" spans="1:52" ht="15" customHeight="1">
      <c r="A505" s="706" t="s">
        <v>1148</v>
      </c>
      <c r="B505" s="706">
        <v>2026</v>
      </c>
      <c r="C505" s="706" t="s">
        <v>2092</v>
      </c>
      <c r="D505" s="706" t="s">
        <v>1144</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G31400</v>
      </c>
      <c r="AK505" s="905" t="str">
        <f t="shared" si="49"/>
        <v>MARGE DE CREDIT</v>
      </c>
      <c r="AL505" s="905">
        <f>IFERROR(INDEX(G505:R505,1,MATCH(Parametres!$B$3,G$1:R$1,0)-1)*IF(OR(F505="L",F505="S",F505="I"),-1,1),"")</f>
        <v>0</v>
      </c>
      <c r="AM505" s="905">
        <f t="shared" si="44"/>
        <v>0</v>
      </c>
      <c r="AN505" s="905">
        <f>INDEX(G505:R505,1,MATCH(Parametres!$B$3,G$1:R$1,0))*IF(OR(F505="L",F505="S",F505="I"),-1,1)</f>
        <v>0</v>
      </c>
      <c r="AO505" s="487" t="str">
        <f>+VLOOKUP($AJ505,Data_Validation!$A:$D,1,0)</f>
        <v>G31400</v>
      </c>
      <c r="AP505" s="487">
        <f>+VLOOKUP($AJ505,Data_Validation!$A:$D,3,0)</f>
        <v>0</v>
      </c>
      <c r="AQ505" s="487">
        <f>+VLOOKUP($AJ505,Data_Validation!$A:$D,4,0)</f>
        <v>0</v>
      </c>
      <c r="AR505" s="487" t="s">
        <v>299</v>
      </c>
      <c r="AS505" s="487">
        <f>+VLOOKUP($AJ505,Data_Validation!$A:$E,5,0)</f>
        <v>0</v>
      </c>
      <c r="AT505" s="904" t="str">
        <f t="shared" si="45"/>
        <v>G31400</v>
      </c>
      <c r="AU505" s="488" t="str">
        <f t="shared" si="46"/>
        <v>MARGE DE CREDIT</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customHeight="1">
      <c r="A506" s="706" t="s">
        <v>1148</v>
      </c>
      <c r="B506" s="706">
        <v>2026</v>
      </c>
      <c r="C506" s="706" t="s">
        <v>2093</v>
      </c>
      <c r="D506" s="706" t="s">
        <v>2094</v>
      </c>
      <c r="E506" s="706" t="s">
        <v>333</v>
      </c>
      <c r="F506" s="706" t="s">
        <v>1135</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G31500</v>
      </c>
      <c r="AK506" s="905" t="str">
        <f t="shared" si="49"/>
        <v>T.P.S. PAYABLE</v>
      </c>
      <c r="AL506" s="905">
        <f>IFERROR(INDEX(G506:R506,1,MATCH(Parametres!$B$3,G$1:R$1,0)-1)*IF(OR(F506="L",F506="S",F506="I"),-1,1),"")</f>
        <v>0</v>
      </c>
      <c r="AM506" s="905">
        <f t="shared" si="44"/>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t="str">
        <f t="shared" si="45"/>
        <v>G31500</v>
      </c>
      <c r="AU506" s="488" t="str">
        <f t="shared" si="46"/>
        <v>T.P.S. PAYABLE</v>
      </c>
      <c r="AV506" s="899">
        <f>IFERROR(INDEX(V506:AG506,1,MATCH(Parametres!$B$3,V$1:AG$1,0)-1)*IF(OR(C506="L",C506="S",C506="I"),-1,1),"")</f>
        <v>0</v>
      </c>
      <c r="AW506" s="899">
        <f t="shared" si="47"/>
        <v>0</v>
      </c>
      <c r="AX506" s="899">
        <f>INDEX(V506:AG506,1,MATCH(Parametres!$B$3,V$1:AG$1,0))*IF(OR(C506="L",C506="S",C506="I"),-1,1)</f>
        <v>0</v>
      </c>
      <c r="AY506" s="487" t="s">
        <v>337</v>
      </c>
      <c r="AZ506" s="487" t="e">
        <f>+VLOOKUP($AJ506,Data_Validation!$A:$E,5,0)</f>
        <v>#N/A</v>
      </c>
    </row>
    <row r="507" spans="1:52" ht="15" customHeight="1">
      <c r="A507" s="706" t="s">
        <v>1148</v>
      </c>
      <c r="B507" s="706">
        <v>2026</v>
      </c>
      <c r="C507" s="706" t="s">
        <v>2095</v>
      </c>
      <c r="D507" s="706" t="s">
        <v>2096</v>
      </c>
      <c r="E507" s="706" t="s">
        <v>333</v>
      </c>
      <c r="F507" s="706" t="s">
        <v>1135</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G32000</v>
      </c>
      <c r="AK507" s="905" t="str">
        <f t="shared" si="49"/>
        <v>INTERETS A/P</v>
      </c>
      <c r="AL507" s="905">
        <f>IFERROR(INDEX(G507:R507,1,MATCH(Parametres!$B$3,G$1:R$1,0)-1)*IF(OR(F507="L",F507="S",F507="I"),-1,1),"")</f>
        <v>0</v>
      </c>
      <c r="AM507" s="905">
        <f t="shared" si="44"/>
        <v>0</v>
      </c>
      <c r="AN507" s="905">
        <f>INDEX(G507:R507,1,MATCH(Parametres!$B$3,G$1:R$1,0))*IF(OR(F507="L",F507="S",F507="I"),-1,1)</f>
        <v>0</v>
      </c>
      <c r="AO507" s="487" t="str">
        <f>+VLOOKUP($AJ507,Data_Validation!$A:$D,1,0)</f>
        <v>G32000</v>
      </c>
      <c r="AP507" s="487">
        <f>+VLOOKUP($AJ507,Data_Validation!$A:$D,3,0)</f>
        <v>0</v>
      </c>
      <c r="AQ507" s="487">
        <f>+VLOOKUP($AJ507,Data_Validation!$A:$D,4,0)</f>
        <v>0</v>
      </c>
      <c r="AR507" s="487" t="s">
        <v>299</v>
      </c>
      <c r="AS507" s="487">
        <f>+VLOOKUP($AJ507,Data_Validation!$A:$E,5,0)</f>
        <v>0</v>
      </c>
      <c r="AT507" s="904" t="str">
        <f t="shared" si="45"/>
        <v>G32000</v>
      </c>
      <c r="AU507" s="488" t="str">
        <f t="shared" si="46"/>
        <v>INTERETS A/P</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customHeight="1">
      <c r="A508" s="706" t="s">
        <v>1148</v>
      </c>
      <c r="B508" s="706">
        <v>2026</v>
      </c>
      <c r="C508" s="706" t="s">
        <v>2097</v>
      </c>
      <c r="D508" s="706" t="s">
        <v>2098</v>
      </c>
      <c r="E508" s="706" t="s">
        <v>333</v>
      </c>
      <c r="F508" s="706" t="s">
        <v>1135</v>
      </c>
      <c r="G508" s="706">
        <v>1062.8</v>
      </c>
      <c r="H508" s="706">
        <v>-3391.68</v>
      </c>
      <c r="I508" s="706">
        <v>-8059.88</v>
      </c>
      <c r="J508" s="706">
        <v>-13546.82</v>
      </c>
      <c r="K508" s="706">
        <v>-18067.68</v>
      </c>
      <c r="L508" s="706">
        <v>-25209.439999999999</v>
      </c>
      <c r="M508" s="706">
        <v>-37246.28</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G3210A</v>
      </c>
      <c r="AK508" s="905" t="str">
        <f t="shared" si="49"/>
        <v>ASS-COLLECTIVE A PAYER</v>
      </c>
      <c r="AL508" s="905">
        <f>IFERROR(INDEX(G508:R508,1,MATCH(Parametres!$B$3,G$1:R$1,0)-1)*IF(OR(F508="L",F508="S",F508="I"),-1,1),"")</f>
        <v>18067.68</v>
      </c>
      <c r="AM508" s="905">
        <f t="shared" si="44"/>
        <v>7141.7599999999984</v>
      </c>
      <c r="AN508" s="905">
        <f>INDEX(G508:R508,1,MATCH(Parametres!$B$3,G$1:R$1,0))*IF(OR(F508="L",F508="S",F508="I"),-1,1)</f>
        <v>25209.439999999999</v>
      </c>
      <c r="AO508" s="487" t="str">
        <f>+VLOOKUP($AJ508,Data_Validation!$A:$D,1,0)</f>
        <v>G3210A</v>
      </c>
      <c r="AP508" s="487" t="str">
        <f>+VLOOKUP($AJ508,Data_Validation!$A:$D,3,0)</f>
        <v>Bilan</v>
      </c>
      <c r="AQ508" s="487" t="str">
        <f>+VLOOKUP($AJ508,Data_Validation!$A:$D,4,0)</f>
        <v>DAS à Payer</v>
      </c>
      <c r="AR508" s="487" t="s">
        <v>299</v>
      </c>
      <c r="AS508" s="487">
        <f>+VLOOKUP($AJ508,Data_Validation!$A:$E,5,0)</f>
        <v>0</v>
      </c>
      <c r="AT508" s="904" t="str">
        <f t="shared" si="45"/>
        <v>G3210A</v>
      </c>
      <c r="AU508" s="488" t="str">
        <f t="shared" si="46"/>
        <v>ASS-COLLECTIVE A PAYER</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customHeight="1">
      <c r="A509" s="706" t="s">
        <v>1148</v>
      </c>
      <c r="B509" s="706">
        <v>2026</v>
      </c>
      <c r="C509" s="706" t="s">
        <v>2099</v>
      </c>
      <c r="D509" s="706" t="s">
        <v>2100</v>
      </c>
      <c r="E509" s="706" t="s">
        <v>333</v>
      </c>
      <c r="F509" s="706" t="s">
        <v>1135</v>
      </c>
      <c r="G509" s="706">
        <v>103371.93</v>
      </c>
      <c r="H509" s="706">
        <v>94570.17</v>
      </c>
      <c r="I509" s="706">
        <v>128176.38</v>
      </c>
      <c r="J509" s="706">
        <v>187289.28</v>
      </c>
      <c r="K509" s="706">
        <v>11018.44</v>
      </c>
      <c r="L509" s="706">
        <v>40919.129999999997</v>
      </c>
      <c r="M509" s="706">
        <v>40919.129999999997</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G32100</v>
      </c>
      <c r="AK509" s="905" t="str">
        <f t="shared" si="49"/>
        <v>SALAIRES &amp; COMM. A PAYER</v>
      </c>
      <c r="AL509" s="905">
        <f>IFERROR(INDEX(G509:R509,1,MATCH(Parametres!$B$3,G$1:R$1,0)-1)*IF(OR(F509="L",F509="S",F509="I"),-1,1),"")</f>
        <v>-11018.44</v>
      </c>
      <c r="AM509" s="905">
        <f t="shared" si="44"/>
        <v>-29900.689999999995</v>
      </c>
      <c r="AN509" s="905">
        <f>INDEX(G509:R509,1,MATCH(Parametres!$B$3,G$1:R$1,0))*IF(OR(F509="L",F509="S",F509="I"),-1,1)</f>
        <v>-40919.129999999997</v>
      </c>
      <c r="AO509" s="487" t="str">
        <f>+VLOOKUP($AJ509,Data_Validation!$A:$D,1,0)</f>
        <v>G32100</v>
      </c>
      <c r="AP509" s="487" t="str">
        <f>+VLOOKUP($AJ509,Data_Validation!$A:$D,3,0)</f>
        <v>Bilan</v>
      </c>
      <c r="AQ509" s="487" t="str">
        <f>+VLOOKUP($AJ509,Data_Validation!$A:$D,4,0)</f>
        <v>Salaires à Payer</v>
      </c>
      <c r="AR509" s="487" t="s">
        <v>299</v>
      </c>
      <c r="AS509" s="487">
        <f>+VLOOKUP($AJ509,Data_Validation!$A:$E,5,0)</f>
        <v>0</v>
      </c>
      <c r="AT509" s="904" t="str">
        <f t="shared" si="45"/>
        <v>G32100</v>
      </c>
      <c r="AU509" s="488" t="str">
        <f t="shared" si="46"/>
        <v>SALAIRES &amp; COMM. A PAYER</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customHeight="1">
      <c r="A510" s="706" t="s">
        <v>1148</v>
      </c>
      <c r="B510" s="706">
        <v>2026</v>
      </c>
      <c r="C510" s="706" t="s">
        <v>2101</v>
      </c>
      <c r="D510" s="706" t="s">
        <v>2102</v>
      </c>
      <c r="E510" s="706" t="s">
        <v>1146</v>
      </c>
      <c r="F510" s="706" t="s">
        <v>1135</v>
      </c>
      <c r="G510" s="706">
        <v>8276.27</v>
      </c>
      <c r="H510" s="706">
        <v>18492.98</v>
      </c>
      <c r="I510" s="706">
        <v>55868.2</v>
      </c>
      <c r="J510" s="706">
        <v>95443.83</v>
      </c>
      <c r="K510" s="706">
        <v>14169.42</v>
      </c>
      <c r="L510" s="706">
        <v>23654.52</v>
      </c>
      <c r="M510" s="706">
        <v>3772</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G32101</v>
      </c>
      <c r="AK510" s="905" t="str">
        <f t="shared" si="49"/>
        <v>COMMISSIONS A PAYER</v>
      </c>
      <c r="AL510" s="905">
        <f>IFERROR(INDEX(G510:R510,1,MATCH(Parametres!$B$3,G$1:R$1,0)-1)*IF(OR(F510="L",F510="S",F510="I"),-1,1),"")</f>
        <v>-14169.42</v>
      </c>
      <c r="AM510" s="905">
        <f t="shared" si="44"/>
        <v>-9485.1</v>
      </c>
      <c r="AN510" s="905">
        <f>INDEX(G510:R510,1,MATCH(Parametres!$B$3,G$1:R$1,0))*IF(OR(F510="L",F510="S",F510="I"),-1,1)</f>
        <v>-23654.52</v>
      </c>
      <c r="AO510" s="487" t="str">
        <f>+VLOOKUP($AJ510,Data_Validation!$A:$D,1,0)</f>
        <v>G32101</v>
      </c>
      <c r="AP510" s="487" t="str">
        <f>+VLOOKUP($AJ510,Data_Validation!$A:$D,3,0)</f>
        <v>Bilan</v>
      </c>
      <c r="AQ510" s="487" t="str">
        <f>+VLOOKUP($AJ510,Data_Validation!$A:$D,4,0)</f>
        <v>Salaires à Payer</v>
      </c>
      <c r="AR510" s="487" t="s">
        <v>299</v>
      </c>
      <c r="AS510" s="487">
        <f>+VLOOKUP($AJ510,Data_Validation!$A:$E,5,0)</f>
        <v>0</v>
      </c>
      <c r="AT510" s="904" t="str">
        <f t="shared" si="45"/>
        <v>G32101</v>
      </c>
      <c r="AU510" s="488" t="str">
        <f t="shared" si="46"/>
        <v>COMMISSIONS A PAYER</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customHeight="1">
      <c r="A511" s="706" t="s">
        <v>1148</v>
      </c>
      <c r="B511" s="706">
        <v>2026</v>
      </c>
      <c r="C511" s="706" t="s">
        <v>2103</v>
      </c>
      <c r="D511" s="706" t="s">
        <v>2104</v>
      </c>
      <c r="E511" s="706" t="s">
        <v>1104</v>
      </c>
      <c r="F511" s="706" t="s">
        <v>1135</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G32102</v>
      </c>
      <c r="AK511" s="905" t="str">
        <f t="shared" si="49"/>
        <v>SALAIRES A PAYER</v>
      </c>
      <c r="AL511" s="905">
        <f>IFERROR(INDEX(G511:R511,1,MATCH(Parametres!$B$3,G$1:R$1,0)-1)*IF(OR(F511="L",F511="S",F511="I"),-1,1),"")</f>
        <v>0</v>
      </c>
      <c r="AM511" s="905">
        <f t="shared" si="44"/>
        <v>0</v>
      </c>
      <c r="AN511" s="905">
        <f>INDEX(G511:R511,1,MATCH(Parametres!$B$3,G$1:R$1,0))*IF(OR(F511="L",F511="S",F511="I"),-1,1)</f>
        <v>0</v>
      </c>
      <c r="AO511" s="487" t="str">
        <f>+VLOOKUP($AJ511,Data_Validation!$A:$D,1,0)</f>
        <v>G32102</v>
      </c>
      <c r="AP511" s="487">
        <f>+VLOOKUP($AJ511,Data_Validation!$A:$D,3,0)</f>
        <v>0</v>
      </c>
      <c r="AQ511" s="487">
        <f>+VLOOKUP($AJ511,Data_Validation!$A:$D,4,0)</f>
        <v>0</v>
      </c>
      <c r="AR511" s="487" t="s">
        <v>299</v>
      </c>
      <c r="AS511" s="487">
        <f>+VLOOKUP($AJ511,Data_Validation!$A:$E,5,0)</f>
        <v>0</v>
      </c>
      <c r="AT511" s="904" t="str">
        <f t="shared" si="45"/>
        <v>G32102</v>
      </c>
      <c r="AU511" s="488" t="str">
        <f t="shared" si="46"/>
        <v>SALAIRES A PAYER</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customHeight="1">
      <c r="A512" s="706" t="s">
        <v>1148</v>
      </c>
      <c r="B512" s="706">
        <v>2026</v>
      </c>
      <c r="C512" s="706" t="s">
        <v>3255</v>
      </c>
      <c r="D512" s="706" t="s">
        <v>3256</v>
      </c>
      <c r="E512" s="706" t="s">
        <v>333</v>
      </c>
      <c r="F512" s="706" t="s">
        <v>1135</v>
      </c>
      <c r="G512" s="706">
        <v>0</v>
      </c>
      <c r="H512" s="706">
        <v>0</v>
      </c>
      <c r="I512" s="706">
        <v>0</v>
      </c>
      <c r="J512" s="706">
        <v>0</v>
      </c>
      <c r="K512" s="706">
        <v>0</v>
      </c>
      <c r="L512" s="706">
        <v>-637.96</v>
      </c>
      <c r="M512" s="706">
        <v>-681.46</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G32104</v>
      </c>
      <c r="AK512" s="905" t="str">
        <f t="shared" si="49"/>
        <v>COMPTES DE DEPENSES A/P</v>
      </c>
      <c r="AL512" s="905">
        <f>IFERROR(INDEX(G512:R512,1,MATCH(Parametres!$B$3,G$1:R$1,0)-1)*IF(OR(F512="L",F512="S",F512="I"),-1,1),"")</f>
        <v>0</v>
      </c>
      <c r="AM512" s="905">
        <f t="shared" si="44"/>
        <v>637.96</v>
      </c>
      <c r="AN512" s="905">
        <f>INDEX(G512:R512,1,MATCH(Parametres!$B$3,G$1:R$1,0))*IF(OR(F512="L",F512="S",F512="I"),-1,1)</f>
        <v>637.96</v>
      </c>
      <c r="AO512" s="487" t="str">
        <f>+VLOOKUP($AJ512,Data_Validation!$A:$D,1,0)</f>
        <v>G32104</v>
      </c>
      <c r="AP512" s="487" t="str">
        <f>+VLOOKUP($AJ512,Data_Validation!$A:$D,3,0)</f>
        <v>Bilan</v>
      </c>
      <c r="AQ512" s="487" t="str">
        <f>+VLOOKUP($AJ512,Data_Validation!$A:$D,4,0)</f>
        <v>DAS à Payer</v>
      </c>
      <c r="AR512" s="487" t="s">
        <v>299</v>
      </c>
      <c r="AS512" s="487">
        <f>+VLOOKUP($AJ512,Data_Validation!$A:$E,5,0)</f>
        <v>0</v>
      </c>
      <c r="AT512" s="904" t="str">
        <f t="shared" si="45"/>
        <v>G32104</v>
      </c>
      <c r="AU512" s="488" t="str">
        <f t="shared" si="46"/>
        <v>COMPTES DE DEPENSES A/P</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customHeight="1">
      <c r="A513" s="706" t="s">
        <v>1148</v>
      </c>
      <c r="B513" s="706">
        <v>2026</v>
      </c>
      <c r="C513" s="706" t="s">
        <v>2105</v>
      </c>
      <c r="D513" s="706" t="s">
        <v>2106</v>
      </c>
      <c r="E513" s="706" t="s">
        <v>333</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G32301</v>
      </c>
      <c r="AK513" s="905" t="str">
        <f t="shared" si="49"/>
        <v>REER COLLECTIF A PAYER</v>
      </c>
      <c r="AL513" s="905">
        <f>IFERROR(INDEX(G513:R513,1,MATCH(Parametres!$B$3,G$1:R$1,0)-1)*IF(OR(F513="L",F513="S",F513="I"),-1,1),"")</f>
        <v>0</v>
      </c>
      <c r="AM513" s="905">
        <f t="shared" si="44"/>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t="str">
        <f t="shared" si="45"/>
        <v>G32301</v>
      </c>
      <c r="AU513" s="488" t="str">
        <f t="shared" si="46"/>
        <v>REER COLLECTIF A PAYER</v>
      </c>
      <c r="AV513" s="899">
        <f>IFERROR(INDEX(V513:AG513,1,MATCH(Parametres!$B$3,V$1:AG$1,0)-1)*IF(OR(C513="L",C513="S",C513="I"),-1,1),"")</f>
        <v>0</v>
      </c>
      <c r="AW513" s="899">
        <f t="shared" si="47"/>
        <v>0</v>
      </c>
      <c r="AX513" s="899">
        <f>INDEX(V513:AG513,1,MATCH(Parametres!$B$3,V$1:AG$1,0))*IF(OR(C513="L",C513="S",C513="I"),-1,1)</f>
        <v>0</v>
      </c>
      <c r="AY513" s="487" t="s">
        <v>337</v>
      </c>
      <c r="AZ513" s="487" t="e">
        <f>+VLOOKUP($AJ513,Data_Validation!$A:$E,5,0)</f>
        <v>#N/A</v>
      </c>
    </row>
    <row r="514" spans="1:52" ht="15" customHeight="1">
      <c r="A514" s="706" t="s">
        <v>1148</v>
      </c>
      <c r="B514" s="706">
        <v>2026</v>
      </c>
      <c r="C514" s="706" t="s">
        <v>2107</v>
      </c>
      <c r="D514" s="706" t="s">
        <v>2108</v>
      </c>
      <c r="E514" s="706" t="s">
        <v>333</v>
      </c>
      <c r="F514" s="706" t="s">
        <v>1135</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G32302</v>
      </c>
      <c r="AK514" s="905" t="str">
        <f t="shared" si="49"/>
        <v>ASSURANCE CHOMAGE A PAYER</v>
      </c>
      <c r="AL514" s="905">
        <f>IFERROR(INDEX(G514:R514,1,MATCH(Parametres!$B$3,G$1:R$1,0)-1)*IF(OR(F514="L",F514="S",F514="I"),-1,1),"")</f>
        <v>0</v>
      </c>
      <c r="AM514" s="905">
        <f t="shared" si="44"/>
        <v>0</v>
      </c>
      <c r="AN514" s="905">
        <f>INDEX(G514:R514,1,MATCH(Parametres!$B$3,G$1:R$1,0))*IF(OR(F514="L",F514="S",F514="I"),-1,1)</f>
        <v>0</v>
      </c>
      <c r="AO514" s="487" t="str">
        <f>+VLOOKUP($AJ514,Data_Validation!$A:$D,1,0)</f>
        <v>G32302</v>
      </c>
      <c r="AP514" s="487">
        <f>+VLOOKUP($AJ514,Data_Validation!$A:$D,3,0)</f>
        <v>0</v>
      </c>
      <c r="AQ514" s="487">
        <f>+VLOOKUP($AJ514,Data_Validation!$A:$D,4,0)</f>
        <v>0</v>
      </c>
      <c r="AR514" s="487" t="s">
        <v>299</v>
      </c>
      <c r="AS514" s="487">
        <f>+VLOOKUP($AJ514,Data_Validation!$A:$E,5,0)</f>
        <v>0</v>
      </c>
      <c r="AT514" s="904" t="str">
        <f t="shared" si="45"/>
        <v>G32302</v>
      </c>
      <c r="AU514" s="488" t="str">
        <f t="shared" si="46"/>
        <v>ASSURANCE CHOMAGE A PAYER</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customHeight="1">
      <c r="A515" s="706" t="s">
        <v>1148</v>
      </c>
      <c r="B515" s="706">
        <v>2026</v>
      </c>
      <c r="C515" s="706" t="s">
        <v>2109</v>
      </c>
      <c r="D515" s="706" t="s">
        <v>2110</v>
      </c>
      <c r="E515" s="706" t="s">
        <v>333</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G32303</v>
      </c>
      <c r="AK515" s="905" t="str">
        <f t="shared" si="49"/>
        <v>DON CHARITE A PAYER CENTR</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G32303</v>
      </c>
      <c r="AU515" s="488" t="str">
        <f t="shared" si="46"/>
        <v>DON CHARITE A PAYER CENTR</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customHeight="1">
      <c r="A516" s="706" t="s">
        <v>1148</v>
      </c>
      <c r="B516" s="706">
        <v>2026</v>
      </c>
      <c r="C516" s="706" t="s">
        <v>2111</v>
      </c>
      <c r="D516" s="706" t="s">
        <v>2112</v>
      </c>
      <c r="E516" s="706" t="s">
        <v>333</v>
      </c>
      <c r="F516" s="706" t="s">
        <v>1135</v>
      </c>
      <c r="G516" s="706">
        <v>-373845.78</v>
      </c>
      <c r="H516" s="706">
        <v>-394845.78</v>
      </c>
      <c r="I516" s="706">
        <v>-767365.78</v>
      </c>
      <c r="J516" s="706">
        <v>-767365.78</v>
      </c>
      <c r="K516" s="706">
        <v>-767365.78</v>
      </c>
      <c r="L516" s="706">
        <v>-767365.78</v>
      </c>
      <c r="M516" s="706">
        <v>-767365.78</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G32304</v>
      </c>
      <c r="AK516" s="905" t="str">
        <f t="shared" si="49"/>
        <v>IMPOT FEDERAL A PAYER</v>
      </c>
      <c r="AL516" s="905">
        <f>IFERROR(INDEX(G516:R516,1,MATCH(Parametres!$B$3,G$1:R$1,0)-1)*IF(OR(F516="L",F516="S",F516="I"),-1,1),"")</f>
        <v>767365.78</v>
      </c>
      <c r="AM516" s="905">
        <f t="shared" ref="AM516:AM579" si="50">AN516-AL516</f>
        <v>0</v>
      </c>
      <c r="AN516" s="905">
        <f>INDEX(G516:R516,1,MATCH(Parametres!$B$3,G$1:R$1,0))*IF(OR(F516="L",F516="S",F516="I"),-1,1)</f>
        <v>767365.78</v>
      </c>
      <c r="AO516" s="487" t="str">
        <f>+VLOOKUP($AJ516,Data_Validation!$A:$D,1,0)</f>
        <v>G32304</v>
      </c>
      <c r="AP516" s="487" t="str">
        <f>+VLOOKUP($AJ516,Data_Validation!$A:$D,3,0)</f>
        <v>Bilan</v>
      </c>
      <c r="AQ516" s="487" t="str">
        <f>+VLOOKUP($AJ516,Data_Validation!$A:$D,4,0)</f>
        <v>Frais Payés d'Avance</v>
      </c>
      <c r="AR516" s="487" t="s">
        <v>299</v>
      </c>
      <c r="AS516" s="487">
        <f>+VLOOKUP($AJ516,Data_Validation!$A:$E,5,0)</f>
        <v>0</v>
      </c>
      <c r="AT516" s="904" t="str">
        <f t="shared" ref="AT516:AT579" si="51">C516</f>
        <v>G32304</v>
      </c>
      <c r="AU516" s="488" t="str">
        <f t="shared" ref="AU516:AU579" si="52">D516</f>
        <v>IMPOT FEDERAL A PAYER</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customHeight="1">
      <c r="A517" s="706" t="s">
        <v>1148</v>
      </c>
      <c r="B517" s="706">
        <v>2026</v>
      </c>
      <c r="C517" s="706" t="s">
        <v>2113</v>
      </c>
      <c r="D517" s="706" t="s">
        <v>2114</v>
      </c>
      <c r="E517" s="706" t="s">
        <v>333</v>
      </c>
      <c r="F517" s="706" t="s">
        <v>1135</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G32305</v>
      </c>
      <c r="AK517" s="905" t="str">
        <f t="shared" si="49"/>
        <v>REGIME ASS. MALADIE PAYER</v>
      </c>
      <c r="AL517" s="905">
        <f>IFERROR(INDEX(G517:R517,1,MATCH(Parametres!$B$3,G$1:R$1,0)-1)*IF(OR(F517="L",F517="S",F517="I"),-1,1),"")</f>
        <v>0</v>
      </c>
      <c r="AM517" s="905">
        <f t="shared" si="50"/>
        <v>0</v>
      </c>
      <c r="AN517" s="905">
        <f>INDEX(G517:R517,1,MATCH(Parametres!$B$3,G$1:R$1,0))*IF(OR(F517="L",F517="S",F517="I"),-1,1)</f>
        <v>0</v>
      </c>
      <c r="AO517" s="487" t="str">
        <f>+VLOOKUP($AJ517,Data_Validation!$A:$D,1,0)</f>
        <v>G32305</v>
      </c>
      <c r="AP517" s="487">
        <f>+VLOOKUP($AJ517,Data_Validation!$A:$D,3,0)</f>
        <v>0</v>
      </c>
      <c r="AQ517" s="487">
        <f>+VLOOKUP($AJ517,Data_Validation!$A:$D,4,0)</f>
        <v>0</v>
      </c>
      <c r="AR517" s="487" t="s">
        <v>299</v>
      </c>
      <c r="AS517" s="487">
        <f>+VLOOKUP($AJ517,Data_Validation!$A:$E,5,0)</f>
        <v>0</v>
      </c>
      <c r="AT517" s="904" t="str">
        <f t="shared" si="51"/>
        <v>G32305</v>
      </c>
      <c r="AU517" s="488" t="str">
        <f t="shared" si="52"/>
        <v>REGIME ASS. MALADIE PAYER</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customHeight="1">
      <c r="A518" s="706" t="s">
        <v>1148</v>
      </c>
      <c r="B518" s="706">
        <v>2026</v>
      </c>
      <c r="C518" s="706" t="s">
        <v>2115</v>
      </c>
      <c r="D518" s="706" t="s">
        <v>2116</v>
      </c>
      <c r="E518" s="706" t="s">
        <v>333</v>
      </c>
      <c r="F518" s="706" t="s">
        <v>1135</v>
      </c>
      <c r="G518" s="706">
        <v>-275879.24</v>
      </c>
      <c r="H518" s="706">
        <v>-297379.24</v>
      </c>
      <c r="I518" s="706">
        <v>-606735.24</v>
      </c>
      <c r="J518" s="706">
        <v>-606735.24</v>
      </c>
      <c r="K518" s="706">
        <v>-606735.24</v>
      </c>
      <c r="L518" s="706">
        <v>-606735.24</v>
      </c>
      <c r="M518" s="706">
        <v>-606735.24</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G32306</v>
      </c>
      <c r="AK518" s="905" t="str">
        <f t="shared" si="49"/>
        <v>IMPOT PROVINCIAL A PAYER</v>
      </c>
      <c r="AL518" s="905">
        <f>IFERROR(INDEX(G518:R518,1,MATCH(Parametres!$B$3,G$1:R$1,0)-1)*IF(OR(F518="L",F518="S",F518="I"),-1,1),"")</f>
        <v>606735.24</v>
      </c>
      <c r="AM518" s="905">
        <f t="shared" si="50"/>
        <v>0</v>
      </c>
      <c r="AN518" s="905">
        <f>INDEX(G518:R518,1,MATCH(Parametres!$B$3,G$1:R$1,0))*IF(OR(F518="L",F518="S",F518="I"),-1,1)</f>
        <v>606735.24</v>
      </c>
      <c r="AO518" s="487" t="str">
        <f>+VLOOKUP($AJ518,Data_Validation!$A:$D,1,0)</f>
        <v>G32306</v>
      </c>
      <c r="AP518" s="487" t="str">
        <f>+VLOOKUP($AJ518,Data_Validation!$A:$D,3,0)</f>
        <v>Bilan</v>
      </c>
      <c r="AQ518" s="487" t="str">
        <f>+VLOOKUP($AJ518,Data_Validation!$A:$D,4,0)</f>
        <v>Frais Payés d'Avance</v>
      </c>
      <c r="AR518" s="487" t="s">
        <v>299</v>
      </c>
      <c r="AS518" s="487">
        <f>+VLOOKUP($AJ518,Data_Validation!$A:$E,5,0)</f>
        <v>0</v>
      </c>
      <c r="AT518" s="904" t="str">
        <f t="shared" si="51"/>
        <v>G32306</v>
      </c>
      <c r="AU518" s="488" t="str">
        <f t="shared" si="52"/>
        <v>IMPOT PROVINCIAL A PAYER</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customHeight="1">
      <c r="A519" s="706" t="s">
        <v>1148</v>
      </c>
      <c r="B519" s="706">
        <v>2026</v>
      </c>
      <c r="C519" s="706" t="s">
        <v>2117</v>
      </c>
      <c r="D519" s="706" t="s">
        <v>2118</v>
      </c>
      <c r="E519" s="706" t="s">
        <v>333</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G32307</v>
      </c>
      <c r="AK519" s="905" t="str">
        <f t="shared" si="49"/>
        <v>REGIME DES RENTES QUEBEC</v>
      </c>
      <c r="AL519" s="905">
        <f>IFERROR(INDEX(G519:R519,1,MATCH(Parametres!$B$3,G$1:R$1,0)-1)*IF(OR(F519="L",F519="S",F519="I"),-1,1),"")</f>
        <v>0</v>
      </c>
      <c r="AM519" s="905">
        <f t="shared" si="50"/>
        <v>0</v>
      </c>
      <c r="AN519" s="905">
        <f>INDEX(G519:R519,1,MATCH(Parametres!$B$3,G$1:R$1,0))*IF(OR(F519="L",F519="S",F519="I"),-1,1)</f>
        <v>0</v>
      </c>
      <c r="AO519" s="487" t="str">
        <f>+VLOOKUP($AJ519,Data_Validation!$A:$D,1,0)</f>
        <v>G32307</v>
      </c>
      <c r="AP519" s="487">
        <f>+VLOOKUP($AJ519,Data_Validation!$A:$D,3,0)</f>
        <v>0</v>
      </c>
      <c r="AQ519" s="487">
        <f>+VLOOKUP($AJ519,Data_Validation!$A:$D,4,0)</f>
        <v>0</v>
      </c>
      <c r="AR519" s="487" t="s">
        <v>299</v>
      </c>
      <c r="AS519" s="487">
        <f>+VLOOKUP($AJ519,Data_Validation!$A:$E,5,0)</f>
        <v>0</v>
      </c>
      <c r="AT519" s="904" t="str">
        <f t="shared" si="51"/>
        <v>G32307</v>
      </c>
      <c r="AU519" s="488" t="str">
        <f t="shared" si="52"/>
        <v>REGIME DES RENTES QUEBEC</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customHeight="1">
      <c r="A520" s="706" t="s">
        <v>1148</v>
      </c>
      <c r="B520" s="706">
        <v>2026</v>
      </c>
      <c r="C520" s="706" t="s">
        <v>2119</v>
      </c>
      <c r="D520" s="706" t="s">
        <v>2120</v>
      </c>
      <c r="E520" s="706" t="s">
        <v>333</v>
      </c>
      <c r="F520" s="706" t="s">
        <v>1135</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G32308</v>
      </c>
      <c r="AK520" s="905" t="str">
        <f t="shared" si="49"/>
        <v>COTISATIONS COMITE EMPLOY</v>
      </c>
      <c r="AL520" s="905">
        <f>IFERROR(INDEX(G520:R520,1,MATCH(Parametres!$B$3,G$1:R$1,0)-1)*IF(OR(F520="L",F520="S",F520="I"),-1,1),"")</f>
        <v>0</v>
      </c>
      <c r="AM520" s="905">
        <f t="shared" si="50"/>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t="str">
        <f t="shared" si="51"/>
        <v>G32308</v>
      </c>
      <c r="AU520" s="488" t="str">
        <f t="shared" si="52"/>
        <v>COTISATIONS COMITE EMPLOY</v>
      </c>
      <c r="AV520" s="899">
        <f>IFERROR(INDEX(V520:AG520,1,MATCH(Parametres!$B$3,V$1:AG$1,0)-1)*IF(OR(C520="L",C520="S",C520="I"),-1,1),"")</f>
        <v>0</v>
      </c>
      <c r="AW520" s="899">
        <f t="shared" si="53"/>
        <v>0</v>
      </c>
      <c r="AX520" s="899">
        <f>INDEX(V520:AG520,1,MATCH(Parametres!$B$3,V$1:AG$1,0))*IF(OR(C520="L",C520="S",C520="I"),-1,1)</f>
        <v>0</v>
      </c>
      <c r="AY520" s="487" t="s">
        <v>337</v>
      </c>
      <c r="AZ520" s="487" t="e">
        <f>+VLOOKUP($AJ520,Data_Validation!$A:$E,5,0)</f>
        <v>#N/A</v>
      </c>
    </row>
    <row r="521" spans="1:52" ht="15" customHeight="1">
      <c r="A521" s="706" t="s">
        <v>1148</v>
      </c>
      <c r="B521" s="706">
        <v>2026</v>
      </c>
      <c r="C521" s="706" t="s">
        <v>2121</v>
      </c>
      <c r="D521" s="706" t="s">
        <v>2122</v>
      </c>
      <c r="E521" s="706" t="s">
        <v>333</v>
      </c>
      <c r="F521" s="706" t="s">
        <v>1135</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G32309</v>
      </c>
      <c r="AK521" s="905" t="str">
        <f t="shared" si="49"/>
        <v>FONDS PENSION EMPLOYES</v>
      </c>
      <c r="AL521" s="905">
        <f>IFERROR(INDEX(G521:R521,1,MATCH(Parametres!$B$3,G$1:R$1,0)-1)*IF(OR(F521="L",F521="S",F521="I"),-1,1),"")</f>
        <v>0</v>
      </c>
      <c r="AM521" s="905">
        <f t="shared" si="50"/>
        <v>0</v>
      </c>
      <c r="AN521" s="905">
        <f>INDEX(G521:R521,1,MATCH(Parametres!$B$3,G$1:R$1,0))*IF(OR(F521="L",F521="S",F521="I"),-1,1)</f>
        <v>0</v>
      </c>
      <c r="AO521" s="487" t="str">
        <f>+VLOOKUP($AJ521,Data_Validation!$A:$D,1,0)</f>
        <v>G32309</v>
      </c>
      <c r="AP521" s="487">
        <f>+VLOOKUP($AJ521,Data_Validation!$A:$D,3,0)</f>
        <v>0</v>
      </c>
      <c r="AQ521" s="487">
        <f>+VLOOKUP($AJ521,Data_Validation!$A:$D,4,0)</f>
        <v>0</v>
      </c>
      <c r="AR521" s="487" t="s">
        <v>299</v>
      </c>
      <c r="AS521" s="487">
        <f>+VLOOKUP($AJ521,Data_Validation!$A:$E,5,0)</f>
        <v>0</v>
      </c>
      <c r="AT521" s="904" t="str">
        <f t="shared" si="51"/>
        <v>G32309</v>
      </c>
      <c r="AU521" s="488" t="str">
        <f t="shared" si="52"/>
        <v>FONDS PENSION EMPLOYES</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customHeight="1">
      <c r="A522" s="706" t="s">
        <v>1148</v>
      </c>
      <c r="B522" s="706">
        <v>2026</v>
      </c>
      <c r="C522" s="706" t="s">
        <v>2123</v>
      </c>
      <c r="D522" s="706" t="s">
        <v>2124</v>
      </c>
      <c r="E522" s="706" t="s">
        <v>333</v>
      </c>
      <c r="F522" s="706" t="s">
        <v>1135</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G32310</v>
      </c>
      <c r="AK522" s="905" t="str">
        <f t="shared" si="49"/>
        <v>FONDS PENSION EMPLOYEUR</v>
      </c>
      <c r="AL522" s="905">
        <f>IFERROR(INDEX(G522:R522,1,MATCH(Parametres!$B$3,G$1:R$1,0)-1)*IF(OR(F522="L",F522="S",F522="I"),-1,1),"")</f>
        <v>0</v>
      </c>
      <c r="AM522" s="905">
        <f t="shared" si="50"/>
        <v>0</v>
      </c>
      <c r="AN522" s="905">
        <f>INDEX(G522:R522,1,MATCH(Parametres!$B$3,G$1:R$1,0))*IF(OR(F522="L",F522="S",F522="I"),-1,1)</f>
        <v>0</v>
      </c>
      <c r="AO522" s="487" t="str">
        <f>+VLOOKUP($AJ522,Data_Validation!$A:$D,1,0)</f>
        <v>G32310</v>
      </c>
      <c r="AP522" s="487">
        <f>+VLOOKUP($AJ522,Data_Validation!$A:$D,3,0)</f>
        <v>0</v>
      </c>
      <c r="AQ522" s="487">
        <f>+VLOOKUP($AJ522,Data_Validation!$A:$D,4,0)</f>
        <v>0</v>
      </c>
      <c r="AR522" s="487" t="s">
        <v>299</v>
      </c>
      <c r="AS522" s="487">
        <f>+VLOOKUP($AJ522,Data_Validation!$A:$E,5,0)</f>
        <v>0</v>
      </c>
      <c r="AT522" s="904" t="str">
        <f t="shared" si="51"/>
        <v>G32310</v>
      </c>
      <c r="AU522" s="488" t="str">
        <f t="shared" si="52"/>
        <v>FONDS PENSION EMPLOYEUR</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customHeight="1">
      <c r="A523" s="706" t="s">
        <v>1148</v>
      </c>
      <c r="B523" s="706">
        <v>2026</v>
      </c>
      <c r="C523" s="706" t="s">
        <v>2125</v>
      </c>
      <c r="D523" s="706" t="s">
        <v>2126</v>
      </c>
      <c r="E523" s="706" t="s">
        <v>333</v>
      </c>
      <c r="F523" s="706" t="s">
        <v>1135</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G32311</v>
      </c>
      <c r="AK523" s="905" t="str">
        <f t="shared" si="49"/>
        <v>RQAP A PAYER</v>
      </c>
      <c r="AL523" s="905">
        <f>IFERROR(INDEX(G523:R523,1,MATCH(Parametres!$B$3,G$1:R$1,0)-1)*IF(OR(F523="L",F523="S",F523="I"),-1,1),"")</f>
        <v>0</v>
      </c>
      <c r="AM523" s="905">
        <f t="shared" si="50"/>
        <v>0</v>
      </c>
      <c r="AN523" s="905">
        <f>INDEX(G523:R523,1,MATCH(Parametres!$B$3,G$1:R$1,0))*IF(OR(F523="L",F523="S",F523="I"),-1,1)</f>
        <v>0</v>
      </c>
      <c r="AO523" s="487" t="str">
        <f>+VLOOKUP($AJ523,Data_Validation!$A:$D,1,0)</f>
        <v>G32311</v>
      </c>
      <c r="AP523" s="487">
        <f>+VLOOKUP($AJ523,Data_Validation!$A:$D,3,0)</f>
        <v>0</v>
      </c>
      <c r="AQ523" s="487">
        <f>+VLOOKUP($AJ523,Data_Validation!$A:$D,4,0)</f>
        <v>0</v>
      </c>
      <c r="AR523" s="487" t="s">
        <v>299</v>
      </c>
      <c r="AS523" s="487">
        <f>+VLOOKUP($AJ523,Data_Validation!$A:$E,5,0)</f>
        <v>0</v>
      </c>
      <c r="AT523" s="904" t="str">
        <f t="shared" si="51"/>
        <v>G32311</v>
      </c>
      <c r="AU523" s="488" t="str">
        <f t="shared" si="52"/>
        <v>RQAP A PAYER</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customHeight="1">
      <c r="A524" s="706" t="s">
        <v>1148</v>
      </c>
      <c r="B524" s="706">
        <v>2026</v>
      </c>
      <c r="C524" s="706" t="s">
        <v>2127</v>
      </c>
      <c r="D524" s="706" t="s">
        <v>2128</v>
      </c>
      <c r="E524" s="706" t="s">
        <v>333</v>
      </c>
      <c r="F524" s="706" t="s">
        <v>1135</v>
      </c>
      <c r="G524" s="706">
        <v>3449.82</v>
      </c>
      <c r="H524" s="706">
        <v>3657.94</v>
      </c>
      <c r="I524" s="706">
        <v>3857.78</v>
      </c>
      <c r="J524" s="706">
        <v>12747.76</v>
      </c>
      <c r="K524" s="706">
        <v>13107.46</v>
      </c>
      <c r="L524" s="706">
        <v>13107.46</v>
      </c>
      <c r="M524" s="706">
        <v>13107.46</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G32312</v>
      </c>
      <c r="AK524" s="905" t="str">
        <f t="shared" si="49"/>
        <v>CSST A PAYER</v>
      </c>
      <c r="AL524" s="905">
        <f>IFERROR(INDEX(G524:R524,1,MATCH(Parametres!$B$3,G$1:R$1,0)-1)*IF(OR(F524="L",F524="S",F524="I"),-1,1),"")</f>
        <v>-13107.46</v>
      </c>
      <c r="AM524" s="905">
        <f t="shared" si="50"/>
        <v>0</v>
      </c>
      <c r="AN524" s="905">
        <f>INDEX(G524:R524,1,MATCH(Parametres!$B$3,G$1:R$1,0))*IF(OR(F524="L",F524="S",F524="I"),-1,1)</f>
        <v>-13107.46</v>
      </c>
      <c r="AO524" s="487" t="str">
        <f>+VLOOKUP($AJ524,Data_Validation!$A:$D,1,0)</f>
        <v>G32312</v>
      </c>
      <c r="AP524" s="487" t="str">
        <f>+VLOOKUP($AJ524,Data_Validation!$A:$D,3,0)</f>
        <v>Bilan</v>
      </c>
      <c r="AQ524" s="487" t="str">
        <f>+VLOOKUP($AJ524,Data_Validation!$A:$D,4,0)</f>
        <v>DAS à Payer</v>
      </c>
      <c r="AR524" s="487" t="s">
        <v>299</v>
      </c>
      <c r="AS524" s="487">
        <f>+VLOOKUP($AJ524,Data_Validation!$A:$E,5,0)</f>
        <v>0</v>
      </c>
      <c r="AT524" s="904" t="str">
        <f t="shared" si="51"/>
        <v>G32312</v>
      </c>
      <c r="AU524" s="488" t="str">
        <f t="shared" si="52"/>
        <v>CSST A PAYER</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customHeight="1">
      <c r="A525" s="706" t="s">
        <v>1148</v>
      </c>
      <c r="B525" s="706">
        <v>2026</v>
      </c>
      <c r="C525" s="706" t="s">
        <v>3257</v>
      </c>
      <c r="D525" s="706" t="s">
        <v>3258</v>
      </c>
      <c r="E525" s="706" t="s">
        <v>333</v>
      </c>
      <c r="F525" s="706" t="s">
        <v>1135</v>
      </c>
      <c r="G525" s="706">
        <v>0</v>
      </c>
      <c r="H525" s="706">
        <v>0</v>
      </c>
      <c r="I525" s="706">
        <v>0</v>
      </c>
      <c r="J525" s="706">
        <v>0</v>
      </c>
      <c r="K525" s="706">
        <v>0</v>
      </c>
      <c r="L525" s="706">
        <v>214.98</v>
      </c>
      <c r="M525" s="706">
        <v>320.37</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G32313</v>
      </c>
      <c r="AK525" s="905" t="str">
        <f t="shared" si="49"/>
        <v>CNT A PAYER</v>
      </c>
      <c r="AL525" s="905">
        <f>IFERROR(INDEX(G525:R525,1,MATCH(Parametres!$B$3,G$1:R$1,0)-1)*IF(OR(F525="L",F525="S",F525="I"),-1,1),"")</f>
        <v>0</v>
      </c>
      <c r="AM525" s="905">
        <f t="shared" si="50"/>
        <v>-214.98</v>
      </c>
      <c r="AN525" s="905">
        <f>INDEX(G525:R525,1,MATCH(Parametres!$B$3,G$1:R$1,0))*IF(OR(F525="L",F525="S",F525="I"),-1,1)</f>
        <v>-214.98</v>
      </c>
      <c r="AO525" s="487" t="str">
        <f>+VLOOKUP($AJ525,Data_Validation!$A:$D,1,0)</f>
        <v>G32313</v>
      </c>
      <c r="AP525" s="487" t="str">
        <f>+VLOOKUP($AJ525,Data_Validation!$A:$D,3,0)</f>
        <v>Bilan</v>
      </c>
      <c r="AQ525" s="487" t="str">
        <f>+VLOOKUP($AJ525,Data_Validation!$A:$D,4,0)</f>
        <v>DAS à Payer</v>
      </c>
      <c r="AR525" s="487" t="s">
        <v>299</v>
      </c>
      <c r="AS525" s="487">
        <f>+VLOOKUP($AJ525,Data_Validation!$A:$E,5,0)</f>
        <v>0</v>
      </c>
      <c r="AT525" s="904" t="str">
        <f t="shared" si="51"/>
        <v>G32313</v>
      </c>
      <c r="AU525" s="488" t="str">
        <f t="shared" si="52"/>
        <v>CNT A PAYER</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customHeight="1">
      <c r="A526" s="706" t="s">
        <v>1148</v>
      </c>
      <c r="B526" s="706">
        <v>2026</v>
      </c>
      <c r="C526" s="706" t="s">
        <v>2129</v>
      </c>
      <c r="D526" s="706" t="s">
        <v>3307</v>
      </c>
      <c r="E526" s="706" t="s">
        <v>333</v>
      </c>
      <c r="F526" s="706" t="s">
        <v>1135</v>
      </c>
      <c r="G526" s="706">
        <v>104972.94</v>
      </c>
      <c r="H526" s="706">
        <v>91135.21</v>
      </c>
      <c r="I526" s="706">
        <v>105499.53</v>
      </c>
      <c r="J526" s="706">
        <v>130073.13</v>
      </c>
      <c r="K526" s="706">
        <v>57634.14</v>
      </c>
      <c r="L526" s="706">
        <v>94093.63</v>
      </c>
      <c r="M526" s="706">
        <v>133948.13</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G32400</v>
      </c>
      <c r="AK526" s="905" t="str">
        <f t="shared" si="49"/>
        <v>T.V.Q. A PAYER</v>
      </c>
      <c r="AL526" s="905">
        <f>IFERROR(INDEX(G526:R526,1,MATCH(Parametres!$B$3,G$1:R$1,0)-1)*IF(OR(F526="L",F526="S",F526="I"),-1,1),"")</f>
        <v>-57634.14</v>
      </c>
      <c r="AM526" s="905">
        <f t="shared" si="50"/>
        <v>-36459.490000000005</v>
      </c>
      <c r="AN526" s="905">
        <f>INDEX(G526:R526,1,MATCH(Parametres!$B$3,G$1:R$1,0))*IF(OR(F526="L",F526="S",F526="I"),-1,1)</f>
        <v>-94093.63</v>
      </c>
      <c r="AO526" s="487" t="str">
        <f>+VLOOKUP($AJ526,Data_Validation!$A:$D,1,0)</f>
        <v>G32400</v>
      </c>
      <c r="AP526" s="487" t="str">
        <f>+VLOOKUP($AJ526,Data_Validation!$A:$D,3,0)</f>
        <v>Bilan</v>
      </c>
      <c r="AQ526" s="487" t="str">
        <f>+VLOOKUP($AJ526,Data_Validation!$A:$D,4,0)</f>
        <v>Taxes de Vente à Payer</v>
      </c>
      <c r="AR526" s="487" t="s">
        <v>299</v>
      </c>
      <c r="AS526" s="487">
        <f>+VLOOKUP($AJ526,Data_Validation!$A:$E,5,0)</f>
        <v>0</v>
      </c>
      <c r="AT526" s="904" t="str">
        <f t="shared" si="51"/>
        <v>G32400</v>
      </c>
      <c r="AU526" s="488" t="str">
        <f t="shared" si="52"/>
        <v>T.V.Q. A PAYER</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customHeight="1">
      <c r="A527" s="706" t="s">
        <v>1148</v>
      </c>
      <c r="B527" s="706">
        <v>2026</v>
      </c>
      <c r="C527" s="706" t="s">
        <v>2131</v>
      </c>
      <c r="D527" s="706" t="s">
        <v>2132</v>
      </c>
      <c r="E527" s="706" t="s">
        <v>333</v>
      </c>
      <c r="F527" s="706" t="s">
        <v>1135</v>
      </c>
      <c r="G527" s="706">
        <v>1076451.8400000001</v>
      </c>
      <c r="H527" s="706">
        <v>902541.32</v>
      </c>
      <c r="I527" s="706">
        <v>1152829.07</v>
      </c>
      <c r="J527" s="706">
        <v>3897674.97</v>
      </c>
      <c r="K527" s="706">
        <v>1140831.3600000001</v>
      </c>
      <c r="L527" s="706">
        <v>980845.09</v>
      </c>
      <c r="M527" s="706">
        <v>1201074.03</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G32401</v>
      </c>
      <c r="AK527" s="905" t="str">
        <f t="shared" si="49"/>
        <v>T.P.S. A PAYER</v>
      </c>
      <c r="AL527" s="905">
        <f>IFERROR(INDEX(G527:R527,1,MATCH(Parametres!$B$3,G$1:R$1,0)-1)*IF(OR(F527="L",F527="S",F527="I"),-1,1),"")</f>
        <v>-1140831.3600000001</v>
      </c>
      <c r="AM527" s="905">
        <f t="shared" si="50"/>
        <v>159986.27000000014</v>
      </c>
      <c r="AN527" s="905">
        <f>INDEX(G527:R527,1,MATCH(Parametres!$B$3,G$1:R$1,0))*IF(OR(F527="L",F527="S",F527="I"),-1,1)</f>
        <v>-980845.09</v>
      </c>
      <c r="AO527" s="487" t="str">
        <f>+VLOOKUP($AJ527,Data_Validation!$A:$D,1,0)</f>
        <v>G32401</v>
      </c>
      <c r="AP527" s="487" t="str">
        <f>+VLOOKUP($AJ527,Data_Validation!$A:$D,3,0)</f>
        <v>Bilan</v>
      </c>
      <c r="AQ527" s="487" t="str">
        <f>+VLOOKUP($AJ527,Data_Validation!$A:$D,4,0)</f>
        <v>Taxes de Vente à Payer</v>
      </c>
      <c r="AR527" s="487" t="s">
        <v>299</v>
      </c>
      <c r="AS527" s="487">
        <f>+VLOOKUP($AJ527,Data_Validation!$A:$E,5,0)</f>
        <v>0</v>
      </c>
      <c r="AT527" s="904" t="str">
        <f t="shared" si="51"/>
        <v>G32401</v>
      </c>
      <c r="AU527" s="488" t="str">
        <f t="shared" si="52"/>
        <v>T.P.S. A PAYER</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customHeight="1">
      <c r="A528" s="706" t="s">
        <v>1148</v>
      </c>
      <c r="B528" s="706">
        <v>2026</v>
      </c>
      <c r="C528" s="706" t="s">
        <v>2133</v>
      </c>
      <c r="D528" s="706" t="s">
        <v>2134</v>
      </c>
      <c r="E528" s="706" t="s">
        <v>333</v>
      </c>
      <c r="F528" s="706" t="s">
        <v>1135</v>
      </c>
      <c r="G528" s="706">
        <v>195.93</v>
      </c>
      <c r="H528" s="706">
        <v>364.95</v>
      </c>
      <c r="I528" s="706">
        <v>275.39999999999998</v>
      </c>
      <c r="J528" s="706">
        <v>280.52999999999997</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G32402</v>
      </c>
      <c r="AK528" s="905" t="str">
        <f t="shared" si="49"/>
        <v>TPA ASSURANCES</v>
      </c>
      <c r="AL528" s="905">
        <f>IFERROR(INDEX(G528:R528,1,MATCH(Parametres!$B$3,G$1:R$1,0)-1)*IF(OR(F528="L",F528="S",F528="I"),-1,1),"")</f>
        <v>0</v>
      </c>
      <c r="AM528" s="905">
        <f t="shared" si="50"/>
        <v>0</v>
      </c>
      <c r="AN528" s="905">
        <f>INDEX(G528:R528,1,MATCH(Parametres!$B$3,G$1:R$1,0))*IF(OR(F528="L",F528="S",F528="I"),-1,1)</f>
        <v>0</v>
      </c>
      <c r="AO528" s="487" t="str">
        <f>+VLOOKUP($AJ528,Data_Validation!$A:$D,1,0)</f>
        <v>G32402</v>
      </c>
      <c r="AP528" s="487" t="str">
        <f>+VLOOKUP($AJ528,Data_Validation!$A:$D,3,0)</f>
        <v>Bilan</v>
      </c>
      <c r="AQ528" s="487" t="str">
        <f>+VLOOKUP($AJ528,Data_Validation!$A:$D,4,0)</f>
        <v>Taxes de Vente à Payer</v>
      </c>
      <c r="AR528" s="487" t="s">
        <v>299</v>
      </c>
      <c r="AS528" s="487">
        <f>+VLOOKUP($AJ528,Data_Validation!$A:$E,5,0)</f>
        <v>0</v>
      </c>
      <c r="AT528" s="904" t="str">
        <f t="shared" si="51"/>
        <v>G32402</v>
      </c>
      <c r="AU528" s="488" t="str">
        <f t="shared" si="52"/>
        <v>TPA ASSURANCES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2026</v>
      </c>
      <c r="C529" s="706" t="s">
        <v>2135</v>
      </c>
      <c r="D529" s="706" t="s">
        <v>2136</v>
      </c>
      <c r="E529" s="706" t="s">
        <v>333</v>
      </c>
      <c r="F529" s="706" t="s">
        <v>1135</v>
      </c>
      <c r="G529" s="706">
        <v>5030</v>
      </c>
      <c r="H529" s="706">
        <v>12525.92</v>
      </c>
      <c r="I529" s="706">
        <v>21790.14</v>
      </c>
      <c r="J529" s="706">
        <v>2267.56</v>
      </c>
      <c r="K529" s="706">
        <v>10794.43</v>
      </c>
      <c r="L529" s="706">
        <v>27004.639999999999</v>
      </c>
      <c r="M529" s="706">
        <v>27004.639999999999</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G32500</v>
      </c>
      <c r="AK529" s="905" t="str">
        <f t="shared" si="49"/>
        <v>TAXE DELUXE A PAYER</v>
      </c>
      <c r="AL529" s="905">
        <f>IFERROR(INDEX(G529:R529,1,MATCH(Parametres!$B$3,G$1:R$1,0)-1)*IF(OR(F529="L",F529="S",F529="I"),-1,1),"")</f>
        <v>-10794.43</v>
      </c>
      <c r="AM529" s="905">
        <f t="shared" si="50"/>
        <v>-16210.21</v>
      </c>
      <c r="AN529" s="905">
        <f>INDEX(G529:R529,1,MATCH(Parametres!$B$3,G$1:R$1,0))*IF(OR(F529="L",F529="S",F529="I"),-1,1)</f>
        <v>-27004.639999999999</v>
      </c>
      <c r="AO529" s="487" t="str">
        <f>+VLOOKUP($AJ529,Data_Validation!$A:$D,1,0)</f>
        <v>G32500</v>
      </c>
      <c r="AP529" s="487" t="str">
        <f>+VLOOKUP($AJ529,Data_Validation!$A:$D,3,0)</f>
        <v>Bilan</v>
      </c>
      <c r="AQ529" s="487" t="str">
        <f>+VLOOKUP($AJ529,Data_Validation!$A:$D,4,0)</f>
        <v>Taxes de Vente à Payer</v>
      </c>
      <c r="AR529" s="487" t="s">
        <v>299</v>
      </c>
      <c r="AS529" s="487">
        <f>+VLOOKUP($AJ529,Data_Validation!$A:$E,5,0)</f>
        <v>0</v>
      </c>
      <c r="AT529" s="904" t="str">
        <f t="shared" si="51"/>
        <v>G32500</v>
      </c>
      <c r="AU529" s="488" t="str">
        <f t="shared" si="52"/>
        <v>TAXE DELUXE A PAYER</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customHeight="1">
      <c r="A530" s="706" t="s">
        <v>1148</v>
      </c>
      <c r="B530" s="706">
        <v>2026</v>
      </c>
      <c r="C530" s="706" t="s">
        <v>2137</v>
      </c>
      <c r="D530" s="706" t="s">
        <v>1154</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G32700</v>
      </c>
      <c r="AK530" s="905" t="str">
        <f t="shared" si="49"/>
        <v>IMPÔTS EXIGIBLES</v>
      </c>
      <c r="AL530" s="905">
        <f>IFERROR(INDEX(G530:R530,1,MATCH(Parametres!$B$3,G$1:R$1,0)-1)*IF(OR(F530="L",F530="S",F530="I"),-1,1),"")</f>
        <v>0</v>
      </c>
      <c r="AM530" s="905">
        <f t="shared" si="50"/>
        <v>0</v>
      </c>
      <c r="AN530" s="905">
        <f>INDEX(G530:R530,1,MATCH(Parametres!$B$3,G$1:R$1,0))*IF(OR(F530="L",F530="S",F530="I"),-1,1)</f>
        <v>0</v>
      </c>
      <c r="AO530" s="487" t="str">
        <f>+VLOOKUP($AJ530,Data_Validation!$A:$D,1,0)</f>
        <v>G32700</v>
      </c>
      <c r="AP530" s="487" t="str">
        <f>+VLOOKUP($AJ530,Data_Validation!$A:$D,3,0)</f>
        <v>Bilan</v>
      </c>
      <c r="AQ530" s="487" t="str">
        <f>+VLOOKUP($AJ530,Data_Validation!$A:$D,4,0)</f>
        <v>Impôts à payer</v>
      </c>
      <c r="AR530" s="487" t="s">
        <v>299</v>
      </c>
      <c r="AS530" s="487">
        <f>+VLOOKUP($AJ530,Data_Validation!$A:$E,5,0)</f>
        <v>0</v>
      </c>
      <c r="AT530" s="904" t="str">
        <f t="shared" si="51"/>
        <v>G32700</v>
      </c>
      <c r="AU530" s="488" t="str">
        <f t="shared" si="52"/>
        <v>IMPÔTS EXIGIBLES</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customHeight="1">
      <c r="A531" s="706" t="s">
        <v>1148</v>
      </c>
      <c r="B531" s="706">
        <v>2026</v>
      </c>
      <c r="C531" s="706" t="s">
        <v>2138</v>
      </c>
      <c r="D531" s="706" t="s">
        <v>1147</v>
      </c>
      <c r="E531" s="706" t="s">
        <v>333</v>
      </c>
      <c r="F531" s="706" t="s">
        <v>1135</v>
      </c>
      <c r="G531" s="706">
        <v>0</v>
      </c>
      <c r="H531" s="706">
        <v>0</v>
      </c>
      <c r="I531" s="706">
        <v>12274.51</v>
      </c>
      <c r="J531" s="706">
        <v>19394.73</v>
      </c>
      <c r="K531" s="706">
        <v>11577.99</v>
      </c>
      <c r="L531" s="706">
        <v>13279.16</v>
      </c>
      <c r="M531" s="706">
        <v>10852.3</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G32800</v>
      </c>
      <c r="AK531" s="905" t="str">
        <f t="shared" ref="AK531:AK594" si="55">D531</f>
        <v>BONI A PAYER</v>
      </c>
      <c r="AL531" s="905">
        <f>IFERROR(INDEX(G531:R531,1,MATCH(Parametres!$B$3,G$1:R$1,0)-1)*IF(OR(F531="L",F531="S",F531="I"),-1,1),"")</f>
        <v>-11577.99</v>
      </c>
      <c r="AM531" s="905">
        <f t="shared" si="50"/>
        <v>-1701.17</v>
      </c>
      <c r="AN531" s="905">
        <f>INDEX(G531:R531,1,MATCH(Parametres!$B$3,G$1:R$1,0))*IF(OR(F531="L",F531="S",F531="I"),-1,1)</f>
        <v>-13279.16</v>
      </c>
      <c r="AO531" s="487" t="str">
        <f>+VLOOKUP($AJ531,Data_Validation!$A:$D,1,0)</f>
        <v>G32800</v>
      </c>
      <c r="AP531" s="487" t="str">
        <f>+VLOOKUP($AJ531,Data_Validation!$A:$D,3,0)</f>
        <v>Bilan</v>
      </c>
      <c r="AQ531" s="487" t="str">
        <f>+VLOOKUP($AJ531,Data_Validation!$A:$D,4,0)</f>
        <v>Salaires à Payer</v>
      </c>
      <c r="AR531" s="487" t="s">
        <v>299</v>
      </c>
      <c r="AS531" s="487">
        <f>+VLOOKUP($AJ531,Data_Validation!$A:$E,5,0)</f>
        <v>0</v>
      </c>
      <c r="AT531" s="904" t="str">
        <f t="shared" si="51"/>
        <v>G32800</v>
      </c>
      <c r="AU531" s="488" t="str">
        <f t="shared" si="52"/>
        <v>BONI A PAYER</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customHeight="1">
      <c r="A532" s="706" t="s">
        <v>1148</v>
      </c>
      <c r="B532" s="706">
        <v>2026</v>
      </c>
      <c r="C532" s="706" t="s">
        <v>2139</v>
      </c>
      <c r="D532" s="706" t="s">
        <v>2140</v>
      </c>
      <c r="E532" s="706" t="s">
        <v>333</v>
      </c>
      <c r="F532" s="706" t="s">
        <v>1135</v>
      </c>
      <c r="G532" s="706">
        <v>-2725964.6</v>
      </c>
      <c r="H532" s="706">
        <v>-3387014.6</v>
      </c>
      <c r="I532" s="706">
        <v>-3400964.6</v>
      </c>
      <c r="J532" s="706">
        <v>-3389504.24</v>
      </c>
      <c r="K532" s="706">
        <v>-3889504.24</v>
      </c>
      <c r="L532" s="706">
        <v>-3920685.29</v>
      </c>
      <c r="M532" s="706">
        <v>-3920685.29</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G32900</v>
      </c>
      <c r="AK532" s="905" t="str">
        <f t="shared" si="55"/>
        <v>BONI À PAYER PROPRIETAIRE</v>
      </c>
      <c r="AL532" s="905">
        <f>IFERROR(INDEX(G532:R532,1,MATCH(Parametres!$B$3,G$1:R$1,0)-1)*IF(OR(F532="L",F532="S",F532="I"),-1,1),"")</f>
        <v>3889504.24</v>
      </c>
      <c r="AM532" s="905">
        <f t="shared" si="50"/>
        <v>31181.049999999814</v>
      </c>
      <c r="AN532" s="905">
        <f>INDEX(G532:R532,1,MATCH(Parametres!$B$3,G$1:R$1,0))*IF(OR(F532="L",F532="S",F532="I"),-1,1)</f>
        <v>3920685.29</v>
      </c>
      <c r="AO532" s="487" t="str">
        <f>+VLOOKUP($AJ532,Data_Validation!$A:$D,1,0)</f>
        <v>G32900</v>
      </c>
      <c r="AP532" s="487" t="str">
        <f>+VLOOKUP($AJ532,Data_Validation!$A:$D,3,0)</f>
        <v>Bilan</v>
      </c>
      <c r="AQ532" s="487" t="str">
        <f>+VLOOKUP($AJ532,Data_Validation!$A:$D,4,0)</f>
        <v>Salaires à Payer</v>
      </c>
      <c r="AR532" s="487" t="s">
        <v>299</v>
      </c>
      <c r="AS532" s="487">
        <f>+VLOOKUP($AJ532,Data_Validation!$A:$E,5,0)</f>
        <v>0</v>
      </c>
      <c r="AT532" s="904" t="str">
        <f t="shared" si="51"/>
        <v>G32900</v>
      </c>
      <c r="AU532" s="488" t="str">
        <f t="shared" si="52"/>
        <v>BONI À PAYER PROPRIETAIRE</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customHeight="1">
      <c r="A533" s="706" t="s">
        <v>1148</v>
      </c>
      <c r="B533" s="706">
        <v>2026</v>
      </c>
      <c r="C533" s="706" t="s">
        <v>2141</v>
      </c>
      <c r="D533" s="706" t="s">
        <v>2142</v>
      </c>
      <c r="E533" s="706" t="s">
        <v>336</v>
      </c>
      <c r="F533" s="706" t="s">
        <v>1135</v>
      </c>
      <c r="G533" s="706">
        <v>0</v>
      </c>
      <c r="H533" s="706">
        <v>0</v>
      </c>
      <c r="I533" s="706">
        <v>0</v>
      </c>
      <c r="J533" s="706">
        <v>0</v>
      </c>
      <c r="K533" s="706">
        <v>0</v>
      </c>
      <c r="L533" s="706">
        <v>41642.04</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G33030</v>
      </c>
      <c r="AK533" s="905" t="str">
        <f t="shared" si="55"/>
        <v>AP VEH. HAWKESBURY GM</v>
      </c>
      <c r="AL533" s="905">
        <f>IFERROR(INDEX(G533:R533,1,MATCH(Parametres!$B$3,G$1:R$1,0)-1)*IF(OR(F533="L",F533="S",F533="I"),-1,1),"")</f>
        <v>0</v>
      </c>
      <c r="AM533" s="905">
        <f t="shared" si="50"/>
        <v>-41642.04</v>
      </c>
      <c r="AN533" s="905">
        <f>INDEX(G533:R533,1,MATCH(Parametres!$B$3,G$1:R$1,0))*IF(OR(F533="L",F533="S",F533="I"),-1,1)</f>
        <v>-41642.04</v>
      </c>
      <c r="AO533" s="487" t="str">
        <f>+VLOOKUP($AJ533,Data_Validation!$A:$D,1,0)</f>
        <v>G33030</v>
      </c>
      <c r="AP533" s="487" t="str">
        <f>+VLOOKUP($AJ533,Data_Validation!$A:$D,3,0)</f>
        <v>Bilan</v>
      </c>
      <c r="AQ533" s="487" t="str">
        <f>+VLOOKUP($AJ533,Data_Validation!$A:$D,4,0)</f>
        <v>Payables Intercos</v>
      </c>
      <c r="AR533" s="487" t="s">
        <v>299</v>
      </c>
      <c r="AS533" s="487">
        <f>+VLOOKUP($AJ533,Data_Validation!$A:$E,5,0)</f>
        <v>0</v>
      </c>
      <c r="AT533" s="904" t="str">
        <f t="shared" si="51"/>
        <v>G33030</v>
      </c>
      <c r="AU533" s="488" t="str">
        <f t="shared" si="52"/>
        <v>AP VEH. HAWKESBURY GM</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customHeight="1">
      <c r="A534" s="706" t="s">
        <v>1148</v>
      </c>
      <c r="B534" s="706">
        <v>2026</v>
      </c>
      <c r="C534" s="706" t="s">
        <v>2143</v>
      </c>
      <c r="D534" s="706" t="s">
        <v>2144</v>
      </c>
      <c r="E534" s="706" t="s">
        <v>336</v>
      </c>
      <c r="F534" s="706" t="s">
        <v>1135</v>
      </c>
      <c r="G534" s="706">
        <v>0</v>
      </c>
      <c r="H534" s="706">
        <v>0</v>
      </c>
      <c r="I534" s="706">
        <v>0</v>
      </c>
      <c r="J534" s="706">
        <v>0</v>
      </c>
      <c r="K534" s="706">
        <v>0</v>
      </c>
      <c r="L534" s="706">
        <v>164000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G33035</v>
      </c>
      <c r="AK534" s="905" t="str">
        <f t="shared" si="55"/>
        <v>AP VEH. BMW SHERBROOKE</v>
      </c>
      <c r="AL534" s="905">
        <f>IFERROR(INDEX(G534:R534,1,MATCH(Parametres!$B$3,G$1:R$1,0)-1)*IF(OR(F534="L",F534="S",F534="I"),-1,1),"")</f>
        <v>0</v>
      </c>
      <c r="AM534" s="905">
        <f t="shared" si="50"/>
        <v>-164000</v>
      </c>
      <c r="AN534" s="905">
        <f>INDEX(G534:R534,1,MATCH(Parametres!$B$3,G$1:R$1,0))*IF(OR(F534="L",F534="S",F534="I"),-1,1)</f>
        <v>-164000</v>
      </c>
      <c r="AO534" s="487" t="str">
        <f>+VLOOKUP($AJ534,Data_Validation!$A:$D,1,0)</f>
        <v>G33035</v>
      </c>
      <c r="AP534" s="487" t="str">
        <f>+VLOOKUP($AJ534,Data_Validation!$A:$D,3,0)</f>
        <v>Bilan</v>
      </c>
      <c r="AQ534" s="487" t="str">
        <f>+VLOOKUP($AJ534,Data_Validation!$A:$D,4,0)</f>
        <v>Payables Intercos</v>
      </c>
      <c r="AR534" s="487" t="s">
        <v>299</v>
      </c>
      <c r="AS534" s="487">
        <f>+VLOOKUP($AJ534,Data_Validation!$A:$E,5,0)</f>
        <v>0</v>
      </c>
      <c r="AT534" s="904" t="str">
        <f t="shared" si="51"/>
        <v>G33035</v>
      </c>
      <c r="AU534" s="488" t="str">
        <f t="shared" si="52"/>
        <v>AP VEH. BMW SHERBROOKE</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customHeight="1">
      <c r="A535" s="706" t="s">
        <v>1148</v>
      </c>
      <c r="B535" s="706">
        <v>2026</v>
      </c>
      <c r="C535" s="706" t="s">
        <v>2145</v>
      </c>
      <c r="D535" s="706" t="s">
        <v>2146</v>
      </c>
      <c r="E535" s="706" t="s">
        <v>336</v>
      </c>
      <c r="F535" s="706" t="s">
        <v>1135</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G33040</v>
      </c>
      <c r="AK535" s="905" t="str">
        <f t="shared" si="55"/>
        <v>AP VEH. LOCATION LMB</v>
      </c>
      <c r="AL535" s="905">
        <f>IFERROR(INDEX(G535:R535,1,MATCH(Parametres!$B$3,G$1:R$1,0)-1)*IF(OR(F535="L",F535="S",F535="I"),-1,1),"")</f>
        <v>0</v>
      </c>
      <c r="AM535" s="905">
        <f t="shared" si="50"/>
        <v>0</v>
      </c>
      <c r="AN535" s="905">
        <f>INDEX(G535:R535,1,MATCH(Parametres!$B$3,G$1:R$1,0))*IF(OR(F535="L",F535="S",F535="I"),-1,1)</f>
        <v>0</v>
      </c>
      <c r="AO535" s="487" t="str">
        <f>+VLOOKUP($AJ535,Data_Validation!$A:$D,1,0)</f>
        <v>G33040</v>
      </c>
      <c r="AP535" s="487" t="str">
        <f>+VLOOKUP($AJ535,Data_Validation!$A:$D,3,0)</f>
        <v>Bilan</v>
      </c>
      <c r="AQ535" s="487" t="str">
        <f>+VLOOKUP($AJ535,Data_Validation!$A:$D,4,0)</f>
        <v>Payables Intercos</v>
      </c>
      <c r="AR535" s="487" t="s">
        <v>299</v>
      </c>
      <c r="AS535" s="487">
        <f>+VLOOKUP($AJ535,Data_Validation!$A:$E,5,0)</f>
        <v>0</v>
      </c>
      <c r="AT535" s="904" t="str">
        <f t="shared" si="51"/>
        <v>G33040</v>
      </c>
      <c r="AU535" s="488" t="str">
        <f t="shared" si="52"/>
        <v>AP VEH. LOCATION LMB</v>
      </c>
      <c r="AV535" s="899">
        <f>IFERROR(INDEX(V535:AG535,1,MATCH(Parametres!$B$3,V$1:AG$1,0)-1)*IF(OR(C535="L",C535="S",C535="I"),-1,1),"")</f>
        <v>0</v>
      </c>
      <c r="AW535" s="899">
        <f t="shared" si="53"/>
        <v>0</v>
      </c>
      <c r="AX535" s="899">
        <f>INDEX(V535:AG535,1,MATCH(Parametres!$B$3,V$1:AG$1,0))*IF(OR(C535="L",C535="S",C535="I"),-1,1)</f>
        <v>0</v>
      </c>
      <c r="AY535" s="487" t="s">
        <v>337</v>
      </c>
      <c r="AZ535" s="487">
        <f>+VLOOKUP($AJ535,Data_Validation!$A:$E,5,0)</f>
        <v>0</v>
      </c>
    </row>
    <row r="536" spans="1:52" ht="15" customHeight="1">
      <c r="A536" s="706" t="s">
        <v>1148</v>
      </c>
      <c r="B536" s="706">
        <v>2026</v>
      </c>
      <c r="C536" s="706" t="s">
        <v>2147</v>
      </c>
      <c r="D536" s="706" t="s">
        <v>2148</v>
      </c>
      <c r="E536" s="706" t="s">
        <v>336</v>
      </c>
      <c r="F536" s="706" t="s">
        <v>1135</v>
      </c>
      <c r="G536" s="706">
        <v>0</v>
      </c>
      <c r="H536" s="706">
        <v>0</v>
      </c>
      <c r="I536" s="706">
        <v>0</v>
      </c>
      <c r="J536" s="706">
        <v>0</v>
      </c>
      <c r="K536" s="706">
        <v>0</v>
      </c>
      <c r="L536" s="706">
        <v>42500</v>
      </c>
      <c r="M536" s="706">
        <v>42500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G33045</v>
      </c>
      <c r="AK536" s="905" t="str">
        <f t="shared" si="55"/>
        <v>AP VEH. VOLKS BROSSARD</v>
      </c>
      <c r="AL536" s="905">
        <f>IFERROR(INDEX(G536:R536,1,MATCH(Parametres!$B$3,G$1:R$1,0)-1)*IF(OR(F536="L",F536="S",F536="I"),-1,1),"")</f>
        <v>0</v>
      </c>
      <c r="AM536" s="905">
        <f t="shared" si="50"/>
        <v>-42500</v>
      </c>
      <c r="AN536" s="905">
        <f>INDEX(G536:R536,1,MATCH(Parametres!$B$3,G$1:R$1,0))*IF(OR(F536="L",F536="S",F536="I"),-1,1)</f>
        <v>-42500</v>
      </c>
      <c r="AO536" s="487" t="str">
        <f>+VLOOKUP($AJ536,Data_Validation!$A:$D,1,0)</f>
        <v>G33045</v>
      </c>
      <c r="AP536" s="487" t="str">
        <f>+VLOOKUP($AJ536,Data_Validation!$A:$D,3,0)</f>
        <v>Bilan</v>
      </c>
      <c r="AQ536" s="487" t="str">
        <f>+VLOOKUP($AJ536,Data_Validation!$A:$D,4,0)</f>
        <v>Payables Intercos</v>
      </c>
      <c r="AR536" s="487" t="s">
        <v>299</v>
      </c>
      <c r="AS536" s="487">
        <f>+VLOOKUP($AJ536,Data_Validation!$A:$E,5,0)</f>
        <v>0</v>
      </c>
      <c r="AT536" s="904" t="str">
        <f t="shared" si="51"/>
        <v>G33045</v>
      </c>
      <c r="AU536" s="488" t="str">
        <f t="shared" si="52"/>
        <v>AP VEH. VOLKS BROSSARD</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customHeight="1">
      <c r="A537" s="706" t="s">
        <v>1148</v>
      </c>
      <c r="B537" s="706">
        <v>2026</v>
      </c>
      <c r="C537" s="706" t="s">
        <v>2149</v>
      </c>
      <c r="D537" s="706" t="s">
        <v>2150</v>
      </c>
      <c r="E537" s="706" t="s">
        <v>336</v>
      </c>
      <c r="F537" s="706" t="s">
        <v>1135</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G33050</v>
      </c>
      <c r="AK537" s="905" t="str">
        <f t="shared" si="55"/>
        <v>AP VEH. LONGUEUIL HUYNDAI</v>
      </c>
      <c r="AL537" s="905">
        <f>IFERROR(INDEX(G537:R537,1,MATCH(Parametres!$B$3,G$1:R$1,0)-1)*IF(OR(F537="L",F537="S",F537="I"),-1,1),"")</f>
        <v>0</v>
      </c>
      <c r="AM537" s="905">
        <f t="shared" si="50"/>
        <v>0</v>
      </c>
      <c r="AN537" s="905">
        <f>INDEX(G537:R537,1,MATCH(Parametres!$B$3,G$1:R$1,0))*IF(OR(F537="L",F537="S",F537="I"),-1,1)</f>
        <v>0</v>
      </c>
      <c r="AO537" s="487" t="str">
        <f>+VLOOKUP($AJ537,Data_Validation!$A:$D,1,0)</f>
        <v>G33050</v>
      </c>
      <c r="AP537" s="487" t="str">
        <f>+VLOOKUP($AJ537,Data_Validation!$A:$D,3,0)</f>
        <v>Bilan</v>
      </c>
      <c r="AQ537" s="487" t="str">
        <f>+VLOOKUP($AJ537,Data_Validation!$A:$D,4,0)</f>
        <v>Payables Intercos</v>
      </c>
      <c r="AR537" s="487" t="s">
        <v>299</v>
      </c>
      <c r="AS537" s="487">
        <f>+VLOOKUP($AJ537,Data_Validation!$A:$E,5,0)</f>
        <v>0</v>
      </c>
      <c r="AT537" s="904" t="str">
        <f t="shared" si="51"/>
        <v>G33050</v>
      </c>
      <c r="AU537" s="488" t="str">
        <f t="shared" si="52"/>
        <v>AP VEH. LONGUEUIL HUYNDAI</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customHeight="1">
      <c r="A538" s="706" t="s">
        <v>1148</v>
      </c>
      <c r="B538" s="706">
        <v>2026</v>
      </c>
      <c r="C538" s="706" t="s">
        <v>2151</v>
      </c>
      <c r="D538" s="706" t="s">
        <v>3308</v>
      </c>
      <c r="E538" s="706" t="s">
        <v>1139</v>
      </c>
      <c r="F538" s="706" t="s">
        <v>1135</v>
      </c>
      <c r="G538" s="706">
        <v>4700.8500000000004</v>
      </c>
      <c r="H538" s="706">
        <v>6127.32</v>
      </c>
      <c r="I538" s="706">
        <v>312.14</v>
      </c>
      <c r="J538" s="706">
        <v>4525.93</v>
      </c>
      <c r="K538" s="706">
        <v>7740.16</v>
      </c>
      <c r="L538" s="706">
        <v>9222.64</v>
      </c>
      <c r="M538" s="706">
        <v>8225.2000000000007</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G33100</v>
      </c>
      <c r="AK538" s="905" t="str">
        <f t="shared" si="55"/>
        <v>ACC VENDU NON INSTALLE</v>
      </c>
      <c r="AL538" s="905">
        <f>IFERROR(INDEX(G538:R538,1,MATCH(Parametres!$B$3,G$1:R$1,0)-1)*IF(OR(F538="L",F538="S",F538="I"),-1,1),"")</f>
        <v>-7740.16</v>
      </c>
      <c r="AM538" s="905">
        <f t="shared" si="50"/>
        <v>-1482.4799999999996</v>
      </c>
      <c r="AN538" s="905">
        <f>INDEX(G538:R538,1,MATCH(Parametres!$B$3,G$1:R$1,0))*IF(OR(F538="L",F538="S",F538="I"),-1,1)</f>
        <v>-9222.64</v>
      </c>
      <c r="AO538" s="487" t="str">
        <f>+VLOOKUP($AJ538,Data_Validation!$A:$D,1,0)</f>
        <v>G33100</v>
      </c>
      <c r="AP538" s="487" t="str">
        <f>+VLOOKUP($AJ538,Data_Validation!$A:$D,3,0)</f>
        <v>Bilan</v>
      </c>
      <c r="AQ538" s="487" t="str">
        <f>+VLOOKUP($AJ538,Data_Validation!$A:$D,4,0)</f>
        <v>Autres Comptes à Payer</v>
      </c>
      <c r="AR538" s="487" t="s">
        <v>299</v>
      </c>
      <c r="AS538" s="487">
        <f>+VLOOKUP($AJ538,Data_Validation!$A:$E,5,0)</f>
        <v>0</v>
      </c>
      <c r="AT538" s="904" t="str">
        <f t="shared" si="51"/>
        <v>G33100</v>
      </c>
      <c r="AU538" s="488" t="str">
        <f t="shared" si="52"/>
        <v>ACC VENDU NON INSTALLE</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customHeight="1">
      <c r="A539" s="706" t="s">
        <v>1148</v>
      </c>
      <c r="B539" s="706">
        <v>2026</v>
      </c>
      <c r="C539" s="706" t="s">
        <v>2153</v>
      </c>
      <c r="D539" s="706" t="s">
        <v>2154</v>
      </c>
      <c r="E539" s="706" t="s">
        <v>333</v>
      </c>
      <c r="F539" s="706" t="s">
        <v>1135</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G33101</v>
      </c>
      <c r="AK539" s="905" t="str">
        <f t="shared" si="55"/>
        <v>PROVISION PUBLICITE</v>
      </c>
      <c r="AL539" s="905">
        <f>IFERROR(INDEX(G539:R539,1,MATCH(Parametres!$B$3,G$1:R$1,0)-1)*IF(OR(F539="L",F539="S",F539="I"),-1,1),"")</f>
        <v>0</v>
      </c>
      <c r="AM539" s="905">
        <f t="shared" si="50"/>
        <v>0</v>
      </c>
      <c r="AN539" s="905">
        <f>INDEX(G539:R539,1,MATCH(Parametres!$B$3,G$1:R$1,0))*IF(OR(F539="L",F539="S",F539="I"),-1,1)</f>
        <v>0</v>
      </c>
      <c r="AO539" s="487" t="str">
        <f>+VLOOKUP($AJ539,Data_Validation!$A:$D,1,0)</f>
        <v>G33101</v>
      </c>
      <c r="AP539" s="487" t="str">
        <f>+VLOOKUP($AJ539,Data_Validation!$A:$D,3,0)</f>
        <v>Bilan</v>
      </c>
      <c r="AQ539" s="487" t="str">
        <f>+VLOOKUP($AJ539,Data_Validation!$A:$D,4,0)</f>
        <v>Autres Courus</v>
      </c>
      <c r="AR539" s="487" t="s">
        <v>299</v>
      </c>
      <c r="AS539" s="487">
        <f>+VLOOKUP($AJ539,Data_Validation!$A:$E,5,0)</f>
        <v>0</v>
      </c>
      <c r="AT539" s="904" t="str">
        <f t="shared" si="51"/>
        <v>G33101</v>
      </c>
      <c r="AU539" s="488" t="str">
        <f t="shared" si="52"/>
        <v>PROVISION PUBLICITE</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customHeight="1">
      <c r="A540" s="706" t="s">
        <v>1148</v>
      </c>
      <c r="B540" s="706">
        <v>2026</v>
      </c>
      <c r="C540" s="706" t="s">
        <v>2155</v>
      </c>
      <c r="D540" s="706" t="s">
        <v>2156</v>
      </c>
      <c r="E540" s="706" t="s">
        <v>333</v>
      </c>
      <c r="F540" s="706" t="s">
        <v>1135</v>
      </c>
      <c r="G540" s="706">
        <v>258113.68</v>
      </c>
      <c r="H540" s="706">
        <v>276039.8</v>
      </c>
      <c r="I540" s="706">
        <v>276197.55</v>
      </c>
      <c r="J540" s="706">
        <v>282895.93</v>
      </c>
      <c r="K540" s="706">
        <v>273009.69</v>
      </c>
      <c r="L540" s="706">
        <v>275839.28999999998</v>
      </c>
      <c r="M540" s="706">
        <v>263021.31</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G33102</v>
      </c>
      <c r="AK540" s="905" t="str">
        <f t="shared" si="55"/>
        <v>PROVISIONS POUR VACANCES</v>
      </c>
      <c r="AL540" s="905">
        <f>IFERROR(INDEX(G540:R540,1,MATCH(Parametres!$B$3,G$1:R$1,0)-1)*IF(OR(F540="L",F540="S",F540="I"),-1,1),"")</f>
        <v>-273009.69</v>
      </c>
      <c r="AM540" s="905">
        <f t="shared" si="50"/>
        <v>-2829.5999999999767</v>
      </c>
      <c r="AN540" s="905">
        <f>INDEX(G540:R540,1,MATCH(Parametres!$B$3,G$1:R$1,0))*IF(OR(F540="L",F540="S",F540="I"),-1,1)</f>
        <v>-275839.28999999998</v>
      </c>
      <c r="AO540" s="487" t="str">
        <f>+VLOOKUP($AJ540,Data_Validation!$A:$D,1,0)</f>
        <v>G33102</v>
      </c>
      <c r="AP540" s="487" t="str">
        <f>+VLOOKUP($AJ540,Data_Validation!$A:$D,3,0)</f>
        <v>Bilan</v>
      </c>
      <c r="AQ540" s="487" t="str">
        <f>+VLOOKUP($AJ540,Data_Validation!$A:$D,4,0)</f>
        <v>Salaires à Payer</v>
      </c>
      <c r="AR540" s="487" t="s">
        <v>299</v>
      </c>
      <c r="AS540" s="487">
        <f>+VLOOKUP($AJ540,Data_Validation!$A:$E,5,0)</f>
        <v>0</v>
      </c>
      <c r="AT540" s="904" t="str">
        <f t="shared" si="51"/>
        <v>G33102</v>
      </c>
      <c r="AU540" s="488" t="str">
        <f t="shared" si="52"/>
        <v>PROVISIONS POUR VACANCES</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customHeight="1">
      <c r="A541" s="706" t="s">
        <v>1148</v>
      </c>
      <c r="B541" s="706">
        <v>2026</v>
      </c>
      <c r="C541" s="706" t="s">
        <v>2157</v>
      </c>
      <c r="D541" s="706" t="s">
        <v>2158</v>
      </c>
      <c r="E541" s="706" t="s">
        <v>336</v>
      </c>
      <c r="F541" s="706" t="s">
        <v>1135</v>
      </c>
      <c r="G541" s="706">
        <v>0</v>
      </c>
      <c r="H541" s="706">
        <v>900</v>
      </c>
      <c r="I541" s="706">
        <v>7000</v>
      </c>
      <c r="J541" s="706">
        <v>4068.52</v>
      </c>
      <c r="K541" s="706">
        <v>9993.52</v>
      </c>
      <c r="L541" s="706">
        <v>12361.57</v>
      </c>
      <c r="M541" s="706">
        <v>13861.57</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G33103</v>
      </c>
      <c r="AK541" s="905" t="str">
        <f t="shared" si="55"/>
        <v>RESERVE USA</v>
      </c>
      <c r="AL541" s="905">
        <f>IFERROR(INDEX(G541:R541,1,MATCH(Parametres!$B$3,G$1:R$1,0)-1)*IF(OR(F541="L",F541="S",F541="I"),-1,1),"")</f>
        <v>-9993.52</v>
      </c>
      <c r="AM541" s="905">
        <f t="shared" si="50"/>
        <v>-2368.0499999999993</v>
      </c>
      <c r="AN541" s="905">
        <f>INDEX(G541:R541,1,MATCH(Parametres!$B$3,G$1:R$1,0))*IF(OR(F541="L",F541="S",F541="I"),-1,1)</f>
        <v>-12361.57</v>
      </c>
      <c r="AO541" s="487" t="str">
        <f>+VLOOKUP($AJ541,Data_Validation!$A:$D,1,0)</f>
        <v>G33103</v>
      </c>
      <c r="AP541" s="487" t="str">
        <f>+VLOOKUP($AJ541,Data_Validation!$A:$D,3,0)</f>
        <v>Bilan</v>
      </c>
      <c r="AQ541" s="487" t="str">
        <f>+VLOOKUP($AJ541,Data_Validation!$A:$D,4,0)</f>
        <v>Autres Courus</v>
      </c>
      <c r="AR541" s="487" t="s">
        <v>299</v>
      </c>
      <c r="AS541" s="487">
        <f>+VLOOKUP($AJ541,Data_Validation!$A:$E,5,0)</f>
        <v>0</v>
      </c>
      <c r="AT541" s="904" t="str">
        <f t="shared" si="51"/>
        <v>G33103</v>
      </c>
      <c r="AU541" s="488" t="str">
        <f t="shared" si="52"/>
        <v>RESERVE USA</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customHeight="1">
      <c r="A542" s="706" t="s">
        <v>1148</v>
      </c>
      <c r="B542" s="706">
        <v>2026</v>
      </c>
      <c r="C542" s="706" t="s">
        <v>2159</v>
      </c>
      <c r="D542" s="706" t="s">
        <v>2160</v>
      </c>
      <c r="E542" s="706" t="s">
        <v>1139</v>
      </c>
      <c r="F542" s="706" t="s">
        <v>1135</v>
      </c>
      <c r="G542" s="706">
        <v>11405</v>
      </c>
      <c r="H542" s="706">
        <v>14155</v>
      </c>
      <c r="I542" s="706">
        <v>16155</v>
      </c>
      <c r="J542" s="706">
        <v>17655</v>
      </c>
      <c r="K542" s="706">
        <v>18155</v>
      </c>
      <c r="L542" s="706">
        <v>18155</v>
      </c>
      <c r="M542" s="706">
        <v>18155</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G33104</v>
      </c>
      <c r="AK542" s="905" t="str">
        <f t="shared" si="55"/>
        <v>RESERVE FLOTTES</v>
      </c>
      <c r="AL542" s="905">
        <f>IFERROR(INDEX(G542:R542,1,MATCH(Parametres!$B$3,G$1:R$1,0)-1)*IF(OR(F542="L",F542="S",F542="I"),-1,1),"")</f>
        <v>-18155</v>
      </c>
      <c r="AM542" s="905">
        <f t="shared" si="50"/>
        <v>0</v>
      </c>
      <c r="AN542" s="905">
        <f>INDEX(G542:R542,1,MATCH(Parametres!$B$3,G$1:R$1,0))*IF(OR(F542="L",F542="S",F542="I"),-1,1)</f>
        <v>-18155</v>
      </c>
      <c r="AO542" s="487" t="str">
        <f>+VLOOKUP($AJ542,Data_Validation!$A:$D,1,0)</f>
        <v>G33104</v>
      </c>
      <c r="AP542" s="487" t="str">
        <f>+VLOOKUP($AJ542,Data_Validation!$A:$D,3,0)</f>
        <v>Bilan</v>
      </c>
      <c r="AQ542" s="487" t="str">
        <f>+VLOOKUP($AJ542,Data_Validation!$A:$D,4,0)</f>
        <v>Autres Courus</v>
      </c>
      <c r="AR542" s="487" t="s">
        <v>299</v>
      </c>
      <c r="AS542" s="487">
        <f>+VLOOKUP($AJ542,Data_Validation!$A:$E,5,0)</f>
        <v>0</v>
      </c>
      <c r="AT542" s="904" t="str">
        <f t="shared" si="51"/>
        <v>G33104</v>
      </c>
      <c r="AU542" s="488" t="str">
        <f t="shared" si="52"/>
        <v>RESERVE FLOTTES</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customHeight="1">
      <c r="A543" s="706" t="s">
        <v>1148</v>
      </c>
      <c r="B543" s="706">
        <v>2026</v>
      </c>
      <c r="C543" s="706" t="s">
        <v>2161</v>
      </c>
      <c r="D543" s="706" t="s">
        <v>2162</v>
      </c>
      <c r="E543" s="706" t="s">
        <v>336</v>
      </c>
      <c r="F543" s="706" t="s">
        <v>1135</v>
      </c>
      <c r="G543" s="706">
        <v>2230.75</v>
      </c>
      <c r="H543" s="706">
        <v>2230.75</v>
      </c>
      <c r="I543" s="706">
        <v>2230.75</v>
      </c>
      <c r="J543" s="706">
        <v>2230.75</v>
      </c>
      <c r="K543" s="706">
        <v>2230.75</v>
      </c>
      <c r="L543" s="706">
        <v>2230.75</v>
      </c>
      <c r="M543" s="706">
        <v>2230.75</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G33105</v>
      </c>
      <c r="AK543" s="905" t="str">
        <f t="shared" si="55"/>
        <v>RESERVE TRANSP.WHOLESALE</v>
      </c>
      <c r="AL543" s="905">
        <f>IFERROR(INDEX(G543:R543,1,MATCH(Parametres!$B$3,G$1:R$1,0)-1)*IF(OR(F543="L",F543="S",F543="I"),-1,1),"")</f>
        <v>-2230.75</v>
      </c>
      <c r="AM543" s="905">
        <f t="shared" si="50"/>
        <v>0</v>
      </c>
      <c r="AN543" s="905">
        <f>INDEX(G543:R543,1,MATCH(Parametres!$B$3,G$1:R$1,0))*IF(OR(F543="L",F543="S",F543="I"),-1,1)</f>
        <v>-2230.75</v>
      </c>
      <c r="AO543" s="487" t="str">
        <f>+VLOOKUP($AJ543,Data_Validation!$A:$D,1,0)</f>
        <v>G33105</v>
      </c>
      <c r="AP543" s="487" t="str">
        <f>+VLOOKUP($AJ543,Data_Validation!$A:$D,3,0)</f>
        <v>Bilan</v>
      </c>
      <c r="AQ543" s="487" t="str">
        <f>+VLOOKUP($AJ543,Data_Validation!$A:$D,4,0)</f>
        <v>Autres Courus</v>
      </c>
      <c r="AR543" s="487" t="s">
        <v>299</v>
      </c>
      <c r="AS543" s="487">
        <f>+VLOOKUP($AJ543,Data_Validation!$A:$E,5,0)</f>
        <v>0</v>
      </c>
      <c r="AT543" s="904" t="str">
        <f t="shared" si="51"/>
        <v>G33105</v>
      </c>
      <c r="AU543" s="488" t="str">
        <f t="shared" si="52"/>
        <v>RESERVE TRANSP.WHOLESALE</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customHeight="1">
      <c r="A544" s="706" t="s">
        <v>1148</v>
      </c>
      <c r="B544" s="706">
        <v>2026</v>
      </c>
      <c r="C544" s="706" t="s">
        <v>2163</v>
      </c>
      <c r="D544" s="706" t="s">
        <v>2164</v>
      </c>
      <c r="E544" s="706" t="s">
        <v>1139</v>
      </c>
      <c r="F544" s="706" t="s">
        <v>1135</v>
      </c>
      <c r="G544" s="706">
        <v>-59856.17</v>
      </c>
      <c r="H544" s="706">
        <v>-56377.41</v>
      </c>
      <c r="I544" s="706">
        <v>-51741.85</v>
      </c>
      <c r="J544" s="706">
        <v>-41059.89</v>
      </c>
      <c r="K544" s="706">
        <v>-27006.69</v>
      </c>
      <c r="L544" s="706">
        <v>-17971.02</v>
      </c>
      <c r="M544" s="706">
        <v>-1945.11</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G33106</v>
      </c>
      <c r="AK544" s="905" t="str">
        <f t="shared" si="55"/>
        <v>RESERVE DEMO</v>
      </c>
      <c r="AL544" s="905">
        <f>IFERROR(INDEX(G544:R544,1,MATCH(Parametres!$B$3,G$1:R$1,0)-1)*IF(OR(F544="L",F544="S",F544="I"),-1,1),"")</f>
        <v>27006.69</v>
      </c>
      <c r="AM544" s="905">
        <f t="shared" si="50"/>
        <v>-9035.6699999999983</v>
      </c>
      <c r="AN544" s="905">
        <f>INDEX(G544:R544,1,MATCH(Parametres!$B$3,G$1:R$1,0))*IF(OR(F544="L",F544="S",F544="I"),-1,1)</f>
        <v>17971.02</v>
      </c>
      <c r="AO544" s="487" t="str">
        <f>+VLOOKUP($AJ544,Data_Validation!$A:$D,1,0)</f>
        <v>G33106</v>
      </c>
      <c r="AP544" s="487" t="str">
        <f>+VLOOKUP($AJ544,Data_Validation!$A:$D,3,0)</f>
        <v>Bilan</v>
      </c>
      <c r="AQ544" s="487" t="str">
        <f>+VLOOKUP($AJ544,Data_Validation!$A:$D,4,0)</f>
        <v>Autres Courus</v>
      </c>
      <c r="AR544" s="487" t="s">
        <v>299</v>
      </c>
      <c r="AS544" s="487">
        <f>+VLOOKUP($AJ544,Data_Validation!$A:$E,5,0)</f>
        <v>0</v>
      </c>
      <c r="AT544" s="904" t="str">
        <f t="shared" si="51"/>
        <v>G33106</v>
      </c>
      <c r="AU544" s="488" t="str">
        <f t="shared" si="52"/>
        <v>RESERVE DEMO</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customHeight="1">
      <c r="A545" s="706" t="s">
        <v>1148</v>
      </c>
      <c r="B545" s="706">
        <v>2026</v>
      </c>
      <c r="C545" s="706" t="s">
        <v>2165</v>
      </c>
      <c r="D545" s="706" t="s">
        <v>2166</v>
      </c>
      <c r="E545" s="706" t="s">
        <v>1139</v>
      </c>
      <c r="F545" s="706" t="s">
        <v>1135</v>
      </c>
      <c r="G545" s="706">
        <v>-79159.12</v>
      </c>
      <c r="H545" s="706">
        <v>-79159.12</v>
      </c>
      <c r="I545" s="706">
        <v>-79633.53</v>
      </c>
      <c r="J545" s="706">
        <v>-77159.12</v>
      </c>
      <c r="K545" s="706">
        <v>-77660.12</v>
      </c>
      <c r="L545" s="706">
        <v>-77257</v>
      </c>
      <c r="M545" s="706">
        <v>-77257</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G33107</v>
      </c>
      <c r="AK545" s="905" t="str">
        <f t="shared" si="55"/>
        <v>ACCESSOIRES FLOTTES</v>
      </c>
      <c r="AL545" s="905">
        <f>IFERROR(INDEX(G545:R545,1,MATCH(Parametres!$B$3,G$1:R$1,0)-1)*IF(OR(F545="L",F545="S",F545="I"),-1,1),"")</f>
        <v>77660.12</v>
      </c>
      <c r="AM545" s="905">
        <f t="shared" si="50"/>
        <v>-403.11999999999534</v>
      </c>
      <c r="AN545" s="905">
        <f>INDEX(G545:R545,1,MATCH(Parametres!$B$3,G$1:R$1,0))*IF(OR(F545="L",F545="S",F545="I"),-1,1)</f>
        <v>77257</v>
      </c>
      <c r="AO545" s="487" t="str">
        <f>+VLOOKUP($AJ545,Data_Validation!$A:$D,1,0)</f>
        <v>G33107</v>
      </c>
      <c r="AP545" s="487" t="str">
        <f>+VLOOKUP($AJ545,Data_Validation!$A:$D,3,0)</f>
        <v>Bilan</v>
      </c>
      <c r="AQ545" s="487" t="str">
        <f>+VLOOKUP($AJ545,Data_Validation!$A:$D,4,0)</f>
        <v>Autres Comptes à Payer</v>
      </c>
      <c r="AR545" s="487" t="s">
        <v>299</v>
      </c>
      <c r="AS545" s="487">
        <f>+VLOOKUP($AJ545,Data_Validation!$A:$E,5,0)</f>
        <v>0</v>
      </c>
      <c r="AT545" s="904" t="str">
        <f t="shared" si="51"/>
        <v>G33107</v>
      </c>
      <c r="AU545" s="488" t="str">
        <f t="shared" si="52"/>
        <v>ACCESSOIRES FLOTTES</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customHeight="1">
      <c r="A546" s="706" t="s">
        <v>1148</v>
      </c>
      <c r="B546" s="706">
        <v>2026</v>
      </c>
      <c r="C546" s="706" t="s">
        <v>2167</v>
      </c>
      <c r="D546" s="706" t="s">
        <v>2168</v>
      </c>
      <c r="E546" s="706" t="s">
        <v>336</v>
      </c>
      <c r="F546" s="706" t="s">
        <v>1135</v>
      </c>
      <c r="G546" s="706">
        <v>0</v>
      </c>
      <c r="H546" s="706">
        <v>0</v>
      </c>
      <c r="I546" s="706">
        <v>0</v>
      </c>
      <c r="J546" s="706">
        <v>0</v>
      </c>
      <c r="K546" s="706">
        <v>0</v>
      </c>
      <c r="L546" s="706">
        <v>0</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G33110</v>
      </c>
      <c r="AK546" s="905" t="str">
        <f t="shared" si="55"/>
        <v>RABAIS LOCATION LMB INC</v>
      </c>
      <c r="AL546" s="905">
        <f>IFERROR(INDEX(G546:R546,1,MATCH(Parametres!$B$3,G$1:R$1,0)-1)*IF(OR(F546="L",F546="S",F546="I"),-1,1),"")</f>
        <v>0</v>
      </c>
      <c r="AM546" s="905">
        <f t="shared" si="50"/>
        <v>0</v>
      </c>
      <c r="AN546" s="905">
        <f>INDEX(G546:R546,1,MATCH(Parametres!$B$3,G$1:R$1,0))*IF(OR(F546="L",F546="S",F546="I"),-1,1)</f>
        <v>0</v>
      </c>
      <c r="AO546" s="487" t="str">
        <f>+VLOOKUP($AJ546,Data_Validation!$A:$D,1,0)</f>
        <v>G33110</v>
      </c>
      <c r="AP546" s="487">
        <f>+VLOOKUP($AJ546,Data_Validation!$A:$D,3,0)</f>
        <v>0</v>
      </c>
      <c r="AQ546" s="487">
        <f>+VLOOKUP($AJ546,Data_Validation!$A:$D,4,0)</f>
        <v>0</v>
      </c>
      <c r="AR546" s="487" t="s">
        <v>299</v>
      </c>
      <c r="AS546" s="487">
        <f>+VLOOKUP($AJ546,Data_Validation!$A:$E,5,0)</f>
        <v>0</v>
      </c>
      <c r="AT546" s="904" t="str">
        <f t="shared" si="51"/>
        <v>G33110</v>
      </c>
      <c r="AU546" s="488" t="str">
        <f t="shared" si="52"/>
        <v>RABAIS LOCATION LMB INC</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customHeight="1">
      <c r="A547" s="706" t="s">
        <v>1148</v>
      </c>
      <c r="B547" s="706">
        <v>2026</v>
      </c>
      <c r="C547" s="706" t="s">
        <v>2169</v>
      </c>
      <c r="D547" s="706" t="s">
        <v>2170</v>
      </c>
      <c r="E547" s="706" t="s">
        <v>333</v>
      </c>
      <c r="F547" s="706" t="s">
        <v>1135</v>
      </c>
      <c r="G547" s="706">
        <v>-200</v>
      </c>
      <c r="H547" s="706">
        <v>-200</v>
      </c>
      <c r="I547" s="706">
        <v>-200</v>
      </c>
      <c r="J547" s="706">
        <v>-200</v>
      </c>
      <c r="K547" s="706">
        <v>750</v>
      </c>
      <c r="L547" s="706">
        <v>1550</v>
      </c>
      <c r="M547" s="706">
        <v>4100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G33111</v>
      </c>
      <c r="AK547" s="905" t="str">
        <f t="shared" si="55"/>
        <v>PROVISION WHOLESSALE</v>
      </c>
      <c r="AL547" s="905">
        <f>IFERROR(INDEX(G547:R547,1,MATCH(Parametres!$B$3,G$1:R$1,0)-1)*IF(OR(F547="L",F547="S",F547="I"),-1,1),"")</f>
        <v>-750</v>
      </c>
      <c r="AM547" s="905">
        <f t="shared" si="50"/>
        <v>-800</v>
      </c>
      <c r="AN547" s="905">
        <f>INDEX(G547:R547,1,MATCH(Parametres!$B$3,G$1:R$1,0))*IF(OR(F547="L",F547="S",F547="I"),-1,1)</f>
        <v>-1550</v>
      </c>
      <c r="AO547" s="487" t="str">
        <f>+VLOOKUP($AJ547,Data_Validation!$A:$D,1,0)</f>
        <v>G33111</v>
      </c>
      <c r="AP547" s="487" t="str">
        <f>+VLOOKUP($AJ547,Data_Validation!$A:$D,3,0)</f>
        <v>Bilan</v>
      </c>
      <c r="AQ547" s="487" t="str">
        <f>+VLOOKUP($AJ547,Data_Validation!$A:$D,4,0)</f>
        <v>Autres Courus</v>
      </c>
      <c r="AR547" s="487" t="s">
        <v>299</v>
      </c>
      <c r="AS547" s="487">
        <f>+VLOOKUP($AJ547,Data_Validation!$A:$E,5,0)</f>
        <v>0</v>
      </c>
      <c r="AT547" s="904" t="str">
        <f t="shared" si="51"/>
        <v>G33111</v>
      </c>
      <c r="AU547" s="488" t="str">
        <f t="shared" si="52"/>
        <v>PROVISION WHOLESSALE</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customHeight="1">
      <c r="A548" s="706" t="s">
        <v>1148</v>
      </c>
      <c r="B548" s="706">
        <v>2026</v>
      </c>
      <c r="C548" s="706" t="s">
        <v>2171</v>
      </c>
      <c r="D548" s="706" t="s">
        <v>2172</v>
      </c>
      <c r="E548" s="706" t="s">
        <v>333</v>
      </c>
      <c r="F548" s="706" t="s">
        <v>1135</v>
      </c>
      <c r="G548" s="706">
        <v>0</v>
      </c>
      <c r="H548" s="706">
        <v>0</v>
      </c>
      <c r="I548" s="706">
        <v>0</v>
      </c>
      <c r="J548" s="706">
        <v>0</v>
      </c>
      <c r="K548" s="706">
        <v>0</v>
      </c>
      <c r="L548" s="706">
        <v>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G33112</v>
      </c>
      <c r="AK548" s="905" t="str">
        <f t="shared" si="55"/>
        <v>PROVISION DETAIL</v>
      </c>
      <c r="AL548" s="905">
        <f>IFERROR(INDEX(G548:R548,1,MATCH(Parametres!$B$3,G$1:R$1,0)-1)*IF(OR(F548="L",F548="S",F548="I"),-1,1),"")</f>
        <v>0</v>
      </c>
      <c r="AM548" s="905">
        <f t="shared" si="50"/>
        <v>0</v>
      </c>
      <c r="AN548" s="905">
        <f>INDEX(G548:R548,1,MATCH(Parametres!$B$3,G$1:R$1,0))*IF(OR(F548="L",F548="S",F548="I"),-1,1)</f>
        <v>0</v>
      </c>
      <c r="AO548" s="487" t="str">
        <f>+VLOOKUP($AJ548,Data_Validation!$A:$D,1,0)</f>
        <v>G33112</v>
      </c>
      <c r="AP548" s="487" t="str">
        <f>+VLOOKUP($AJ548,Data_Validation!$A:$D,3,0)</f>
        <v>Bilan</v>
      </c>
      <c r="AQ548" s="487" t="str">
        <f>+VLOOKUP($AJ548,Data_Validation!$A:$D,4,0)</f>
        <v>Autres Courus</v>
      </c>
      <c r="AR548" s="487" t="s">
        <v>299</v>
      </c>
      <c r="AS548" s="487">
        <f>+VLOOKUP($AJ548,Data_Validation!$A:$E,5,0)</f>
        <v>0</v>
      </c>
      <c r="AT548" s="904" t="str">
        <f t="shared" si="51"/>
        <v>G33112</v>
      </c>
      <c r="AU548" s="488" t="str">
        <f t="shared" si="52"/>
        <v>PROVISION DETAIL</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customHeight="1">
      <c r="A549" s="706" t="s">
        <v>1148</v>
      </c>
      <c r="B549" s="706">
        <v>2026</v>
      </c>
      <c r="C549" s="706" t="s">
        <v>2173</v>
      </c>
      <c r="D549" s="706" t="s">
        <v>2174</v>
      </c>
      <c r="E549" s="706" t="s">
        <v>333</v>
      </c>
      <c r="F549" s="706" t="s">
        <v>1135</v>
      </c>
      <c r="G549" s="706">
        <v>6050</v>
      </c>
      <c r="H549" s="706">
        <v>7800</v>
      </c>
      <c r="I549" s="706">
        <v>11050</v>
      </c>
      <c r="J549" s="706">
        <v>18950</v>
      </c>
      <c r="K549" s="706">
        <v>48850</v>
      </c>
      <c r="L549" s="706">
        <v>70500</v>
      </c>
      <c r="M549" s="706">
        <v>70500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G33113</v>
      </c>
      <c r="AK549" s="905" t="str">
        <f t="shared" si="55"/>
        <v>PROVISION USA</v>
      </c>
      <c r="AL549" s="905">
        <f>IFERROR(INDEX(G549:R549,1,MATCH(Parametres!$B$3,G$1:R$1,0)-1)*IF(OR(F549="L",F549="S",F549="I"),-1,1),"")</f>
        <v>-48850</v>
      </c>
      <c r="AM549" s="905">
        <f t="shared" si="50"/>
        <v>-21650</v>
      </c>
      <c r="AN549" s="905">
        <f>INDEX(G549:R549,1,MATCH(Parametres!$B$3,G$1:R$1,0))*IF(OR(F549="L",F549="S",F549="I"),-1,1)</f>
        <v>-70500</v>
      </c>
      <c r="AO549" s="487" t="str">
        <f>+VLOOKUP($AJ549,Data_Validation!$A:$D,1,0)</f>
        <v>G33113</v>
      </c>
      <c r="AP549" s="487" t="str">
        <f>+VLOOKUP($AJ549,Data_Validation!$A:$D,3,0)</f>
        <v>Bilan</v>
      </c>
      <c r="AQ549" s="487" t="str">
        <f>+VLOOKUP($AJ549,Data_Validation!$A:$D,4,0)</f>
        <v>Autres Courus</v>
      </c>
      <c r="AR549" s="487" t="s">
        <v>299</v>
      </c>
      <c r="AS549" s="487">
        <f>+VLOOKUP($AJ549,Data_Validation!$A:$E,5,0)</f>
        <v>0</v>
      </c>
      <c r="AT549" s="904" t="str">
        <f t="shared" si="51"/>
        <v>G33113</v>
      </c>
      <c r="AU549" s="488" t="str">
        <f t="shared" si="52"/>
        <v>PROVISION USA</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customHeight="1">
      <c r="A550" s="706" t="s">
        <v>1148</v>
      </c>
      <c r="B550" s="706">
        <v>2026</v>
      </c>
      <c r="C550" s="706" t="s">
        <v>2175</v>
      </c>
      <c r="D550" s="706" t="s">
        <v>2176</v>
      </c>
      <c r="E550" s="706" t="s">
        <v>333</v>
      </c>
      <c r="F550" s="706" t="s">
        <v>1135</v>
      </c>
      <c r="G550" s="706">
        <v>0</v>
      </c>
      <c r="H550" s="706">
        <v>0</v>
      </c>
      <c r="I550" s="706">
        <v>0</v>
      </c>
      <c r="J550" s="706">
        <v>0</v>
      </c>
      <c r="K550" s="706">
        <v>0</v>
      </c>
      <c r="L550" s="706">
        <v>0</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G33114</v>
      </c>
      <c r="AK550" s="905" t="str">
        <f t="shared" si="55"/>
        <v>PROVISION HERELLE</v>
      </c>
      <c r="AL550" s="905">
        <f>IFERROR(INDEX(G550:R550,1,MATCH(Parametres!$B$3,G$1:R$1,0)-1)*IF(OR(F550="L",F550="S",F550="I"),-1,1),"")</f>
        <v>0</v>
      </c>
      <c r="AM550" s="905">
        <f t="shared" si="50"/>
        <v>0</v>
      </c>
      <c r="AN550" s="905">
        <f>INDEX(G550:R550,1,MATCH(Parametres!$B$3,G$1:R$1,0))*IF(OR(F550="L",F550="S",F550="I"),-1,1)</f>
        <v>0</v>
      </c>
      <c r="AO550" s="487" t="str">
        <f>+VLOOKUP($AJ550,Data_Validation!$A:$D,1,0)</f>
        <v>G33114</v>
      </c>
      <c r="AP550" s="487" t="str">
        <f>+VLOOKUP($AJ550,Data_Validation!$A:$D,3,0)</f>
        <v>Bilan</v>
      </c>
      <c r="AQ550" s="487" t="str">
        <f>+VLOOKUP($AJ550,Data_Validation!$A:$D,4,0)</f>
        <v>Autres Courus</v>
      </c>
      <c r="AR550" s="487" t="s">
        <v>299</v>
      </c>
      <c r="AS550" s="487">
        <f>+VLOOKUP($AJ550,Data_Validation!$A:$E,5,0)</f>
        <v>0</v>
      </c>
      <c r="AT550" s="904" t="str">
        <f t="shared" si="51"/>
        <v>G33114</v>
      </c>
      <c r="AU550" s="488" t="str">
        <f t="shared" si="52"/>
        <v>PROVISION HERELLE</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customHeight="1">
      <c r="A551" s="706" t="s">
        <v>1148</v>
      </c>
      <c r="B551" s="706">
        <v>2026</v>
      </c>
      <c r="C551" s="706" t="s">
        <v>2177</v>
      </c>
      <c r="D551" s="706" t="s">
        <v>2178</v>
      </c>
      <c r="E551" s="706" t="s">
        <v>336</v>
      </c>
      <c r="F551" s="706" t="s">
        <v>1135</v>
      </c>
      <c r="G551" s="706">
        <v>-401.17</v>
      </c>
      <c r="H551" s="706">
        <v>20908.189999999999</v>
      </c>
      <c r="I551" s="706">
        <v>-0.02</v>
      </c>
      <c r="J551" s="706">
        <v>9.4</v>
      </c>
      <c r="K551" s="706">
        <v>37602.910000000003</v>
      </c>
      <c r="L551" s="706">
        <v>49318.7</v>
      </c>
      <c r="M551" s="706">
        <v>61893.11</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G33115</v>
      </c>
      <c r="AK551" s="905" t="str">
        <f t="shared" si="55"/>
        <v>PROVISION LMB</v>
      </c>
      <c r="AL551" s="905">
        <f>IFERROR(INDEX(G551:R551,1,MATCH(Parametres!$B$3,G$1:R$1,0)-1)*IF(OR(F551="L",F551="S",F551="I"),-1,1),"")</f>
        <v>-37602.910000000003</v>
      </c>
      <c r="AM551" s="905">
        <f t="shared" si="50"/>
        <v>-11715.789999999994</v>
      </c>
      <c r="AN551" s="905">
        <f>INDEX(G551:R551,1,MATCH(Parametres!$B$3,G$1:R$1,0))*IF(OR(F551="L",F551="S",F551="I"),-1,1)</f>
        <v>-49318.7</v>
      </c>
      <c r="AO551" s="487" t="str">
        <f>+VLOOKUP($AJ551,Data_Validation!$A:$D,1,0)</f>
        <v>G33115</v>
      </c>
      <c r="AP551" s="487" t="str">
        <f>+VLOOKUP($AJ551,Data_Validation!$A:$D,3,0)</f>
        <v>Bilan</v>
      </c>
      <c r="AQ551" s="487" t="str">
        <f>+VLOOKUP($AJ551,Data_Validation!$A:$D,4,0)</f>
        <v>Autres Courus</v>
      </c>
      <c r="AR551" s="487" t="s">
        <v>299</v>
      </c>
      <c r="AS551" s="487">
        <f>+VLOOKUP($AJ551,Data_Validation!$A:$E,5,0)</f>
        <v>0</v>
      </c>
      <c r="AT551" s="904" t="str">
        <f t="shared" si="51"/>
        <v>G33115</v>
      </c>
      <c r="AU551" s="488" t="str">
        <f t="shared" si="52"/>
        <v>PROVISION LMB</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customHeight="1">
      <c r="A552" s="706" t="s">
        <v>1148</v>
      </c>
      <c r="B552" s="706">
        <v>2026</v>
      </c>
      <c r="C552" s="706" t="s">
        <v>2179</v>
      </c>
      <c r="D552" s="706" t="s">
        <v>2180</v>
      </c>
      <c r="E552" s="706" t="s">
        <v>336</v>
      </c>
      <c r="F552" s="706" t="s">
        <v>1135</v>
      </c>
      <c r="G552" s="706">
        <v>0</v>
      </c>
      <c r="H552" s="706">
        <v>0</v>
      </c>
      <c r="I552" s="706">
        <v>0</v>
      </c>
      <c r="J552" s="706">
        <v>0</v>
      </c>
      <c r="K552" s="706">
        <v>410.14</v>
      </c>
      <c r="L552" s="706">
        <v>391.57</v>
      </c>
      <c r="M552" s="706">
        <v>391.57</v>
      </c>
      <c r="N552" s="706">
        <v>0</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G33116</v>
      </c>
      <c r="AK552" s="905" t="str">
        <f t="shared" si="55"/>
        <v>PROVISION USA LMB</v>
      </c>
      <c r="AL552" s="905">
        <f>IFERROR(INDEX(G552:R552,1,MATCH(Parametres!$B$3,G$1:R$1,0)-1)*IF(OR(F552="L",F552="S",F552="I"),-1,1),"")</f>
        <v>-410.14</v>
      </c>
      <c r="AM552" s="905">
        <f t="shared" si="50"/>
        <v>18.569999999999993</v>
      </c>
      <c r="AN552" s="905">
        <f>INDEX(G552:R552,1,MATCH(Parametres!$B$3,G$1:R$1,0))*IF(OR(F552="L",F552="S",F552="I"),-1,1)</f>
        <v>-391.57</v>
      </c>
      <c r="AO552" s="487" t="str">
        <f>+VLOOKUP($AJ552,Data_Validation!$A:$D,1,0)</f>
        <v>G33116</v>
      </c>
      <c r="AP552" s="487" t="str">
        <f>+VLOOKUP($AJ552,Data_Validation!$A:$D,3,0)</f>
        <v>Bilan</v>
      </c>
      <c r="AQ552" s="487" t="str">
        <f>+VLOOKUP($AJ552,Data_Validation!$A:$D,4,0)</f>
        <v>Autres Courus</v>
      </c>
      <c r="AR552" s="487" t="s">
        <v>299</v>
      </c>
      <c r="AS552" s="487">
        <f>+VLOOKUP($AJ552,Data_Validation!$A:$E,5,0)</f>
        <v>0</v>
      </c>
      <c r="AT552" s="904" t="str">
        <f t="shared" si="51"/>
        <v>G33116</v>
      </c>
      <c r="AU552" s="488" t="str">
        <f t="shared" si="52"/>
        <v>PROVISION USA LMB</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customHeight="1">
      <c r="A553" s="706" t="s">
        <v>1148</v>
      </c>
      <c r="B553" s="706">
        <v>2026</v>
      </c>
      <c r="C553" s="706" t="s">
        <v>2181</v>
      </c>
      <c r="D553" s="706" t="s">
        <v>2182</v>
      </c>
      <c r="E553" s="706" t="s">
        <v>336</v>
      </c>
      <c r="F553" s="706" t="s">
        <v>1135</v>
      </c>
      <c r="G553" s="706">
        <v>0</v>
      </c>
      <c r="H553" s="706">
        <v>0</v>
      </c>
      <c r="I553" s="706">
        <v>0</v>
      </c>
      <c r="J553" s="706">
        <v>0</v>
      </c>
      <c r="K553" s="706">
        <v>1108.44</v>
      </c>
      <c r="L553" s="706">
        <v>0</v>
      </c>
      <c r="M553" s="706">
        <v>1560.04</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G33117</v>
      </c>
      <c r="AK553" s="905" t="str">
        <f t="shared" si="55"/>
        <v>PROVISION USA BMW</v>
      </c>
      <c r="AL553" s="905">
        <f>IFERROR(INDEX(G553:R553,1,MATCH(Parametres!$B$3,G$1:R$1,0)-1)*IF(OR(F553="L",F553="S",F553="I"),-1,1),"")</f>
        <v>-1108.44</v>
      </c>
      <c r="AM553" s="905">
        <f t="shared" si="50"/>
        <v>1108.44</v>
      </c>
      <c r="AN553" s="905">
        <f>INDEX(G553:R553,1,MATCH(Parametres!$B$3,G$1:R$1,0))*IF(OR(F553="L",F553="S",F553="I"),-1,1)</f>
        <v>0</v>
      </c>
      <c r="AO553" s="487" t="str">
        <f>+VLOOKUP($AJ553,Data_Validation!$A:$D,1,0)</f>
        <v>G33117</v>
      </c>
      <c r="AP553" s="487" t="str">
        <f>+VLOOKUP($AJ553,Data_Validation!$A:$D,3,0)</f>
        <v>Bilan</v>
      </c>
      <c r="AQ553" s="487" t="str">
        <f>+VLOOKUP($AJ553,Data_Validation!$A:$D,4,0)</f>
        <v>Autres Courus</v>
      </c>
      <c r="AR553" s="487" t="s">
        <v>299</v>
      </c>
      <c r="AS553" s="487">
        <f>+VLOOKUP($AJ553,Data_Validation!$A:$E,5,0)</f>
        <v>0</v>
      </c>
      <c r="AT553" s="904" t="str">
        <f t="shared" si="51"/>
        <v>G33117</v>
      </c>
      <c r="AU553" s="488" t="str">
        <f t="shared" si="52"/>
        <v>PROVISION USA BMW</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customHeight="1">
      <c r="A554" s="706" t="s">
        <v>1148</v>
      </c>
      <c r="B554" s="706">
        <v>2026</v>
      </c>
      <c r="C554" s="706" t="s">
        <v>2183</v>
      </c>
      <c r="D554" s="706" t="s">
        <v>2184</v>
      </c>
      <c r="E554" s="706" t="s">
        <v>1139</v>
      </c>
      <c r="F554" s="706" t="s">
        <v>1135</v>
      </c>
      <c r="G554" s="706">
        <v>4200</v>
      </c>
      <c r="H554" s="706">
        <v>1950</v>
      </c>
      <c r="I554" s="706">
        <v>4700</v>
      </c>
      <c r="J554" s="706">
        <v>8700</v>
      </c>
      <c r="K554" s="706">
        <v>12824</v>
      </c>
      <c r="L554" s="706">
        <v>12824</v>
      </c>
      <c r="M554" s="706">
        <v>12824</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G33150</v>
      </c>
      <c r="AK554" s="905" t="str">
        <f t="shared" si="55"/>
        <v>SIMPLICITÉ RABAIS À PAYER</v>
      </c>
      <c r="AL554" s="905">
        <f>IFERROR(INDEX(G554:R554,1,MATCH(Parametres!$B$3,G$1:R$1,0)-1)*IF(OR(F554="L",F554="S",F554="I"),-1,1),"")</f>
        <v>-12824</v>
      </c>
      <c r="AM554" s="905">
        <f t="shared" si="50"/>
        <v>0</v>
      </c>
      <c r="AN554" s="905">
        <f>INDEX(G554:R554,1,MATCH(Parametres!$B$3,G$1:R$1,0))*IF(OR(F554="L",F554="S",F554="I"),-1,1)</f>
        <v>-12824</v>
      </c>
      <c r="AO554" s="487" t="str">
        <f>+VLOOKUP($AJ554,Data_Validation!$A:$D,1,0)</f>
        <v>G33150</v>
      </c>
      <c r="AP554" s="487" t="str">
        <f>+VLOOKUP($AJ554,Data_Validation!$A:$D,3,0)</f>
        <v>Bilan</v>
      </c>
      <c r="AQ554" s="487" t="str">
        <f>+VLOOKUP($AJ554,Data_Validation!$A:$D,4,0)</f>
        <v>Autres Courus</v>
      </c>
      <c r="AR554" s="487" t="s">
        <v>299</v>
      </c>
      <c r="AS554" s="487">
        <f>+VLOOKUP($AJ554,Data_Validation!$A:$E,5,0)</f>
        <v>0</v>
      </c>
      <c r="AT554" s="904" t="str">
        <f t="shared" si="51"/>
        <v>G33150</v>
      </c>
      <c r="AU554" s="488" t="str">
        <f t="shared" si="52"/>
        <v>SIMPLICITÉ RABAIS À PAYER</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customHeight="1">
      <c r="A555" s="706" t="s">
        <v>1148</v>
      </c>
      <c r="B555" s="706">
        <v>2026</v>
      </c>
      <c r="C555" s="706" t="s">
        <v>2185</v>
      </c>
      <c r="D555" s="706" t="s">
        <v>2186</v>
      </c>
      <c r="E555" s="706" t="s">
        <v>333</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G33200</v>
      </c>
      <c r="AK555" s="905" t="str">
        <f t="shared" si="55"/>
        <v>RACHAT ACTIONS PRIVILEGIE</v>
      </c>
      <c r="AL555" s="905">
        <f>IFERROR(INDEX(G555:R555,1,MATCH(Parametres!$B$3,G$1:R$1,0)-1)*IF(OR(F555="L",F555="S",F555="I"),-1,1),"")</f>
        <v>0</v>
      </c>
      <c r="AM555" s="905">
        <f t="shared" si="50"/>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t="str">
        <f t="shared" si="51"/>
        <v>G33200</v>
      </c>
      <c r="AU555" s="488" t="str">
        <f t="shared" si="52"/>
        <v>RACHAT ACTIONS PRIVILEGIE</v>
      </c>
      <c r="AV555" s="899">
        <f>IFERROR(INDEX(V555:AG555,1,MATCH(Parametres!$B$3,V$1:AG$1,0)-1)*IF(OR(C555="L",C555="S",C555="I"),-1,1),"")</f>
        <v>0</v>
      </c>
      <c r="AW555" s="899">
        <f t="shared" si="53"/>
        <v>0</v>
      </c>
      <c r="AX555" s="899">
        <f>INDEX(V555:AG555,1,MATCH(Parametres!$B$3,V$1:AG$1,0))*IF(OR(C555="L",C555="S",C555="I"),-1,1)</f>
        <v>0</v>
      </c>
      <c r="AY555" s="487" t="s">
        <v>337</v>
      </c>
      <c r="AZ555" s="487" t="e">
        <f>+VLOOKUP($AJ555,Data_Validation!$A:$E,5,0)</f>
        <v>#N/A</v>
      </c>
    </row>
    <row r="556" spans="1:52" ht="15" customHeight="1">
      <c r="A556" s="706" t="s">
        <v>1148</v>
      </c>
      <c r="B556" s="706">
        <v>2026</v>
      </c>
      <c r="C556" s="706" t="s">
        <v>2187</v>
      </c>
      <c r="D556" s="706" t="s">
        <v>2188</v>
      </c>
      <c r="E556" s="706" t="s">
        <v>333</v>
      </c>
      <c r="F556" s="706" t="s">
        <v>1135</v>
      </c>
      <c r="G556" s="706">
        <v>-30962</v>
      </c>
      <c r="H556" s="706">
        <v>-30962</v>
      </c>
      <c r="I556" s="706">
        <v>-30962</v>
      </c>
      <c r="J556" s="706">
        <v>-30962</v>
      </c>
      <c r="K556" s="706">
        <v>-30962</v>
      </c>
      <c r="L556" s="706">
        <v>-30962</v>
      </c>
      <c r="M556" s="706">
        <v>-30962</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G33300</v>
      </c>
      <c r="AK556" s="905" t="str">
        <f t="shared" si="55"/>
        <v>ACTIF D'IMPOTS FUTURS</v>
      </c>
      <c r="AL556" s="905">
        <f>IFERROR(INDEX(G556:R556,1,MATCH(Parametres!$B$3,G$1:R$1,0)-1)*IF(OR(F556="L",F556="S",F556="I"),-1,1),"")</f>
        <v>30962</v>
      </c>
      <c r="AM556" s="905">
        <f t="shared" si="50"/>
        <v>0</v>
      </c>
      <c r="AN556" s="905">
        <f>INDEX(G556:R556,1,MATCH(Parametres!$B$3,G$1:R$1,0))*IF(OR(F556="L",F556="S",F556="I"),-1,1)</f>
        <v>30962</v>
      </c>
      <c r="AO556" s="487" t="str">
        <f>+VLOOKUP($AJ556,Data_Validation!$A:$D,1,0)</f>
        <v>G33300</v>
      </c>
      <c r="AP556" s="487" t="str">
        <f>+VLOOKUP($AJ556,Data_Validation!$A:$D,3,0)</f>
        <v>Bilan</v>
      </c>
      <c r="AQ556" s="487" t="str">
        <f>+VLOOKUP($AJ556,Data_Validation!$A:$D,4,0)</f>
        <v>Impôts Futurs à payer</v>
      </c>
      <c r="AR556" s="487" t="s">
        <v>299</v>
      </c>
      <c r="AS556" s="487">
        <f>+VLOOKUP($AJ556,Data_Validation!$A:$E,5,0)</f>
        <v>0</v>
      </c>
      <c r="AT556" s="904" t="str">
        <f t="shared" si="51"/>
        <v>G33300</v>
      </c>
      <c r="AU556" s="488" t="str">
        <f t="shared" si="52"/>
        <v>ACTIF D'IMPOTS FUTURS</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customHeight="1">
      <c r="A557" s="706" t="s">
        <v>1148</v>
      </c>
      <c r="B557" s="706">
        <v>2026</v>
      </c>
      <c r="C557" s="706" t="s">
        <v>2189</v>
      </c>
      <c r="D557" s="706" t="s">
        <v>2190</v>
      </c>
      <c r="E557" s="706" t="s">
        <v>333</v>
      </c>
      <c r="F557" s="706" t="s">
        <v>1135</v>
      </c>
      <c r="G557" s="706">
        <v>0</v>
      </c>
      <c r="H557" s="706">
        <v>0</v>
      </c>
      <c r="I557" s="706">
        <v>0</v>
      </c>
      <c r="J557" s="706">
        <v>0</v>
      </c>
      <c r="K557" s="706">
        <v>0</v>
      </c>
      <c r="L557" s="706">
        <v>0</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G33400</v>
      </c>
      <c r="AK557" s="905" t="str">
        <f t="shared" si="55"/>
        <v>MARGE DE CRÉDIT &amp; LOYER</v>
      </c>
      <c r="AL557" s="905">
        <f>IFERROR(INDEX(G557:R557,1,MATCH(Parametres!$B$3,G$1:R$1,0)-1)*IF(OR(F557="L",F557="S",F557="I"),-1,1),"")</f>
        <v>0</v>
      </c>
      <c r="AM557" s="905">
        <f t="shared" si="50"/>
        <v>0</v>
      </c>
      <c r="AN557" s="905">
        <f>INDEX(G557:R557,1,MATCH(Parametres!$B$3,G$1:R$1,0))*IF(OR(F557="L",F557="S",F557="I"),-1,1)</f>
        <v>0</v>
      </c>
      <c r="AO557" s="487" t="str">
        <f>+VLOOKUP($AJ557,Data_Validation!$A:$D,1,0)</f>
        <v>G33400</v>
      </c>
      <c r="AP557" s="487" t="str">
        <f>+VLOOKUP($AJ557,Data_Validation!$A:$D,3,0)</f>
        <v>Bilan</v>
      </c>
      <c r="AQ557" s="487" t="str">
        <f>+VLOOKUP($AJ557,Data_Validation!$A:$D,4,0)</f>
        <v>Marge de crédit</v>
      </c>
      <c r="AR557" s="487" t="s">
        <v>299</v>
      </c>
      <c r="AS557" s="487">
        <f>+VLOOKUP($AJ557,Data_Validation!$A:$E,5,0)</f>
        <v>0</v>
      </c>
      <c r="AT557" s="904" t="str">
        <f t="shared" si="51"/>
        <v>G33400</v>
      </c>
      <c r="AU557" s="488" t="str">
        <f t="shared" si="52"/>
        <v>MARGE DE CRÉDIT &amp; LOYER</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customHeight="1">
      <c r="A558" s="706" t="s">
        <v>1148</v>
      </c>
      <c r="B558" s="706">
        <v>2026</v>
      </c>
      <c r="C558" s="706" t="s">
        <v>2191</v>
      </c>
      <c r="D558" s="706" t="s">
        <v>2192</v>
      </c>
      <c r="E558" s="706" t="s">
        <v>333</v>
      </c>
      <c r="F558" s="706" t="s">
        <v>1135</v>
      </c>
      <c r="G558" s="706">
        <v>-62787</v>
      </c>
      <c r="H558" s="706">
        <v>-62787</v>
      </c>
      <c r="I558" s="706">
        <v>-62787</v>
      </c>
      <c r="J558" s="706">
        <v>-62787</v>
      </c>
      <c r="K558" s="706">
        <v>-62787</v>
      </c>
      <c r="L558" s="706">
        <v>-62787</v>
      </c>
      <c r="M558" s="706">
        <v>-62787</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G33600</v>
      </c>
      <c r="AK558" s="905" t="str">
        <f t="shared" si="55"/>
        <v>RRI</v>
      </c>
      <c r="AL558" s="905">
        <f>IFERROR(INDEX(G558:R558,1,MATCH(Parametres!$B$3,G$1:R$1,0)-1)*IF(OR(F558="L",F558="S",F558="I"),-1,1),"")</f>
        <v>62787</v>
      </c>
      <c r="AM558" s="905">
        <f t="shared" si="50"/>
        <v>0</v>
      </c>
      <c r="AN558" s="905">
        <f>INDEX(G558:R558,1,MATCH(Parametres!$B$3,G$1:R$1,0))*IF(OR(F558="L",F558="S",F558="I"),-1,1)</f>
        <v>62787</v>
      </c>
      <c r="AO558" s="487" t="str">
        <f>+VLOOKUP($AJ558,Data_Validation!$A:$D,1,0)</f>
        <v>G33600</v>
      </c>
      <c r="AP558" s="487" t="str">
        <f>+VLOOKUP($AJ558,Data_Validation!$A:$D,3,0)</f>
        <v>Bilan</v>
      </c>
      <c r="AQ558" s="487" t="str">
        <f>+VLOOKUP($AJ558,Data_Validation!$A:$D,4,0)</f>
        <v>Frais Payés d'Avance</v>
      </c>
      <c r="AR558" s="487" t="s">
        <v>299</v>
      </c>
      <c r="AS558" s="487">
        <f>+VLOOKUP($AJ558,Data_Validation!$A:$E,5,0)</f>
        <v>0</v>
      </c>
      <c r="AT558" s="904" t="str">
        <f t="shared" si="51"/>
        <v>G33600</v>
      </c>
      <c r="AU558" s="488" t="str">
        <f t="shared" si="52"/>
        <v>RRI</v>
      </c>
      <c r="AV558" s="899">
        <f>IFERROR(INDEX(V558:AG558,1,MATCH(Parametres!$B$3,V$1:AG$1,0)-1)*IF(OR(C558="L",C558="S",C558="I"),-1,1),"")</f>
        <v>0</v>
      </c>
      <c r="AW558" s="899">
        <f t="shared" si="53"/>
        <v>0</v>
      </c>
      <c r="AX558" s="899">
        <f>INDEX(V558:AG558,1,MATCH(Parametres!$B$3,V$1:AG$1,0))*IF(OR(C558="L",C558="S",C558="I"),-1,1)</f>
        <v>0</v>
      </c>
      <c r="AY558" s="487" t="s">
        <v>337</v>
      </c>
      <c r="AZ558" s="487">
        <f>+VLOOKUP($AJ558,Data_Validation!$A:$E,5,0)</f>
        <v>0</v>
      </c>
    </row>
    <row r="559" spans="1:52" ht="15" customHeight="1">
      <c r="A559" s="706" t="s">
        <v>1148</v>
      </c>
      <c r="B559" s="706">
        <v>2026</v>
      </c>
      <c r="C559" s="706" t="s">
        <v>2193</v>
      </c>
      <c r="D559" s="706" t="s">
        <v>2194</v>
      </c>
      <c r="E559" s="706" t="s">
        <v>333</v>
      </c>
      <c r="F559" s="706" t="s">
        <v>1135</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G34000</v>
      </c>
      <c r="AK559" s="905" t="str">
        <f t="shared" si="55"/>
        <v>PROV.CREANCES DOUTEUSES</v>
      </c>
      <c r="AL559" s="905">
        <f>IFERROR(INDEX(G559:R559,1,MATCH(Parametres!$B$3,G$1:R$1,0)-1)*IF(OR(F559="L",F559="S",F559="I"),-1,1),"")</f>
        <v>0</v>
      </c>
      <c r="AM559" s="905">
        <f t="shared" si="50"/>
        <v>0</v>
      </c>
      <c r="AN559" s="905">
        <f>INDEX(G559:R559,1,MATCH(Parametres!$B$3,G$1:R$1,0))*IF(OR(F559="L",F559="S",F559="I"),-1,1)</f>
        <v>0</v>
      </c>
      <c r="AO559" s="487" t="str">
        <f>+VLOOKUP($AJ559,Data_Validation!$A:$D,1,0)</f>
        <v>G34000</v>
      </c>
      <c r="AP559" s="487">
        <f>+VLOOKUP($AJ559,Data_Validation!$A:$D,3,0)</f>
        <v>0</v>
      </c>
      <c r="AQ559" s="487">
        <f>+VLOOKUP($AJ559,Data_Validation!$A:$D,4,0)</f>
        <v>0</v>
      </c>
      <c r="AR559" s="487" t="s">
        <v>299</v>
      </c>
      <c r="AS559" s="487">
        <f>+VLOOKUP($AJ559,Data_Validation!$A:$E,5,0)</f>
        <v>0</v>
      </c>
      <c r="AT559" s="904" t="str">
        <f t="shared" si="51"/>
        <v>G34000</v>
      </c>
      <c r="AU559" s="488" t="str">
        <f t="shared" si="52"/>
        <v>PROV.CREANCES DOUTEUSES</v>
      </c>
      <c r="AV559" s="899">
        <f>IFERROR(INDEX(V559:AG559,1,MATCH(Parametres!$B$3,V$1:AG$1,0)-1)*IF(OR(C559="L",C559="S",C559="I"),-1,1),"")</f>
        <v>0</v>
      </c>
      <c r="AW559" s="899">
        <f t="shared" si="53"/>
        <v>0</v>
      </c>
      <c r="AX559" s="899">
        <f>INDEX(V559:AG559,1,MATCH(Parametres!$B$3,V$1:AG$1,0))*IF(OR(C559="L",C559="S",C559="I"),-1,1)</f>
        <v>0</v>
      </c>
      <c r="AY559" s="487" t="s">
        <v>337</v>
      </c>
      <c r="AZ559" s="487">
        <f>+VLOOKUP($AJ559,Data_Validation!$A:$E,5,0)</f>
        <v>0</v>
      </c>
    </row>
    <row r="560" spans="1:52" ht="15" customHeight="1">
      <c r="A560" s="706" t="s">
        <v>1148</v>
      </c>
      <c r="B560" s="706">
        <v>2026</v>
      </c>
      <c r="C560" s="706" t="s">
        <v>2195</v>
      </c>
      <c r="D560" s="706" t="s">
        <v>2196</v>
      </c>
      <c r="E560" s="706" t="s">
        <v>333</v>
      </c>
      <c r="F560" s="706" t="s">
        <v>1135</v>
      </c>
      <c r="G560" s="706">
        <v>1394309.58</v>
      </c>
      <c r="H560" s="706">
        <v>1394309.58</v>
      </c>
      <c r="I560" s="706">
        <v>1399339.58</v>
      </c>
      <c r="J560" s="706">
        <v>1414429.58</v>
      </c>
      <c r="K560" s="706">
        <v>1419459.58</v>
      </c>
      <c r="L560" s="706">
        <v>1424489.58</v>
      </c>
      <c r="M560" s="706">
        <v>1429519.58</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G35200</v>
      </c>
      <c r="AK560" s="905" t="str">
        <f t="shared" si="55"/>
        <v>AMORT.ACC.MACHINERIE,EQUI</v>
      </c>
      <c r="AL560" s="905">
        <f>IFERROR(INDEX(G560:R560,1,MATCH(Parametres!$B$3,G$1:R$1,0)-1)*IF(OR(F560="L",F560="S",F560="I"),-1,1),"")</f>
        <v>-1419459.58</v>
      </c>
      <c r="AM560" s="905">
        <f t="shared" si="50"/>
        <v>-5030</v>
      </c>
      <c r="AN560" s="905">
        <f>INDEX(G560:R560,1,MATCH(Parametres!$B$3,G$1:R$1,0))*IF(OR(F560="L",F560="S",F560="I"),-1,1)</f>
        <v>-1424489.58</v>
      </c>
      <c r="AO560" s="487" t="str">
        <f>+VLOOKUP($AJ560,Data_Validation!$A:$D,1,0)</f>
        <v>G35200</v>
      </c>
      <c r="AP560" s="487" t="str">
        <f>+VLOOKUP($AJ560,Data_Validation!$A:$D,3,0)</f>
        <v>Bilan</v>
      </c>
      <c r="AQ560" s="487" t="str">
        <f>+VLOOKUP($AJ560,Data_Validation!$A:$D,4,0)</f>
        <v>Équipements Service</v>
      </c>
      <c r="AR560" s="487" t="s">
        <v>299</v>
      </c>
      <c r="AS560" s="487">
        <f>+VLOOKUP($AJ560,Data_Validation!$A:$E,5,0)</f>
        <v>0</v>
      </c>
      <c r="AT560" s="904" t="str">
        <f t="shared" si="51"/>
        <v>G35200</v>
      </c>
      <c r="AU560" s="488" t="str">
        <f t="shared" si="52"/>
        <v>AMORT.ACC.MACHINERIE,EQUI</v>
      </c>
      <c r="AV560" s="899">
        <f>IFERROR(INDEX(V560:AG560,1,MATCH(Parametres!$B$3,V$1:AG$1,0)-1)*IF(OR(C560="L",C560="S",C560="I"),-1,1),"")</f>
        <v>0</v>
      </c>
      <c r="AW560" s="899">
        <f t="shared" si="53"/>
        <v>0</v>
      </c>
      <c r="AX560" s="899">
        <f>INDEX(V560:AG560,1,MATCH(Parametres!$B$3,V$1:AG$1,0))*IF(OR(C560="L",C560="S",C560="I"),-1,1)</f>
        <v>0</v>
      </c>
      <c r="AY560" s="487" t="s">
        <v>337</v>
      </c>
      <c r="AZ560" s="487">
        <f>+VLOOKUP($AJ560,Data_Validation!$A:$E,5,0)</f>
        <v>0</v>
      </c>
    </row>
    <row r="561" spans="1:52" ht="15" customHeight="1">
      <c r="A561" s="706" t="s">
        <v>1148</v>
      </c>
      <c r="B561" s="706">
        <v>2026</v>
      </c>
      <c r="C561" s="706" t="s">
        <v>2197</v>
      </c>
      <c r="D561" s="706" t="s">
        <v>2198</v>
      </c>
      <c r="E561" s="706" t="s">
        <v>333</v>
      </c>
      <c r="F561" s="706" t="s">
        <v>1135</v>
      </c>
      <c r="G561" s="706">
        <v>0</v>
      </c>
      <c r="H561" s="706">
        <v>0</v>
      </c>
      <c r="I561" s="706">
        <v>0</v>
      </c>
      <c r="J561" s="706">
        <v>0</v>
      </c>
      <c r="K561" s="706">
        <v>0</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G35210</v>
      </c>
      <c r="AK561" s="905" t="str">
        <f t="shared" si="55"/>
        <v>AMORT.ACC.MACHINERIE,CARR</v>
      </c>
      <c r="AL561" s="905">
        <f>IFERROR(INDEX(G561:R561,1,MATCH(Parametres!$B$3,G$1:R$1,0)-1)*IF(OR(F561="L",F561="S",F561="I"),-1,1),"")</f>
        <v>0</v>
      </c>
      <c r="AM561" s="905">
        <f t="shared" si="50"/>
        <v>0</v>
      </c>
      <c r="AN561" s="905">
        <f>INDEX(G561:R561,1,MATCH(Parametres!$B$3,G$1:R$1,0))*IF(OR(F561="L",F561="S",F561="I"),-1,1)</f>
        <v>0</v>
      </c>
      <c r="AO561" s="487" t="str">
        <f>+VLOOKUP($AJ561,Data_Validation!$A:$D,1,0)</f>
        <v>G35210</v>
      </c>
      <c r="AP561" s="487" t="str">
        <f>+VLOOKUP($AJ561,Data_Validation!$A:$D,3,0)</f>
        <v>Bilan</v>
      </c>
      <c r="AQ561" s="487" t="str">
        <f>+VLOOKUP($AJ561,Data_Validation!$A:$D,4,0)</f>
        <v>Équipements Service</v>
      </c>
      <c r="AR561" s="487" t="s">
        <v>299</v>
      </c>
      <c r="AS561" s="487">
        <f>+VLOOKUP($AJ561,Data_Validation!$A:$E,5,0)</f>
        <v>0</v>
      </c>
      <c r="AT561" s="904" t="str">
        <f t="shared" si="51"/>
        <v>G35210</v>
      </c>
      <c r="AU561" s="488" t="str">
        <f t="shared" si="52"/>
        <v>AMORT.ACC.MACHINERIE,CARR</v>
      </c>
      <c r="AV561" s="899">
        <f>IFERROR(INDEX(V561:AG561,1,MATCH(Parametres!$B$3,V$1:AG$1,0)-1)*IF(OR(C561="L",C561="S",C561="I"),-1,1),"")</f>
        <v>0</v>
      </c>
      <c r="AW561" s="899">
        <f t="shared" si="53"/>
        <v>0</v>
      </c>
      <c r="AX561" s="899">
        <f>INDEX(V561:AG561,1,MATCH(Parametres!$B$3,V$1:AG$1,0))*IF(OR(C561="L",C561="S",C561="I"),-1,1)</f>
        <v>0</v>
      </c>
      <c r="AY561" s="487" t="s">
        <v>337</v>
      </c>
      <c r="AZ561" s="487">
        <f>+VLOOKUP($AJ561,Data_Validation!$A:$E,5,0)</f>
        <v>0</v>
      </c>
    </row>
    <row r="562" spans="1:52" ht="15" customHeight="1">
      <c r="A562" s="706" t="s">
        <v>1148</v>
      </c>
      <c r="B562" s="706">
        <v>2026</v>
      </c>
      <c r="C562" s="706" t="s">
        <v>2199</v>
      </c>
      <c r="D562" s="706" t="s">
        <v>2200</v>
      </c>
      <c r="E562" s="706" t="s">
        <v>333</v>
      </c>
      <c r="F562" s="706" t="s">
        <v>1135</v>
      </c>
      <c r="G562" s="706">
        <v>1161.79</v>
      </c>
      <c r="H562" s="706">
        <v>1256.79</v>
      </c>
      <c r="I562" s="706">
        <v>1351.79</v>
      </c>
      <c r="J562" s="706">
        <v>1446.79</v>
      </c>
      <c r="K562" s="706">
        <v>1541.79</v>
      </c>
      <c r="L562" s="706">
        <v>1636.79</v>
      </c>
      <c r="M562" s="706">
        <v>1731.79</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G35300</v>
      </c>
      <c r="AK562" s="905" t="str">
        <f t="shared" si="55"/>
        <v>AMORT.PNEUSACC.DEMO/COURT</v>
      </c>
      <c r="AL562" s="905">
        <f>IFERROR(INDEX(G562:R562,1,MATCH(Parametres!$B$3,G$1:R$1,0)-1)*IF(OR(F562="L",F562="S",F562="I"),-1,1),"")</f>
        <v>-1541.79</v>
      </c>
      <c r="AM562" s="905">
        <f t="shared" si="50"/>
        <v>-95</v>
      </c>
      <c r="AN562" s="905">
        <f>INDEX(G562:R562,1,MATCH(Parametres!$B$3,G$1:R$1,0))*IF(OR(F562="L",F562="S",F562="I"),-1,1)</f>
        <v>-1636.79</v>
      </c>
      <c r="AO562" s="487" t="str">
        <f>+VLOOKUP($AJ562,Data_Validation!$A:$D,1,0)</f>
        <v>G35300</v>
      </c>
      <c r="AP562" s="487" t="str">
        <f>+VLOOKUP($AJ562,Data_Validation!$A:$D,3,0)</f>
        <v>Bilan</v>
      </c>
      <c r="AQ562" s="487" t="str">
        <f>+VLOOKUP($AJ562,Data_Validation!$A:$D,4,0)</f>
        <v>Équipements Service</v>
      </c>
      <c r="AR562" s="487" t="s">
        <v>299</v>
      </c>
      <c r="AS562" s="487">
        <f>+VLOOKUP($AJ562,Data_Validation!$A:$E,5,0)</f>
        <v>0</v>
      </c>
      <c r="AT562" s="904" t="str">
        <f t="shared" si="51"/>
        <v>G35300</v>
      </c>
      <c r="AU562" s="488" t="str">
        <f t="shared" si="52"/>
        <v>AMORT.PNEUSACC.DEMO/COURT</v>
      </c>
      <c r="AV562" s="899">
        <f>IFERROR(INDEX(V562:AG562,1,MATCH(Parametres!$B$3,V$1:AG$1,0)-1)*IF(OR(C562="L",C562="S",C562="I"),-1,1),"")</f>
        <v>0</v>
      </c>
      <c r="AW562" s="899">
        <f t="shared" si="53"/>
        <v>0</v>
      </c>
      <c r="AX562" s="899">
        <f>INDEX(V562:AG562,1,MATCH(Parametres!$B$3,V$1:AG$1,0))*IF(OR(C562="L",C562="S",C562="I"),-1,1)</f>
        <v>0</v>
      </c>
      <c r="AY562" s="487" t="s">
        <v>337</v>
      </c>
      <c r="AZ562" s="487">
        <f>+VLOOKUP($AJ562,Data_Validation!$A:$E,5,0)</f>
        <v>0</v>
      </c>
    </row>
    <row r="563" spans="1:52" ht="15" customHeight="1">
      <c r="A563" s="706" t="s">
        <v>1148</v>
      </c>
      <c r="B563" s="706">
        <v>2026</v>
      </c>
      <c r="C563" s="706" t="s">
        <v>2201</v>
      </c>
      <c r="D563" s="706" t="s">
        <v>2202</v>
      </c>
      <c r="E563" s="706" t="s">
        <v>333</v>
      </c>
      <c r="F563" s="706" t="s">
        <v>1135</v>
      </c>
      <c r="G563" s="706">
        <v>315824.27</v>
      </c>
      <c r="H563" s="706">
        <v>316649.27</v>
      </c>
      <c r="I563" s="706">
        <v>317474.27</v>
      </c>
      <c r="J563" s="706">
        <v>318299.27</v>
      </c>
      <c r="K563" s="706">
        <v>319124.27</v>
      </c>
      <c r="L563" s="706">
        <v>319949.27</v>
      </c>
      <c r="M563" s="706">
        <v>320774.27</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G35400</v>
      </c>
      <c r="AK563" s="905" t="str">
        <f t="shared" si="55"/>
        <v>AMORT.ACC.&amp; EQUIP.BUR</v>
      </c>
      <c r="AL563" s="905">
        <f>IFERROR(INDEX(G563:R563,1,MATCH(Parametres!$B$3,G$1:R$1,0)-1)*IF(OR(F563="L",F563="S",F563="I"),-1,1),"")</f>
        <v>-319124.27</v>
      </c>
      <c r="AM563" s="905">
        <f t="shared" si="50"/>
        <v>-825</v>
      </c>
      <c r="AN563" s="905">
        <f>INDEX(G563:R563,1,MATCH(Parametres!$B$3,G$1:R$1,0))*IF(OR(F563="L",F563="S",F563="I"),-1,1)</f>
        <v>-319949.27</v>
      </c>
      <c r="AO563" s="487" t="str">
        <f>+VLOOKUP($AJ563,Data_Validation!$A:$D,1,0)</f>
        <v>G35400</v>
      </c>
      <c r="AP563" s="487" t="str">
        <f>+VLOOKUP($AJ563,Data_Validation!$A:$D,3,0)</f>
        <v>Bilan</v>
      </c>
      <c r="AQ563" s="487" t="str">
        <f>+VLOOKUP($AJ563,Data_Validation!$A:$D,4,0)</f>
        <v>Mobilier</v>
      </c>
      <c r="AR563" s="487" t="s">
        <v>299</v>
      </c>
      <c r="AS563" s="487">
        <f>+VLOOKUP($AJ563,Data_Validation!$A:$E,5,0)</f>
        <v>0</v>
      </c>
      <c r="AT563" s="904" t="str">
        <f t="shared" si="51"/>
        <v>G35400</v>
      </c>
      <c r="AU563" s="488" t="str">
        <f t="shared" si="52"/>
        <v>AMORT.ACC.&amp; EQUIP.BUR</v>
      </c>
      <c r="AV563" s="899">
        <f>IFERROR(INDEX(V563:AG563,1,MATCH(Parametres!$B$3,V$1:AG$1,0)-1)*IF(OR(C563="L",C563="S",C563="I"),-1,1),"")</f>
        <v>0</v>
      </c>
      <c r="AW563" s="899">
        <f t="shared" si="53"/>
        <v>0</v>
      </c>
      <c r="AX563" s="899">
        <f>INDEX(V563:AG563,1,MATCH(Parametres!$B$3,V$1:AG$1,0))*IF(OR(C563="L",C563="S",C563="I"),-1,1)</f>
        <v>0</v>
      </c>
      <c r="AY563" s="487" t="s">
        <v>337</v>
      </c>
      <c r="AZ563" s="487">
        <f>+VLOOKUP($AJ563,Data_Validation!$A:$E,5,0)</f>
        <v>0</v>
      </c>
    </row>
    <row r="564" spans="1:52" ht="15" customHeight="1">
      <c r="A564" s="706" t="s">
        <v>1148</v>
      </c>
      <c r="B564" s="706">
        <v>2026</v>
      </c>
      <c r="C564" s="706" t="s">
        <v>2203</v>
      </c>
      <c r="D564" s="706" t="s">
        <v>2204</v>
      </c>
      <c r="E564" s="706" t="s">
        <v>333</v>
      </c>
      <c r="F564" s="706" t="s">
        <v>1135</v>
      </c>
      <c r="G564" s="706">
        <v>78325.710000000006</v>
      </c>
      <c r="H564" s="706">
        <v>80075.710000000006</v>
      </c>
      <c r="I564" s="706">
        <v>81825.710000000006</v>
      </c>
      <c r="J564" s="706">
        <v>83575.710000000006</v>
      </c>
      <c r="K564" s="706">
        <v>85325.71</v>
      </c>
      <c r="L564" s="706">
        <v>87075.71</v>
      </c>
      <c r="M564" s="706">
        <v>88825.71</v>
      </c>
      <c r="N564" s="706">
        <v>0</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G35500</v>
      </c>
      <c r="AK564" s="905" t="str">
        <f t="shared" si="55"/>
        <v>AMORT.CUMULE VEHICULE SER</v>
      </c>
      <c r="AL564" s="905">
        <f>IFERROR(INDEX(G564:R564,1,MATCH(Parametres!$B$3,G$1:R$1,0)-1)*IF(OR(F564="L",F564="S",F564="I"),-1,1),"")</f>
        <v>-85325.71</v>
      </c>
      <c r="AM564" s="905">
        <f t="shared" si="50"/>
        <v>-1750</v>
      </c>
      <c r="AN564" s="905">
        <f>INDEX(G564:R564,1,MATCH(Parametres!$B$3,G$1:R$1,0))*IF(OR(F564="L",F564="S",F564="I"),-1,1)</f>
        <v>-87075.71</v>
      </c>
      <c r="AO564" s="487" t="str">
        <f>+VLOOKUP($AJ564,Data_Validation!$A:$D,1,0)</f>
        <v>G35500</v>
      </c>
      <c r="AP564" s="487" t="str">
        <f>+VLOOKUP($AJ564,Data_Validation!$A:$D,3,0)</f>
        <v>Bilan</v>
      </c>
      <c r="AQ564" s="487" t="str">
        <f>+VLOOKUP($AJ564,Data_Validation!$A:$D,4,0)</f>
        <v>Équipements Service</v>
      </c>
      <c r="AR564" s="487" t="s">
        <v>299</v>
      </c>
      <c r="AS564" s="487">
        <f>+VLOOKUP($AJ564,Data_Validation!$A:$E,5,0)</f>
        <v>0</v>
      </c>
      <c r="AT564" s="904" t="str">
        <f t="shared" si="51"/>
        <v>G35500</v>
      </c>
      <c r="AU564" s="488" t="str">
        <f t="shared" si="52"/>
        <v>AMORT.CUMULE VEHICULE SER</v>
      </c>
      <c r="AV564" s="899">
        <f>IFERROR(INDEX(V564:AG564,1,MATCH(Parametres!$B$3,V$1:AG$1,0)-1)*IF(OR(C564="L",C564="S",C564="I"),-1,1),"")</f>
        <v>0</v>
      </c>
      <c r="AW564" s="899">
        <f t="shared" si="53"/>
        <v>0</v>
      </c>
      <c r="AX564" s="899">
        <f>INDEX(V564:AG564,1,MATCH(Parametres!$B$3,V$1:AG$1,0))*IF(OR(C564="L",C564="S",C564="I"),-1,1)</f>
        <v>0</v>
      </c>
      <c r="AY564" s="487" t="s">
        <v>337</v>
      </c>
      <c r="AZ564" s="487">
        <f>+VLOOKUP($AJ564,Data_Validation!$A:$E,5,0)</f>
        <v>0</v>
      </c>
    </row>
    <row r="565" spans="1:52" ht="15" customHeight="1">
      <c r="A565" s="706" t="s">
        <v>1148</v>
      </c>
      <c r="B565" s="706">
        <v>2026</v>
      </c>
      <c r="C565" s="706" t="s">
        <v>2205</v>
      </c>
      <c r="D565" s="706" t="s">
        <v>2206</v>
      </c>
      <c r="E565" s="706" t="s">
        <v>333</v>
      </c>
      <c r="F565" s="706" t="s">
        <v>1135</v>
      </c>
      <c r="G565" s="706">
        <v>62858.9</v>
      </c>
      <c r="H565" s="706">
        <v>65058.9</v>
      </c>
      <c r="I565" s="706">
        <v>67258.899999999994</v>
      </c>
      <c r="J565" s="706">
        <v>69458.899999999994</v>
      </c>
      <c r="K565" s="706">
        <v>71658.899999999994</v>
      </c>
      <c r="L565" s="706">
        <v>73858.899999999994</v>
      </c>
      <c r="M565" s="706">
        <v>76058.899999999994</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G35600</v>
      </c>
      <c r="AK565" s="905" t="str">
        <f t="shared" si="55"/>
        <v>AMORT.ACC.AMEL. LOCAT.</v>
      </c>
      <c r="AL565" s="905">
        <f>IFERROR(INDEX(G565:R565,1,MATCH(Parametres!$B$3,G$1:R$1,0)-1)*IF(OR(F565="L",F565="S",F565="I"),-1,1),"")</f>
        <v>-71658.899999999994</v>
      </c>
      <c r="AM565" s="905">
        <f t="shared" si="50"/>
        <v>-2200</v>
      </c>
      <c r="AN565" s="905">
        <f>INDEX(G565:R565,1,MATCH(Parametres!$B$3,G$1:R$1,0))*IF(OR(F565="L",F565="S",F565="I"),-1,1)</f>
        <v>-73858.899999999994</v>
      </c>
      <c r="AO565" s="487" t="str">
        <f>+VLOOKUP($AJ565,Data_Validation!$A:$D,1,0)</f>
        <v>G35600</v>
      </c>
      <c r="AP565" s="487" t="str">
        <f>+VLOOKUP($AJ565,Data_Validation!$A:$D,3,0)</f>
        <v>Bilan</v>
      </c>
      <c r="AQ565" s="487" t="str">
        <f>+VLOOKUP($AJ565,Data_Validation!$A:$D,4,0)</f>
        <v>Améliorations Locatives</v>
      </c>
      <c r="AR565" s="487" t="s">
        <v>299</v>
      </c>
      <c r="AS565" s="487">
        <f>+VLOOKUP($AJ565,Data_Validation!$A:$E,5,0)</f>
        <v>0</v>
      </c>
      <c r="AT565" s="904" t="str">
        <f t="shared" si="51"/>
        <v>G35600</v>
      </c>
      <c r="AU565" s="488" t="str">
        <f t="shared" si="52"/>
        <v>AMORT.ACC.AMEL. LOCAT.</v>
      </c>
      <c r="AV565" s="899">
        <f>IFERROR(INDEX(V565:AG565,1,MATCH(Parametres!$B$3,V$1:AG$1,0)-1)*IF(OR(C565="L",C565="S",C565="I"),-1,1),"")</f>
        <v>0</v>
      </c>
      <c r="AW565" s="899">
        <f t="shared" si="53"/>
        <v>0</v>
      </c>
      <c r="AX565" s="899">
        <f>INDEX(V565:AG565,1,MATCH(Parametres!$B$3,V$1:AG$1,0))*IF(OR(C565="L",C565="S",C565="I"),-1,1)</f>
        <v>0</v>
      </c>
      <c r="AY565" s="487" t="s">
        <v>337</v>
      </c>
      <c r="AZ565" s="487">
        <f>+VLOOKUP($AJ565,Data_Validation!$A:$E,5,0)</f>
        <v>0</v>
      </c>
    </row>
    <row r="566" spans="1:52" ht="15" customHeight="1">
      <c r="A566" s="706" t="s">
        <v>1148</v>
      </c>
      <c r="B566" s="706">
        <v>2026</v>
      </c>
      <c r="C566" s="706" t="s">
        <v>2207</v>
      </c>
      <c r="D566" s="706" t="s">
        <v>2208</v>
      </c>
      <c r="E566" s="706" t="s">
        <v>333</v>
      </c>
      <c r="F566" s="706" t="s">
        <v>1135</v>
      </c>
      <c r="G566" s="706">
        <v>187329.09</v>
      </c>
      <c r="H566" s="706">
        <v>188099.09</v>
      </c>
      <c r="I566" s="706">
        <v>188869.09</v>
      </c>
      <c r="J566" s="706">
        <v>189639.09</v>
      </c>
      <c r="K566" s="706">
        <v>190409.09</v>
      </c>
      <c r="L566" s="706">
        <v>191179.09</v>
      </c>
      <c r="M566" s="706">
        <v>191949.09</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G35700</v>
      </c>
      <c r="AK566" s="905" t="str">
        <f t="shared" si="55"/>
        <v>AMORT. MATERIEL INFORM.</v>
      </c>
      <c r="AL566" s="905">
        <f>IFERROR(INDEX(G566:R566,1,MATCH(Parametres!$B$3,G$1:R$1,0)-1)*IF(OR(F566="L",F566="S",F566="I"),-1,1),"")</f>
        <v>-190409.09</v>
      </c>
      <c r="AM566" s="905">
        <f t="shared" si="50"/>
        <v>-770</v>
      </c>
      <c r="AN566" s="905">
        <f>INDEX(G566:R566,1,MATCH(Parametres!$B$3,G$1:R$1,0))*IF(OR(F566="L",F566="S",F566="I"),-1,1)</f>
        <v>-191179.09</v>
      </c>
      <c r="AO566" s="487" t="str">
        <f>+VLOOKUP($AJ566,Data_Validation!$A:$D,1,0)</f>
        <v>G35700</v>
      </c>
      <c r="AP566" s="487" t="str">
        <f>+VLOOKUP($AJ566,Data_Validation!$A:$D,3,0)</f>
        <v>Bilan</v>
      </c>
      <c r="AQ566" s="487" t="str">
        <f>+VLOOKUP($AJ566,Data_Validation!$A:$D,4,0)</f>
        <v>Équipements Informatique</v>
      </c>
      <c r="AR566" s="487" t="s">
        <v>299</v>
      </c>
      <c r="AS566" s="487">
        <f>+VLOOKUP($AJ566,Data_Validation!$A:$E,5,0)</f>
        <v>0</v>
      </c>
      <c r="AT566" s="904" t="str">
        <f t="shared" si="51"/>
        <v>G35700</v>
      </c>
      <c r="AU566" s="488" t="str">
        <f t="shared" si="52"/>
        <v>AMORT. MATERIEL INFORM.</v>
      </c>
      <c r="AV566" s="899">
        <f>IFERROR(INDEX(V566:AG566,1,MATCH(Parametres!$B$3,V$1:AG$1,0)-1)*IF(OR(C566="L",C566="S",C566="I"),-1,1),"")</f>
        <v>0</v>
      </c>
      <c r="AW566" s="899">
        <f t="shared" si="53"/>
        <v>0</v>
      </c>
      <c r="AX566" s="899">
        <f>INDEX(V566:AG566,1,MATCH(Parametres!$B$3,V$1:AG$1,0))*IF(OR(C566="L",C566="S",C566="I"),-1,1)</f>
        <v>0</v>
      </c>
      <c r="AY566" s="487" t="s">
        <v>337</v>
      </c>
      <c r="AZ566" s="487">
        <f>+VLOOKUP($AJ566,Data_Validation!$A:$E,5,0)</f>
        <v>0</v>
      </c>
    </row>
    <row r="567" spans="1:52" ht="15" customHeight="1">
      <c r="A567" s="706" t="s">
        <v>1148</v>
      </c>
      <c r="B567" s="706">
        <v>2026</v>
      </c>
      <c r="C567" s="706" t="s">
        <v>2209</v>
      </c>
      <c r="D567" s="706" t="s">
        <v>2210</v>
      </c>
      <c r="E567" s="706" t="s">
        <v>333</v>
      </c>
      <c r="F567" s="706" t="s">
        <v>1135</v>
      </c>
      <c r="G567" s="706">
        <v>49409.61</v>
      </c>
      <c r="H567" s="706">
        <v>49549.61</v>
      </c>
      <c r="I567" s="706">
        <v>49689.61</v>
      </c>
      <c r="J567" s="706">
        <v>49829.61</v>
      </c>
      <c r="K567" s="706">
        <v>49969.61</v>
      </c>
      <c r="L567" s="706">
        <v>50109.61</v>
      </c>
      <c r="M567" s="706">
        <v>50249.61</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G35800</v>
      </c>
      <c r="AK567" s="905" t="str">
        <f t="shared" si="55"/>
        <v>AMORT.CUMULÉ ENSEIGNES</v>
      </c>
      <c r="AL567" s="905">
        <f>IFERROR(INDEX(G567:R567,1,MATCH(Parametres!$B$3,G$1:R$1,0)-1)*IF(OR(F567="L",F567="S",F567="I"),-1,1),"")</f>
        <v>-49969.61</v>
      </c>
      <c r="AM567" s="905">
        <f t="shared" si="50"/>
        <v>-140</v>
      </c>
      <c r="AN567" s="905">
        <f>INDEX(G567:R567,1,MATCH(Parametres!$B$3,G$1:R$1,0))*IF(OR(F567="L",F567="S",F567="I"),-1,1)</f>
        <v>-50109.61</v>
      </c>
      <c r="AO567" s="487" t="str">
        <f>+VLOOKUP($AJ567,Data_Validation!$A:$D,1,0)</f>
        <v>G35800</v>
      </c>
      <c r="AP567" s="487" t="str">
        <f>+VLOOKUP($AJ567,Data_Validation!$A:$D,3,0)</f>
        <v>Bilan</v>
      </c>
      <c r="AQ567" s="487" t="str">
        <f>+VLOOKUP($AJ567,Data_Validation!$A:$D,4,0)</f>
        <v>Enseigne</v>
      </c>
      <c r="AR567" s="487" t="s">
        <v>299</v>
      </c>
      <c r="AS567" s="487">
        <f>+VLOOKUP($AJ567,Data_Validation!$A:$E,5,0)</f>
        <v>0</v>
      </c>
      <c r="AT567" s="904" t="str">
        <f t="shared" si="51"/>
        <v>G35800</v>
      </c>
      <c r="AU567" s="488" t="str">
        <f t="shared" si="52"/>
        <v>AMORT.CUMULÉ ENSEIGNES</v>
      </c>
      <c r="AV567" s="899">
        <f>IFERROR(INDEX(V567:AG567,1,MATCH(Parametres!$B$3,V$1:AG$1,0)-1)*IF(OR(C567="L",C567="S",C567="I"),-1,1),"")</f>
        <v>0</v>
      </c>
      <c r="AW567" s="899">
        <f t="shared" si="53"/>
        <v>0</v>
      </c>
      <c r="AX567" s="899">
        <f>INDEX(V567:AG567,1,MATCH(Parametres!$B$3,V$1:AG$1,0))*IF(OR(C567="L",C567="S",C567="I"),-1,1)</f>
        <v>0</v>
      </c>
      <c r="AY567" s="487" t="s">
        <v>337</v>
      </c>
      <c r="AZ567" s="487">
        <f>+VLOOKUP($AJ567,Data_Validation!$A:$E,5,0)</f>
        <v>0</v>
      </c>
    </row>
    <row r="568" spans="1:52" ht="15" customHeight="1">
      <c r="A568" s="706" t="s">
        <v>1148</v>
      </c>
      <c r="B568" s="706">
        <v>2026</v>
      </c>
      <c r="C568" s="706" t="s">
        <v>2211</v>
      </c>
      <c r="D568" s="706" t="s">
        <v>2212</v>
      </c>
      <c r="E568" s="706" t="s">
        <v>333</v>
      </c>
      <c r="F568" s="706" t="s">
        <v>1135</v>
      </c>
      <c r="G568" s="706">
        <v>0</v>
      </c>
      <c r="H568" s="706">
        <v>0</v>
      </c>
      <c r="I568" s="706">
        <v>0</v>
      </c>
      <c r="J568" s="706">
        <v>0</v>
      </c>
      <c r="K568" s="706">
        <v>0</v>
      </c>
      <c r="L568" s="706">
        <v>0</v>
      </c>
      <c r="M568" s="706">
        <v>0</v>
      </c>
      <c r="N568" s="706">
        <v>0</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G35900</v>
      </c>
      <c r="AK568" s="905" t="str">
        <f t="shared" si="55"/>
        <v>ASPHALTE AMORT.CUMULÉ</v>
      </c>
      <c r="AL568" s="905">
        <f>IFERROR(INDEX(G568:R568,1,MATCH(Parametres!$B$3,G$1:R$1,0)-1)*IF(OR(F568="L",F568="S",F568="I"),-1,1),"")</f>
        <v>0</v>
      </c>
      <c r="AM568" s="905">
        <f t="shared" si="50"/>
        <v>0</v>
      </c>
      <c r="AN568" s="905">
        <f>INDEX(G568:R568,1,MATCH(Parametres!$B$3,G$1:R$1,0))*IF(OR(F568="L",F568="S",F568="I"),-1,1)</f>
        <v>0</v>
      </c>
      <c r="AO568" s="487" t="str">
        <f>+VLOOKUP($AJ568,Data_Validation!$A:$D,1,0)</f>
        <v>G35900</v>
      </c>
      <c r="AP568" s="487">
        <f>+VLOOKUP($AJ568,Data_Validation!$A:$D,3,0)</f>
        <v>0</v>
      </c>
      <c r="AQ568" s="487">
        <f>+VLOOKUP($AJ568,Data_Validation!$A:$D,4,0)</f>
        <v>0</v>
      </c>
      <c r="AR568" s="487" t="s">
        <v>299</v>
      </c>
      <c r="AS568" s="487">
        <f>+VLOOKUP($AJ568,Data_Validation!$A:$E,5,0)</f>
        <v>0</v>
      </c>
      <c r="AT568" s="904" t="str">
        <f t="shared" si="51"/>
        <v>G35900</v>
      </c>
      <c r="AU568" s="488" t="str">
        <f t="shared" si="52"/>
        <v>ASPHALTE AMORT.CUMULÉ</v>
      </c>
      <c r="AV568" s="899">
        <f>IFERROR(INDEX(V568:AG568,1,MATCH(Parametres!$B$3,V$1:AG$1,0)-1)*IF(OR(C568="L",C568="S",C568="I"),-1,1),"")</f>
        <v>0</v>
      </c>
      <c r="AW568" s="899">
        <f t="shared" si="53"/>
        <v>0</v>
      </c>
      <c r="AX568" s="899">
        <f>INDEX(V568:AG568,1,MATCH(Parametres!$B$3,V$1:AG$1,0))*IF(OR(C568="L",C568="S",C568="I"),-1,1)</f>
        <v>0</v>
      </c>
      <c r="AY568" s="487" t="s">
        <v>337</v>
      </c>
      <c r="AZ568" s="487">
        <f>+VLOOKUP($AJ568,Data_Validation!$A:$E,5,0)</f>
        <v>0</v>
      </c>
    </row>
    <row r="569" spans="1:52" ht="15" customHeight="1">
      <c r="A569" s="706" t="s">
        <v>1148</v>
      </c>
      <c r="B569" s="706">
        <v>2026</v>
      </c>
      <c r="C569" s="706" t="s">
        <v>2213</v>
      </c>
      <c r="D569" s="706" t="s">
        <v>2214</v>
      </c>
      <c r="E569" s="706" t="s">
        <v>333</v>
      </c>
      <c r="F569" s="706" t="s">
        <v>1135</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G36000</v>
      </c>
      <c r="AK569" s="905" t="str">
        <f t="shared" si="55"/>
        <v>CAPITAL-ACTIONS</v>
      </c>
      <c r="AL569" s="905">
        <f>IFERROR(INDEX(G569:R569,1,MATCH(Parametres!$B$3,G$1:R$1,0)-1)*IF(OR(F569="L",F569="S",F569="I"),-1,1),"")</f>
        <v>0</v>
      </c>
      <c r="AM569" s="905">
        <f t="shared" si="50"/>
        <v>0</v>
      </c>
      <c r="AN569" s="905">
        <f>INDEX(G569:R569,1,MATCH(Parametres!$B$3,G$1:R$1,0))*IF(OR(F569="L",F569="S",F569="I"),-1,1)</f>
        <v>0</v>
      </c>
      <c r="AO569" s="487" t="str">
        <f>+VLOOKUP($AJ569,Data_Validation!$A:$D,1,0)</f>
        <v>G36000</v>
      </c>
      <c r="AP569" s="487" t="str">
        <f>+VLOOKUP($AJ569,Data_Validation!$A:$D,3,0)</f>
        <v>Bilan</v>
      </c>
      <c r="AQ569" s="487" t="str">
        <f>+VLOOKUP($AJ569,Data_Validation!$A:$D,4,0)</f>
        <v>Capital Actions</v>
      </c>
      <c r="AR569" s="487" t="s">
        <v>299</v>
      </c>
      <c r="AS569" s="487">
        <f>+VLOOKUP($AJ569,Data_Validation!$A:$E,5,0)</f>
        <v>0</v>
      </c>
      <c r="AT569" s="904" t="str">
        <f t="shared" si="51"/>
        <v>G36000</v>
      </c>
      <c r="AU569" s="488" t="str">
        <f t="shared" si="52"/>
        <v>CAPITAL-ACTIONS</v>
      </c>
      <c r="AV569" s="899">
        <f>IFERROR(INDEX(V569:AG569,1,MATCH(Parametres!$B$3,V$1:AG$1,0)-1)*IF(OR(C569="L",C569="S",C569="I"),-1,1),"")</f>
        <v>0</v>
      </c>
      <c r="AW569" s="899">
        <f t="shared" si="53"/>
        <v>0</v>
      </c>
      <c r="AX569" s="899">
        <f>INDEX(V569:AG569,1,MATCH(Parametres!$B$3,V$1:AG$1,0))*IF(OR(C569="L",C569="S",C569="I"),-1,1)</f>
        <v>0</v>
      </c>
      <c r="AY569" s="487" t="s">
        <v>337</v>
      </c>
      <c r="AZ569" s="487">
        <f>+VLOOKUP($AJ569,Data_Validation!$A:$E,5,0)</f>
        <v>0</v>
      </c>
    </row>
    <row r="570" spans="1:52" ht="15" customHeight="1">
      <c r="A570" s="706" t="s">
        <v>1148</v>
      </c>
      <c r="B570" s="706">
        <v>2026</v>
      </c>
      <c r="C570" s="706" t="s">
        <v>2215</v>
      </c>
      <c r="D570" s="706" t="s">
        <v>2216</v>
      </c>
      <c r="E570" s="706" t="s">
        <v>333</v>
      </c>
      <c r="F570" s="706" t="s">
        <v>1135</v>
      </c>
      <c r="G570" s="706">
        <v>15</v>
      </c>
      <c r="H570" s="706">
        <v>15</v>
      </c>
      <c r="I570" s="706">
        <v>15</v>
      </c>
      <c r="J570" s="706">
        <v>15</v>
      </c>
      <c r="K570" s="706">
        <v>15</v>
      </c>
      <c r="L570" s="706">
        <v>15</v>
      </c>
      <c r="M570" s="706">
        <v>15</v>
      </c>
      <c r="N570" s="706">
        <v>0</v>
      </c>
      <c r="O570" s="706">
        <v>0</v>
      </c>
      <c r="P570" s="706">
        <v>0</v>
      </c>
      <c r="Q570" s="706">
        <v>0</v>
      </c>
      <c r="R570" s="706">
        <v>0</v>
      </c>
      <c r="S570" s="706">
        <v>0</v>
      </c>
      <c r="T570" s="706">
        <v>0</v>
      </c>
      <c r="U570" s="706">
        <v>0</v>
      </c>
      <c r="V570" s="706">
        <v>0</v>
      </c>
      <c r="W570" s="706">
        <v>0</v>
      </c>
      <c r="X570" s="706">
        <v>0</v>
      </c>
      <c r="Y570" s="706">
        <v>0</v>
      </c>
      <c r="Z570" s="706">
        <v>0</v>
      </c>
      <c r="AA570" s="706">
        <v>0</v>
      </c>
      <c r="AB570" s="706">
        <v>0</v>
      </c>
      <c r="AC570" s="706">
        <v>0</v>
      </c>
      <c r="AD570" s="706">
        <v>0</v>
      </c>
      <c r="AE570" s="706">
        <v>0</v>
      </c>
      <c r="AF570" s="706">
        <v>0</v>
      </c>
      <c r="AG570" s="706">
        <v>0</v>
      </c>
      <c r="AH570" s="706">
        <v>0</v>
      </c>
      <c r="AI570" s="706">
        <v>0</v>
      </c>
      <c r="AJ570" s="905" t="str">
        <f t="shared" si="54"/>
        <v>G36001</v>
      </c>
      <c r="AK570" s="905" t="str">
        <f t="shared" si="55"/>
        <v>ACTIONS A</v>
      </c>
      <c r="AL570" s="905">
        <f>IFERROR(INDEX(G570:R570,1,MATCH(Parametres!$B$3,G$1:R$1,0)-1)*IF(OR(F570="L",F570="S",F570="I"),-1,1),"")</f>
        <v>-15</v>
      </c>
      <c r="AM570" s="905">
        <f t="shared" si="50"/>
        <v>0</v>
      </c>
      <c r="AN570" s="905">
        <f>INDEX(G570:R570,1,MATCH(Parametres!$B$3,G$1:R$1,0))*IF(OR(F570="L",F570="S",F570="I"),-1,1)</f>
        <v>-15</v>
      </c>
      <c r="AO570" s="487" t="str">
        <f>+VLOOKUP($AJ570,Data_Validation!$A:$D,1,0)</f>
        <v>G36001</v>
      </c>
      <c r="AP570" s="487" t="str">
        <f>+VLOOKUP($AJ570,Data_Validation!$A:$D,3,0)</f>
        <v>Bilan</v>
      </c>
      <c r="AQ570" s="487" t="str">
        <f>+VLOOKUP($AJ570,Data_Validation!$A:$D,4,0)</f>
        <v>Capital Actions</v>
      </c>
      <c r="AR570" s="487" t="s">
        <v>299</v>
      </c>
      <c r="AS570" s="487">
        <f>+VLOOKUP($AJ570,Data_Validation!$A:$E,5,0)</f>
        <v>0</v>
      </c>
      <c r="AT570" s="904" t="str">
        <f t="shared" si="51"/>
        <v>G36001</v>
      </c>
      <c r="AU570" s="488" t="str">
        <f t="shared" si="52"/>
        <v>ACTIONS A</v>
      </c>
      <c r="AV570" s="899">
        <f>IFERROR(INDEX(V570:AG570,1,MATCH(Parametres!$B$3,V$1:AG$1,0)-1)*IF(OR(C570="L",C570="S",C570="I"),-1,1),"")</f>
        <v>0</v>
      </c>
      <c r="AW570" s="899">
        <f t="shared" si="53"/>
        <v>0</v>
      </c>
      <c r="AX570" s="899">
        <f>INDEX(V570:AG570,1,MATCH(Parametres!$B$3,V$1:AG$1,0))*IF(OR(C570="L",C570="S",C570="I"),-1,1)</f>
        <v>0</v>
      </c>
      <c r="AY570" s="487" t="s">
        <v>337</v>
      </c>
      <c r="AZ570" s="487">
        <f>+VLOOKUP($AJ570,Data_Validation!$A:$E,5,0)</f>
        <v>0</v>
      </c>
    </row>
    <row r="571" spans="1:52" ht="15" customHeight="1">
      <c r="A571" s="706" t="s">
        <v>1148</v>
      </c>
      <c r="B571" s="706">
        <v>2026</v>
      </c>
      <c r="C571" s="706" t="s">
        <v>2217</v>
      </c>
      <c r="D571" s="706" t="s">
        <v>2218</v>
      </c>
      <c r="E571" s="706" t="s">
        <v>333</v>
      </c>
      <c r="F571" s="706" t="s">
        <v>1135</v>
      </c>
      <c r="G571" s="706">
        <v>85</v>
      </c>
      <c r="H571" s="706">
        <v>85</v>
      </c>
      <c r="I571" s="706">
        <v>85</v>
      </c>
      <c r="J571" s="706">
        <v>85</v>
      </c>
      <c r="K571" s="706">
        <v>85</v>
      </c>
      <c r="L571" s="706">
        <v>85</v>
      </c>
      <c r="M571" s="706">
        <v>85</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G36002</v>
      </c>
      <c r="AK571" s="905" t="str">
        <f t="shared" si="55"/>
        <v>ACTIONS B</v>
      </c>
      <c r="AL571" s="905">
        <f>IFERROR(INDEX(G571:R571,1,MATCH(Parametres!$B$3,G$1:R$1,0)-1)*IF(OR(F571="L",F571="S",F571="I"),-1,1),"")</f>
        <v>-85</v>
      </c>
      <c r="AM571" s="905">
        <f t="shared" si="50"/>
        <v>0</v>
      </c>
      <c r="AN571" s="905">
        <f>INDEX(G571:R571,1,MATCH(Parametres!$B$3,G$1:R$1,0))*IF(OR(F571="L",F571="S",F571="I"),-1,1)</f>
        <v>-85</v>
      </c>
      <c r="AO571" s="487" t="str">
        <f>+VLOOKUP($AJ571,Data_Validation!$A:$D,1,0)</f>
        <v>G36002</v>
      </c>
      <c r="AP571" s="487" t="str">
        <f>+VLOOKUP($AJ571,Data_Validation!$A:$D,3,0)</f>
        <v>Bilan</v>
      </c>
      <c r="AQ571" s="487" t="str">
        <f>+VLOOKUP($AJ571,Data_Validation!$A:$D,4,0)</f>
        <v>Capital Actions</v>
      </c>
      <c r="AR571" s="487" t="s">
        <v>299</v>
      </c>
      <c r="AS571" s="487">
        <f>+VLOOKUP($AJ571,Data_Validation!$A:$E,5,0)</f>
        <v>0</v>
      </c>
      <c r="AT571" s="904" t="str">
        <f t="shared" si="51"/>
        <v>G36002</v>
      </c>
      <c r="AU571" s="488" t="str">
        <f t="shared" si="52"/>
        <v>ACTIONS B</v>
      </c>
      <c r="AV571" s="899">
        <f>IFERROR(INDEX(V571:AG571,1,MATCH(Parametres!$B$3,V$1:AG$1,0)-1)*IF(OR(C571="L",C571="S",C571="I"),-1,1),"")</f>
        <v>0</v>
      </c>
      <c r="AW571" s="899">
        <f t="shared" si="53"/>
        <v>0</v>
      </c>
      <c r="AX571" s="899">
        <f>INDEX(V571:AG571,1,MATCH(Parametres!$B$3,V$1:AG$1,0))*IF(OR(C571="L",C571="S",C571="I"),-1,1)</f>
        <v>0</v>
      </c>
      <c r="AY571" s="487" t="s">
        <v>337</v>
      </c>
      <c r="AZ571" s="487">
        <f>+VLOOKUP($AJ571,Data_Validation!$A:$E,5,0)</f>
        <v>0</v>
      </c>
    </row>
    <row r="572" spans="1:52" ht="15" customHeight="1">
      <c r="A572" s="706" t="s">
        <v>1148</v>
      </c>
      <c r="B572" s="706">
        <v>2026</v>
      </c>
      <c r="C572" s="706" t="s">
        <v>2219</v>
      </c>
      <c r="D572" s="706" t="s">
        <v>2220</v>
      </c>
      <c r="E572" s="706" t="s">
        <v>333</v>
      </c>
      <c r="F572" s="706" t="s">
        <v>1135</v>
      </c>
      <c r="G572" s="706">
        <v>85</v>
      </c>
      <c r="H572" s="706">
        <v>85</v>
      </c>
      <c r="I572" s="706">
        <v>85</v>
      </c>
      <c r="J572" s="706">
        <v>85</v>
      </c>
      <c r="K572" s="706">
        <v>85</v>
      </c>
      <c r="L572" s="706">
        <v>85</v>
      </c>
      <c r="M572" s="706">
        <v>85</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G36003</v>
      </c>
      <c r="AK572" s="905" t="str">
        <f t="shared" si="55"/>
        <v>ACTIONS C</v>
      </c>
      <c r="AL572" s="905">
        <f>IFERROR(INDEX(G572:R572,1,MATCH(Parametres!$B$3,G$1:R$1,0)-1)*IF(OR(F572="L",F572="S",F572="I"),-1,1),"")</f>
        <v>-85</v>
      </c>
      <c r="AM572" s="905">
        <f t="shared" si="50"/>
        <v>0</v>
      </c>
      <c r="AN572" s="905">
        <f>INDEX(G572:R572,1,MATCH(Parametres!$B$3,G$1:R$1,0))*IF(OR(F572="L",F572="S",F572="I"),-1,1)</f>
        <v>-85</v>
      </c>
      <c r="AO572" s="487" t="str">
        <f>+VLOOKUP($AJ572,Data_Validation!$A:$D,1,0)</f>
        <v>G36003</v>
      </c>
      <c r="AP572" s="487" t="str">
        <f>+VLOOKUP($AJ572,Data_Validation!$A:$D,3,0)</f>
        <v>Bilan</v>
      </c>
      <c r="AQ572" s="487" t="str">
        <f>+VLOOKUP($AJ572,Data_Validation!$A:$D,4,0)</f>
        <v>Capital Actions</v>
      </c>
      <c r="AR572" s="487" t="s">
        <v>299</v>
      </c>
      <c r="AS572" s="487">
        <f>+VLOOKUP($AJ572,Data_Validation!$A:$E,5,0)</f>
        <v>0</v>
      </c>
      <c r="AT572" s="904" t="str">
        <f t="shared" si="51"/>
        <v>G36003</v>
      </c>
      <c r="AU572" s="488" t="str">
        <f t="shared" si="52"/>
        <v>ACTIONS C</v>
      </c>
      <c r="AV572" s="899">
        <f>IFERROR(INDEX(V572:AG572,1,MATCH(Parametres!$B$3,V$1:AG$1,0)-1)*IF(OR(C572="L",C572="S",C572="I"),-1,1),"")</f>
        <v>0</v>
      </c>
      <c r="AW572" s="899">
        <f t="shared" si="53"/>
        <v>0</v>
      </c>
      <c r="AX572" s="899">
        <f>INDEX(V572:AG572,1,MATCH(Parametres!$B$3,V$1:AG$1,0))*IF(OR(C572="L",C572="S",C572="I"),-1,1)</f>
        <v>0</v>
      </c>
      <c r="AY572" s="487" t="s">
        <v>337</v>
      </c>
      <c r="AZ572" s="487">
        <f>+VLOOKUP($AJ572,Data_Validation!$A:$E,5,0)</f>
        <v>0</v>
      </c>
    </row>
    <row r="573" spans="1:52" ht="15" customHeight="1">
      <c r="A573" s="706" t="s">
        <v>1148</v>
      </c>
      <c r="B573" s="706">
        <v>2026</v>
      </c>
      <c r="C573" s="706" t="s">
        <v>2221</v>
      </c>
      <c r="D573" s="706" t="s">
        <v>2222</v>
      </c>
      <c r="E573" s="706" t="s">
        <v>333</v>
      </c>
      <c r="F573" s="706" t="s">
        <v>1135</v>
      </c>
      <c r="G573" s="706">
        <v>51</v>
      </c>
      <c r="H573" s="706">
        <v>51</v>
      </c>
      <c r="I573" s="706">
        <v>51</v>
      </c>
      <c r="J573" s="706">
        <v>51</v>
      </c>
      <c r="K573" s="706">
        <v>51</v>
      </c>
      <c r="L573" s="706">
        <v>51</v>
      </c>
      <c r="M573" s="706">
        <v>51</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G36004</v>
      </c>
      <c r="AK573" s="905" t="str">
        <f t="shared" si="55"/>
        <v>ACTIONS E</v>
      </c>
      <c r="AL573" s="905">
        <f>IFERROR(INDEX(G573:R573,1,MATCH(Parametres!$B$3,G$1:R$1,0)-1)*IF(OR(F573="L",F573="S",F573="I"),-1,1),"")</f>
        <v>-51</v>
      </c>
      <c r="AM573" s="905">
        <f t="shared" si="50"/>
        <v>0</v>
      </c>
      <c r="AN573" s="905">
        <f>INDEX(G573:R573,1,MATCH(Parametres!$B$3,G$1:R$1,0))*IF(OR(F573="L",F573="S",F573="I"),-1,1)</f>
        <v>-51</v>
      </c>
      <c r="AO573" s="487" t="str">
        <f>+VLOOKUP($AJ573,Data_Validation!$A:$D,1,0)</f>
        <v>G36004</v>
      </c>
      <c r="AP573" s="487" t="str">
        <f>+VLOOKUP($AJ573,Data_Validation!$A:$D,3,0)</f>
        <v>Bilan</v>
      </c>
      <c r="AQ573" s="487" t="str">
        <f>+VLOOKUP($AJ573,Data_Validation!$A:$D,4,0)</f>
        <v>Capital Actions</v>
      </c>
      <c r="AR573" s="487" t="s">
        <v>299</v>
      </c>
      <c r="AS573" s="487">
        <f>+VLOOKUP($AJ573,Data_Validation!$A:$E,5,0)</f>
        <v>0</v>
      </c>
      <c r="AT573" s="904" t="str">
        <f t="shared" si="51"/>
        <v>G36004</v>
      </c>
      <c r="AU573" s="488" t="str">
        <f t="shared" si="52"/>
        <v>ACTIONS E</v>
      </c>
      <c r="AV573" s="899">
        <f>IFERROR(INDEX(V573:AG573,1,MATCH(Parametres!$B$3,V$1:AG$1,0)-1)*IF(OR(C573="L",C573="S",C573="I"),-1,1),"")</f>
        <v>0</v>
      </c>
      <c r="AW573" s="899">
        <f t="shared" si="53"/>
        <v>0</v>
      </c>
      <c r="AX573" s="899">
        <f>INDEX(V573:AG573,1,MATCH(Parametres!$B$3,V$1:AG$1,0))*IF(OR(C573="L",C573="S",C573="I"),-1,1)</f>
        <v>0</v>
      </c>
      <c r="AY573" s="487" t="s">
        <v>337</v>
      </c>
      <c r="AZ573" s="487">
        <f>+VLOOKUP($AJ573,Data_Validation!$A:$E,5,0)</f>
        <v>0</v>
      </c>
    </row>
    <row r="574" spans="1:52" ht="15" customHeight="1">
      <c r="A574" s="706" t="s">
        <v>1148</v>
      </c>
      <c r="B574" s="706">
        <v>2026</v>
      </c>
      <c r="C574" s="706" t="s">
        <v>2223</v>
      </c>
      <c r="D574" s="706" t="s">
        <v>2224</v>
      </c>
      <c r="E574" s="706" t="s">
        <v>333</v>
      </c>
      <c r="F574" s="706" t="s">
        <v>1135</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G36005</v>
      </c>
      <c r="AK574" s="905" t="str">
        <f t="shared" si="55"/>
        <v>VALEUR RACHETABLE ACT E</v>
      </c>
      <c r="AL574" s="905">
        <f>IFERROR(INDEX(G574:R574,1,MATCH(Parametres!$B$3,G$1:R$1,0)-1)*IF(OR(F574="L",F574="S",F574="I"),-1,1),"")</f>
        <v>0</v>
      </c>
      <c r="AM574" s="905">
        <f t="shared" si="50"/>
        <v>0</v>
      </c>
      <c r="AN574" s="905">
        <f>INDEX(G574:R574,1,MATCH(Parametres!$B$3,G$1:R$1,0))*IF(OR(F574="L",F574="S",F574="I"),-1,1)</f>
        <v>0</v>
      </c>
      <c r="AO574" s="487" t="str">
        <f>+VLOOKUP($AJ574,Data_Validation!$A:$D,1,0)</f>
        <v>G36005</v>
      </c>
      <c r="AP574" s="487" t="str">
        <f>+VLOOKUP($AJ574,Data_Validation!$A:$D,3,0)</f>
        <v>Bilan</v>
      </c>
      <c r="AQ574" s="487" t="str">
        <f>+VLOOKUP($AJ574,Data_Validation!$A:$D,4,0)</f>
        <v>Capital Actions</v>
      </c>
      <c r="AR574" s="487" t="s">
        <v>299</v>
      </c>
      <c r="AS574" s="487">
        <f>+VLOOKUP($AJ574,Data_Validation!$A:$E,5,0)</f>
        <v>0</v>
      </c>
      <c r="AT574" s="904" t="str">
        <f t="shared" si="51"/>
        <v>G36005</v>
      </c>
      <c r="AU574" s="488" t="str">
        <f t="shared" si="52"/>
        <v>VALEUR RACHETABLE ACT E</v>
      </c>
      <c r="AV574" s="899">
        <f>IFERROR(INDEX(V574:AG574,1,MATCH(Parametres!$B$3,V$1:AG$1,0)-1)*IF(OR(C574="L",C574="S",C574="I"),-1,1),"")</f>
        <v>0</v>
      </c>
      <c r="AW574" s="899">
        <f t="shared" si="53"/>
        <v>0</v>
      </c>
      <c r="AX574" s="899">
        <f>INDEX(V574:AG574,1,MATCH(Parametres!$B$3,V$1:AG$1,0))*IF(OR(C574="L",C574="S",C574="I"),-1,1)</f>
        <v>0</v>
      </c>
      <c r="AY574" s="487" t="s">
        <v>337</v>
      </c>
      <c r="AZ574" s="487">
        <f>+VLOOKUP($AJ574,Data_Validation!$A:$E,5,0)</f>
        <v>0</v>
      </c>
    </row>
    <row r="575" spans="1:52" ht="15" customHeight="1">
      <c r="A575" s="706" t="s">
        <v>1148</v>
      </c>
      <c r="B575" s="706">
        <v>2026</v>
      </c>
      <c r="C575" s="706" t="s">
        <v>2225</v>
      </c>
      <c r="D575" s="706" t="s">
        <v>2226</v>
      </c>
      <c r="E575" s="706" t="s">
        <v>333</v>
      </c>
      <c r="F575" s="706" t="s">
        <v>1135</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G36009</v>
      </c>
      <c r="AK575" s="905" t="str">
        <f t="shared" si="55"/>
        <v>AJUST CAPITAL-ACTIONS</v>
      </c>
      <c r="AL575" s="905">
        <f>IFERROR(INDEX(G575:R575,1,MATCH(Parametres!$B$3,G$1:R$1,0)-1)*IF(OR(F575="L",F575="S",F575="I"),-1,1),"")</f>
        <v>0</v>
      </c>
      <c r="AM575" s="905">
        <f t="shared" si="50"/>
        <v>0</v>
      </c>
      <c r="AN575" s="905">
        <f>INDEX(G575:R575,1,MATCH(Parametres!$B$3,G$1:R$1,0))*IF(OR(F575="L",F575="S",F575="I"),-1,1)</f>
        <v>0</v>
      </c>
      <c r="AO575" s="487" t="str">
        <f>+VLOOKUP($AJ575,Data_Validation!$A:$D,1,0)</f>
        <v>G36009</v>
      </c>
      <c r="AP575" s="487" t="str">
        <f>+VLOOKUP($AJ575,Data_Validation!$A:$D,3,0)</f>
        <v>Bilan</v>
      </c>
      <c r="AQ575" s="487" t="str">
        <f>+VLOOKUP($AJ575,Data_Validation!$A:$D,4,0)</f>
        <v>Capital Actions</v>
      </c>
      <c r="AR575" s="487" t="s">
        <v>299</v>
      </c>
      <c r="AS575" s="487">
        <f>+VLOOKUP($AJ575,Data_Validation!$A:$E,5,0)</f>
        <v>0</v>
      </c>
      <c r="AT575" s="904" t="str">
        <f t="shared" si="51"/>
        <v>G36009</v>
      </c>
      <c r="AU575" s="488" t="str">
        <f t="shared" si="52"/>
        <v>AJUST CAPITAL-ACTIONS</v>
      </c>
      <c r="AV575" s="899">
        <f>IFERROR(INDEX(V575:AG575,1,MATCH(Parametres!$B$3,V$1:AG$1,0)-1)*IF(OR(C575="L",C575="S",C575="I"),-1,1),"")</f>
        <v>0</v>
      </c>
      <c r="AW575" s="899">
        <f t="shared" si="53"/>
        <v>0</v>
      </c>
      <c r="AX575" s="899">
        <f>INDEX(V575:AG575,1,MATCH(Parametres!$B$3,V$1:AG$1,0))*IF(OR(C575="L",C575="S",C575="I"),-1,1)</f>
        <v>0</v>
      </c>
      <c r="AY575" s="487" t="s">
        <v>337</v>
      </c>
      <c r="AZ575" s="487">
        <f>+VLOOKUP($AJ575,Data_Validation!$A:$E,5,0)</f>
        <v>0</v>
      </c>
    </row>
    <row r="576" spans="1:52" ht="15" customHeight="1">
      <c r="A576" s="706" t="s">
        <v>1148</v>
      </c>
      <c r="B576" s="706">
        <v>2026</v>
      </c>
      <c r="C576" s="706" t="s">
        <v>2227</v>
      </c>
      <c r="D576" s="706" t="s">
        <v>2228</v>
      </c>
      <c r="E576" s="706" t="s">
        <v>333</v>
      </c>
      <c r="F576" s="706" t="s">
        <v>1135</v>
      </c>
      <c r="G576" s="706">
        <v>9723956.0099999998</v>
      </c>
      <c r="H576" s="706">
        <v>9723956.0099999998</v>
      </c>
      <c r="I576" s="706">
        <v>9723956.0099999998</v>
      </c>
      <c r="J576" s="706">
        <v>9723956.0099999998</v>
      </c>
      <c r="K576" s="706">
        <v>9723956.0099999998</v>
      </c>
      <c r="L576" s="706">
        <v>9723956.0099999998</v>
      </c>
      <c r="M576" s="706">
        <v>9723956.0099999998</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G37000</v>
      </c>
      <c r="AK576" s="905" t="str">
        <f t="shared" si="55"/>
        <v>BENEFICES NON REPARTIS</v>
      </c>
      <c r="AL576" s="905">
        <f>IFERROR(INDEX(G576:R576,1,MATCH(Parametres!$B$3,G$1:R$1,0)-1)*IF(OR(F576="L",F576="S",F576="I"),-1,1),"")</f>
        <v>-9723956.0099999998</v>
      </c>
      <c r="AM576" s="905">
        <f t="shared" si="50"/>
        <v>0</v>
      </c>
      <c r="AN576" s="905">
        <f>INDEX(G576:R576,1,MATCH(Parametres!$B$3,G$1:R$1,0))*IF(OR(F576="L",F576="S",F576="I"),-1,1)</f>
        <v>-9723956.0099999998</v>
      </c>
      <c r="AO576" s="487" t="str">
        <f>+VLOOKUP($AJ576,Data_Validation!$A:$D,1,0)</f>
        <v>G37000</v>
      </c>
      <c r="AP576" s="487" t="str">
        <f>+VLOOKUP($AJ576,Data_Validation!$A:$D,3,0)</f>
        <v>Bilan</v>
      </c>
      <c r="AQ576" s="487" t="str">
        <f>+VLOOKUP($AJ576,Data_Validation!$A:$D,4,0)</f>
        <v>Bénéfices non répartis</v>
      </c>
      <c r="AR576" s="487" t="s">
        <v>299</v>
      </c>
      <c r="AS576" s="487">
        <f>+VLOOKUP($AJ576,Data_Validation!$A:$E,5,0)</f>
        <v>0</v>
      </c>
      <c r="AT576" s="904" t="str">
        <f t="shared" si="51"/>
        <v>G37000</v>
      </c>
      <c r="AU576" s="488" t="str">
        <f t="shared" si="52"/>
        <v>BENEFICES NON REPARTIS</v>
      </c>
      <c r="AV576" s="899">
        <f>IFERROR(INDEX(V576:AG576,1,MATCH(Parametres!$B$3,V$1:AG$1,0)-1)*IF(OR(C576="L",C576="S",C576="I"),-1,1),"")</f>
        <v>0</v>
      </c>
      <c r="AW576" s="899">
        <f t="shared" si="53"/>
        <v>0</v>
      </c>
      <c r="AX576" s="899">
        <f>INDEX(V576:AG576,1,MATCH(Parametres!$B$3,V$1:AG$1,0))*IF(OR(C576="L",C576="S",C576="I"),-1,1)</f>
        <v>0</v>
      </c>
      <c r="AY576" s="487" t="s">
        <v>337</v>
      </c>
      <c r="AZ576" s="487">
        <f>+VLOOKUP($AJ576,Data_Validation!$A:$E,5,0)</f>
        <v>0</v>
      </c>
    </row>
    <row r="577" spans="1:52" ht="15" customHeight="1">
      <c r="A577" s="706" t="s">
        <v>1148</v>
      </c>
      <c r="B577" s="706">
        <v>2026</v>
      </c>
      <c r="C577" s="706" t="s">
        <v>2229</v>
      </c>
      <c r="D577" s="706" t="s">
        <v>2230</v>
      </c>
      <c r="E577" s="706" t="s">
        <v>333</v>
      </c>
      <c r="F577" s="706" t="s">
        <v>1135</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G37500</v>
      </c>
      <c r="AK577" s="905" t="str">
        <f t="shared" si="55"/>
        <v>DIVIDENDES RECUS</v>
      </c>
      <c r="AL577" s="905">
        <f>IFERROR(INDEX(G577:R577,1,MATCH(Parametres!$B$3,G$1:R$1,0)-1)*IF(OR(F577="L",F577="S",F577="I"),-1,1),"")</f>
        <v>0</v>
      </c>
      <c r="AM577" s="905">
        <f t="shared" si="50"/>
        <v>0</v>
      </c>
      <c r="AN577" s="905">
        <f>INDEX(G577:R577,1,MATCH(Parametres!$B$3,G$1:R$1,0))*IF(OR(F577="L",F577="S",F577="I"),-1,1)</f>
        <v>0</v>
      </c>
      <c r="AO577" s="487" t="str">
        <f>+VLOOKUP($AJ577,Data_Validation!$A:$D,1,0)</f>
        <v>G37500</v>
      </c>
      <c r="AP577" s="487">
        <f>+VLOOKUP($AJ577,Data_Validation!$A:$D,3,0)</f>
        <v>0</v>
      </c>
      <c r="AQ577" s="487">
        <f>+VLOOKUP($AJ577,Data_Validation!$A:$D,4,0)</f>
        <v>0</v>
      </c>
      <c r="AR577" s="487" t="s">
        <v>299</v>
      </c>
      <c r="AS577" s="487">
        <f>+VLOOKUP($AJ577,Data_Validation!$A:$E,5,0)</f>
        <v>0</v>
      </c>
      <c r="AT577" s="904" t="str">
        <f t="shared" si="51"/>
        <v>G37500</v>
      </c>
      <c r="AU577" s="488" t="str">
        <f t="shared" si="52"/>
        <v>DIVIDENDES RECUS</v>
      </c>
      <c r="AV577" s="899">
        <f>IFERROR(INDEX(V577:AG577,1,MATCH(Parametres!$B$3,V$1:AG$1,0)-1)*IF(OR(C577="L",C577="S",C577="I"),-1,1),"")</f>
        <v>0</v>
      </c>
      <c r="AW577" s="899">
        <f t="shared" si="53"/>
        <v>0</v>
      </c>
      <c r="AX577" s="899">
        <f>INDEX(V577:AG577,1,MATCH(Parametres!$B$3,V$1:AG$1,0))*IF(OR(C577="L",C577="S",C577="I"),-1,1)</f>
        <v>0</v>
      </c>
      <c r="AY577" s="487" t="s">
        <v>337</v>
      </c>
      <c r="AZ577" s="487">
        <f>+VLOOKUP($AJ577,Data_Validation!$A:$E,5,0)</f>
        <v>0</v>
      </c>
    </row>
    <row r="578" spans="1:52" ht="15" customHeight="1">
      <c r="A578" s="706" t="s">
        <v>1148</v>
      </c>
      <c r="B578" s="706">
        <v>2026</v>
      </c>
      <c r="C578" s="706" t="s">
        <v>2231</v>
      </c>
      <c r="D578" s="706" t="s">
        <v>2232</v>
      </c>
      <c r="E578" s="706" t="s">
        <v>333</v>
      </c>
      <c r="F578" s="706" t="s">
        <v>1135</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G38000</v>
      </c>
      <c r="AK578" s="905" t="str">
        <f t="shared" si="55"/>
        <v>PLACEMENTS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G38000</v>
      </c>
      <c r="AU578" s="488" t="str">
        <f t="shared" si="52"/>
        <v>PLACEMENTS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2026</v>
      </c>
      <c r="C579" s="706" t="s">
        <v>2233</v>
      </c>
      <c r="D579" s="706" t="s">
        <v>2234</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G40000</v>
      </c>
      <c r="AK579" s="905" t="str">
        <f t="shared" si="55"/>
        <v>VENTE VOLT</v>
      </c>
      <c r="AL579" s="905">
        <f>IFERROR(INDEX(G579:R579,1,MATCH(Parametres!$B$3,G$1:R$1,0)-1)*IF(OR(F579="L",F579="S",F579="I"),-1,1),"")</f>
        <v>0</v>
      </c>
      <c r="AM579" s="905">
        <f t="shared" si="50"/>
        <v>0</v>
      </c>
      <c r="AN579" s="905">
        <f>INDEX(G579:R579,1,MATCH(Parametres!$B$3,G$1:R$1,0))*IF(OR(F579="L",F579="S",F579="I"),-1,1)</f>
        <v>0</v>
      </c>
      <c r="AO579" s="487" t="str">
        <f>+VLOOKUP($AJ579,Data_Validation!$A:$D,1,0)</f>
        <v>G40000</v>
      </c>
      <c r="AP579" s="487" t="str">
        <f>+VLOOKUP($AJ579,Data_Validation!$A:$D,3,0)</f>
        <v>Véhicules neufs</v>
      </c>
      <c r="AQ579" s="487" t="str">
        <f>+VLOOKUP($AJ579,Data_Validation!$A:$D,4,0)</f>
        <v>Autos détail</v>
      </c>
      <c r="AR579" s="487" t="s">
        <v>299</v>
      </c>
      <c r="AS579" s="487" t="str">
        <f>+VLOOKUP($AJ579,Data_Validation!$A:$E,5,0)</f>
        <v>Oui</v>
      </c>
      <c r="AT579" s="904" t="str">
        <f t="shared" si="51"/>
        <v>G40000</v>
      </c>
      <c r="AU579" s="488" t="str">
        <f t="shared" si="52"/>
        <v>VENTE VOLT</v>
      </c>
      <c r="AV579" s="899">
        <f>IFERROR(INDEX(V579:AG579,1,MATCH(Parametres!$B$3,V$1:AG$1,0)-1)*IF(OR(C579="L",C579="S",C579="I"),-1,1),"")</f>
        <v>0</v>
      </c>
      <c r="AW579" s="899">
        <f t="shared" si="53"/>
        <v>0</v>
      </c>
      <c r="AX579" s="899">
        <f>INDEX(V579:AG579,1,MATCH(Parametres!$B$3,V$1:AG$1,0))*IF(OR(C579="L",C579="S",C579="I"),-1,1)</f>
        <v>0</v>
      </c>
      <c r="AY579" s="487" t="s">
        <v>337</v>
      </c>
      <c r="AZ579" s="487" t="str">
        <f>+VLOOKUP($AJ579,Data_Validation!$A:$E,5,0)</f>
        <v>Oui</v>
      </c>
    </row>
    <row r="580" spans="1:52" ht="15" customHeight="1">
      <c r="A580" s="706" t="s">
        <v>1148</v>
      </c>
      <c r="B580" s="706">
        <v>2026</v>
      </c>
      <c r="C580" s="706" t="s">
        <v>2235</v>
      </c>
      <c r="D580" s="706" t="s">
        <v>2236</v>
      </c>
      <c r="E580" s="706" t="s">
        <v>1149</v>
      </c>
      <c r="F580" s="706" t="s">
        <v>1149</v>
      </c>
      <c r="G580" s="706">
        <v>0</v>
      </c>
      <c r="H580" s="706">
        <v>0</v>
      </c>
      <c r="I580" s="706">
        <v>0</v>
      </c>
      <c r="J580" s="706">
        <v>0</v>
      </c>
      <c r="K580" s="706">
        <v>0</v>
      </c>
      <c r="L580" s="706">
        <v>0</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G40004</v>
      </c>
      <c r="AK580" s="905" t="str">
        <f t="shared" si="55"/>
        <v>VENTE BUICK REGAL</v>
      </c>
      <c r="AL580" s="905">
        <f>IFERROR(INDEX(G580:R580,1,MATCH(Parametres!$B$3,G$1:R$1,0)-1)*IF(OR(F580="L",F580="S",F580="I"),-1,1),"")</f>
        <v>0</v>
      </c>
      <c r="AM580" s="905">
        <f t="shared" ref="AM580:AM643" si="56">AN580-AL580</f>
        <v>0</v>
      </c>
      <c r="AN580" s="905">
        <f>INDEX(G580:R580,1,MATCH(Parametres!$B$3,G$1:R$1,0))*IF(OR(F580="L",F580="S",F580="I"),-1,1)</f>
        <v>0</v>
      </c>
      <c r="AO580" s="487" t="str">
        <f>+VLOOKUP($AJ580,Data_Validation!$A:$D,1,0)</f>
        <v>G40004</v>
      </c>
      <c r="AP580" s="487" t="str">
        <f>+VLOOKUP($AJ580,Data_Validation!$A:$D,3,0)</f>
        <v>Véhicules neufs</v>
      </c>
      <c r="AQ580" s="487" t="str">
        <f>+VLOOKUP($AJ580,Data_Validation!$A:$D,4,0)</f>
        <v>Autos détail</v>
      </c>
      <c r="AR580" s="487" t="s">
        <v>299</v>
      </c>
      <c r="AS580" s="487" t="str">
        <f>+VLOOKUP($AJ580,Data_Validation!$A:$E,5,0)</f>
        <v>Oui</v>
      </c>
      <c r="AT580" s="904" t="str">
        <f t="shared" ref="AT580:AT643" si="57">C580</f>
        <v>G40004</v>
      </c>
      <c r="AU580" s="488" t="str">
        <f t="shared" ref="AU580:AU643" si="58">D580</f>
        <v>VENTE BUICK REGAL</v>
      </c>
      <c r="AV580" s="899">
        <f>IFERROR(INDEX(V580:AG580,1,MATCH(Parametres!$B$3,V$1:AG$1,0)-1)*IF(OR(C580="L",C580="S",C580="I"),-1,1),"")</f>
        <v>0</v>
      </c>
      <c r="AW580" s="899">
        <f t="shared" ref="AW580:AW643" si="59">AX580-AV580</f>
        <v>0</v>
      </c>
      <c r="AX580" s="899">
        <f>INDEX(V580:AG580,1,MATCH(Parametres!$B$3,V$1:AG$1,0))*IF(OR(C580="L",C580="S",C580="I"),-1,1)</f>
        <v>0</v>
      </c>
      <c r="AY580" s="487" t="s">
        <v>337</v>
      </c>
      <c r="AZ580" s="487" t="str">
        <f>+VLOOKUP($AJ580,Data_Validation!$A:$E,5,0)</f>
        <v>Oui</v>
      </c>
    </row>
    <row r="581" spans="1:52" ht="15" customHeight="1">
      <c r="A581" s="706" t="s">
        <v>1148</v>
      </c>
      <c r="B581" s="706">
        <v>2026</v>
      </c>
      <c r="C581" s="706" t="s">
        <v>2237</v>
      </c>
      <c r="D581" s="706" t="s">
        <v>2238</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G40100</v>
      </c>
      <c r="AK581" s="905" t="str">
        <f t="shared" si="55"/>
        <v>VTES-MALIBU</v>
      </c>
      <c r="AL581" s="905">
        <f>IFERROR(INDEX(G581:R581,1,MATCH(Parametres!$B$3,G$1:R$1,0)-1)*IF(OR(F581="L",F581="S",F581="I"),-1,1),"")</f>
        <v>0</v>
      </c>
      <c r="AM581" s="905">
        <f t="shared" si="56"/>
        <v>0</v>
      </c>
      <c r="AN581" s="905">
        <f>INDEX(G581:R581,1,MATCH(Parametres!$B$3,G$1:R$1,0))*IF(OR(F581="L",F581="S",F581="I"),-1,1)</f>
        <v>0</v>
      </c>
      <c r="AO581" s="487" t="str">
        <f>+VLOOKUP($AJ581,Data_Validation!$A:$D,1,0)</f>
        <v>G40100</v>
      </c>
      <c r="AP581" s="487" t="str">
        <f>+VLOOKUP($AJ581,Data_Validation!$A:$D,3,0)</f>
        <v>Véhicules neufs</v>
      </c>
      <c r="AQ581" s="487" t="str">
        <f>+VLOOKUP($AJ581,Data_Validation!$A:$D,4,0)</f>
        <v>Autos détail</v>
      </c>
      <c r="AR581" s="487" t="s">
        <v>299</v>
      </c>
      <c r="AS581" s="487" t="str">
        <f>+VLOOKUP($AJ581,Data_Validation!$A:$E,5,0)</f>
        <v>Oui</v>
      </c>
      <c r="AT581" s="904" t="str">
        <f t="shared" si="57"/>
        <v>G40100</v>
      </c>
      <c r="AU581" s="488" t="str">
        <f t="shared" si="58"/>
        <v>VTES-MALIBU</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customHeight="1">
      <c r="A582" s="706" t="s">
        <v>1148</v>
      </c>
      <c r="B582" s="706">
        <v>2026</v>
      </c>
      <c r="C582" s="706" t="s">
        <v>2239</v>
      </c>
      <c r="D582" s="706" t="s">
        <v>2240</v>
      </c>
      <c r="E582" s="706" t="s">
        <v>1149</v>
      </c>
      <c r="F582" s="706" t="s">
        <v>1149</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G40101</v>
      </c>
      <c r="AK582" s="905" t="str">
        <f t="shared" si="55"/>
        <v>VENTE BUICK LACROSSE</v>
      </c>
      <c r="AL582" s="905">
        <f>IFERROR(INDEX(G582:R582,1,MATCH(Parametres!$B$3,G$1:R$1,0)-1)*IF(OR(F582="L",F582="S",F582="I"),-1,1),"")</f>
        <v>0</v>
      </c>
      <c r="AM582" s="905">
        <f t="shared" si="56"/>
        <v>0</v>
      </c>
      <c r="AN582" s="905">
        <f>INDEX(G582:R582,1,MATCH(Parametres!$B$3,G$1:R$1,0))*IF(OR(F582="L",F582="S",F582="I"),-1,1)</f>
        <v>0</v>
      </c>
      <c r="AO582" s="487" t="str">
        <f>+VLOOKUP($AJ582,Data_Validation!$A:$D,1,0)</f>
        <v>G40101</v>
      </c>
      <c r="AP582" s="487" t="str">
        <f>+VLOOKUP($AJ582,Data_Validation!$A:$D,3,0)</f>
        <v>Véhicules neufs</v>
      </c>
      <c r="AQ582" s="487" t="str">
        <f>+VLOOKUP($AJ582,Data_Validation!$A:$D,4,0)</f>
        <v>Autos détail</v>
      </c>
      <c r="AR582" s="487" t="s">
        <v>299</v>
      </c>
      <c r="AS582" s="487" t="str">
        <f>+VLOOKUP($AJ582,Data_Validation!$A:$E,5,0)</f>
        <v>Oui</v>
      </c>
      <c r="AT582" s="904" t="str">
        <f t="shared" si="57"/>
        <v>G40101</v>
      </c>
      <c r="AU582" s="488" t="str">
        <f t="shared" si="58"/>
        <v>VENTE BUICK LACROSSE</v>
      </c>
      <c r="AV582" s="899">
        <f>IFERROR(INDEX(V582:AG582,1,MATCH(Parametres!$B$3,V$1:AG$1,0)-1)*IF(OR(C582="L",C582="S",C582="I"),-1,1),"")</f>
        <v>0</v>
      </c>
      <c r="AW582" s="899">
        <f t="shared" si="59"/>
        <v>0</v>
      </c>
      <c r="AX582" s="899">
        <f>INDEX(V582:AG582,1,MATCH(Parametres!$B$3,V$1:AG$1,0))*IF(OR(C582="L",C582="S",C582="I"),-1,1)</f>
        <v>0</v>
      </c>
      <c r="AY582" s="487" t="s">
        <v>337</v>
      </c>
      <c r="AZ582" s="487" t="str">
        <f>+VLOOKUP($AJ582,Data_Validation!$A:$E,5,0)</f>
        <v>Oui</v>
      </c>
    </row>
    <row r="583" spans="1:52" ht="15" customHeight="1">
      <c r="A583" s="706" t="s">
        <v>1148</v>
      </c>
      <c r="B583" s="706">
        <v>2026</v>
      </c>
      <c r="C583" s="706" t="s">
        <v>2241</v>
      </c>
      <c r="D583" s="706" t="s">
        <v>2242</v>
      </c>
      <c r="E583" s="706" t="s">
        <v>1149</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G40120</v>
      </c>
      <c r="AK583" s="905" t="str">
        <f t="shared" si="55"/>
        <v>VTES-MALIBU          -LOC</v>
      </c>
      <c r="AL583" s="905">
        <f>IFERROR(INDEX(G583:R583,1,MATCH(Parametres!$B$3,G$1:R$1,0)-1)*IF(OR(F583="L",F583="S",F583="I"),-1,1),"")</f>
        <v>0</v>
      </c>
      <c r="AM583" s="905">
        <f t="shared" si="56"/>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t="str">
        <f t="shared" si="57"/>
        <v>G40120</v>
      </c>
      <c r="AU583" s="488" t="str">
        <f t="shared" si="58"/>
        <v>VTES-MALIBU          -LOC</v>
      </c>
      <c r="AV583" s="899">
        <f>IFERROR(INDEX(V583:AG583,1,MATCH(Parametres!$B$3,V$1:AG$1,0)-1)*IF(OR(C583="L",C583="S",C583="I"),-1,1),"")</f>
        <v>0</v>
      </c>
      <c r="AW583" s="899">
        <f t="shared" si="59"/>
        <v>0</v>
      </c>
      <c r="AX583" s="899">
        <f>INDEX(V583:AG583,1,MATCH(Parametres!$B$3,V$1:AG$1,0))*IF(OR(C583="L",C583="S",C583="I"),-1,1)</f>
        <v>0</v>
      </c>
      <c r="AY583" s="487" t="s">
        <v>337</v>
      </c>
      <c r="AZ583" s="487" t="e">
        <f>+VLOOKUP($AJ583,Data_Validation!$A:$E,5,0)</f>
        <v>#N/A</v>
      </c>
    </row>
    <row r="584" spans="1:52" ht="15" customHeight="1">
      <c r="A584" s="706" t="s">
        <v>1148</v>
      </c>
      <c r="B584" s="706">
        <v>2026</v>
      </c>
      <c r="C584" s="706" t="s">
        <v>2243</v>
      </c>
      <c r="D584" s="706" t="s">
        <v>2244</v>
      </c>
      <c r="E584" s="706" t="s">
        <v>1149</v>
      </c>
      <c r="F584" s="706" t="s">
        <v>1149</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0</v>
      </c>
      <c r="W584" s="706">
        <v>0</v>
      </c>
      <c r="X584" s="706">
        <v>0</v>
      </c>
      <c r="Y584" s="706">
        <v>0</v>
      </c>
      <c r="Z584" s="706">
        <v>0</v>
      </c>
      <c r="AA584" s="706">
        <v>0</v>
      </c>
      <c r="AB584" s="706">
        <v>0</v>
      </c>
      <c r="AC584" s="706">
        <v>0</v>
      </c>
      <c r="AD584" s="706">
        <v>0</v>
      </c>
      <c r="AE584" s="706">
        <v>0</v>
      </c>
      <c r="AF584" s="706">
        <v>0</v>
      </c>
      <c r="AG584" s="706">
        <v>0</v>
      </c>
      <c r="AH584" s="706">
        <v>0</v>
      </c>
      <c r="AI584" s="706">
        <v>0</v>
      </c>
      <c r="AJ584" s="905" t="str">
        <f t="shared" si="54"/>
        <v>G40200</v>
      </c>
      <c r="AK584" s="905" t="str">
        <f t="shared" si="55"/>
        <v>VTES-MALIBU MAXX</v>
      </c>
      <c r="AL584" s="905">
        <f>IFERROR(INDEX(G584:R584,1,MATCH(Parametres!$B$3,G$1:R$1,0)-1)*IF(OR(F584="L",F584="S",F584="I"),-1,1),"")</f>
        <v>0</v>
      </c>
      <c r="AM584" s="905">
        <f t="shared" si="56"/>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t="str">
        <f t="shared" si="57"/>
        <v>G40200</v>
      </c>
      <c r="AU584" s="488" t="str">
        <f t="shared" si="58"/>
        <v>VTES-MALIBU MAXX</v>
      </c>
      <c r="AV584" s="899">
        <f>IFERROR(INDEX(V584:AG584,1,MATCH(Parametres!$B$3,V$1:AG$1,0)-1)*IF(OR(C584="L",C584="S",C584="I"),-1,1),"")</f>
        <v>0</v>
      </c>
      <c r="AW584" s="899">
        <f t="shared" si="59"/>
        <v>0</v>
      </c>
      <c r="AX584" s="899">
        <f>INDEX(V584:AG584,1,MATCH(Parametres!$B$3,V$1:AG$1,0))*IF(OR(C584="L",C584="S",C584="I"),-1,1)</f>
        <v>0</v>
      </c>
      <c r="AY584" s="487" t="s">
        <v>337</v>
      </c>
      <c r="AZ584" s="487" t="e">
        <f>+VLOOKUP($AJ584,Data_Validation!$A:$E,5,0)</f>
        <v>#N/A</v>
      </c>
    </row>
    <row r="585" spans="1:52" ht="15" customHeight="1">
      <c r="A585" s="706" t="s">
        <v>1148</v>
      </c>
      <c r="B585" s="706">
        <v>2026</v>
      </c>
      <c r="C585" s="706" t="s">
        <v>2245</v>
      </c>
      <c r="D585" s="706" t="s">
        <v>2246</v>
      </c>
      <c r="E585" s="706" t="s">
        <v>1149</v>
      </c>
      <c r="F585" s="706" t="s">
        <v>1149</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G40201</v>
      </c>
      <c r="AK585" s="905" t="str">
        <f t="shared" si="55"/>
        <v>VENTES - SONIC</v>
      </c>
      <c r="AL585" s="905">
        <f>IFERROR(INDEX(G585:R585,1,MATCH(Parametres!$B$3,G$1:R$1,0)-1)*IF(OR(F585="L",F585="S",F585="I"),-1,1),"")</f>
        <v>0</v>
      </c>
      <c r="AM585" s="905">
        <f t="shared" si="56"/>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t="str">
        <f t="shared" si="57"/>
        <v>G40201</v>
      </c>
      <c r="AU585" s="488" t="str">
        <f t="shared" si="58"/>
        <v>VENTES - SONIC</v>
      </c>
      <c r="AV585" s="899">
        <f>IFERROR(INDEX(V585:AG585,1,MATCH(Parametres!$B$3,V$1:AG$1,0)-1)*IF(OR(C585="L",C585="S",C585="I"),-1,1),"")</f>
        <v>0</v>
      </c>
      <c r="AW585" s="899">
        <f t="shared" si="59"/>
        <v>0</v>
      </c>
      <c r="AX585" s="899">
        <f>INDEX(V585:AG585,1,MATCH(Parametres!$B$3,V$1:AG$1,0))*IF(OR(C585="L",C585="S",C585="I"),-1,1)</f>
        <v>0</v>
      </c>
      <c r="AY585" s="487" t="s">
        <v>337</v>
      </c>
      <c r="AZ585" s="487" t="e">
        <f>+VLOOKUP($AJ585,Data_Validation!$A:$E,5,0)</f>
        <v>#N/A</v>
      </c>
    </row>
    <row r="586" spans="1:52" ht="15" customHeight="1">
      <c r="A586" s="706" t="s">
        <v>1148</v>
      </c>
      <c r="B586" s="706">
        <v>2026</v>
      </c>
      <c r="C586" s="706" t="s">
        <v>2247</v>
      </c>
      <c r="D586" s="706" t="s">
        <v>2248</v>
      </c>
      <c r="E586" s="706" t="s">
        <v>1149</v>
      </c>
      <c r="F586" s="706" t="s">
        <v>1149</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G40204</v>
      </c>
      <c r="AK586" s="905" t="str">
        <f t="shared" si="55"/>
        <v>VENTES - VERANO</v>
      </c>
      <c r="AL586" s="905">
        <f>IFERROR(INDEX(G586:R586,1,MATCH(Parametres!$B$3,G$1:R$1,0)-1)*IF(OR(F586="L",F586="S",F586="I"),-1,1),"")</f>
        <v>0</v>
      </c>
      <c r="AM586" s="905">
        <f t="shared" si="56"/>
        <v>0</v>
      </c>
      <c r="AN586" s="905">
        <f>INDEX(G586:R586,1,MATCH(Parametres!$B$3,G$1:R$1,0))*IF(OR(F586="L",F586="S",F586="I"),-1,1)</f>
        <v>0</v>
      </c>
      <c r="AO586" s="487" t="str">
        <f>+VLOOKUP($AJ586,Data_Validation!$A:$D,1,0)</f>
        <v>G40204</v>
      </c>
      <c r="AP586" s="487" t="str">
        <f>+VLOOKUP($AJ586,Data_Validation!$A:$D,3,0)</f>
        <v>Véhicules neufs</v>
      </c>
      <c r="AQ586" s="487" t="str">
        <f>+VLOOKUP($AJ586,Data_Validation!$A:$D,4,0)</f>
        <v>Autos détail</v>
      </c>
      <c r="AR586" s="487" t="s">
        <v>299</v>
      </c>
      <c r="AS586" s="487" t="str">
        <f>+VLOOKUP($AJ586,Data_Validation!$A:$E,5,0)</f>
        <v>Oui</v>
      </c>
      <c r="AT586" s="904" t="str">
        <f t="shared" si="57"/>
        <v>G40204</v>
      </c>
      <c r="AU586" s="488" t="str">
        <f t="shared" si="58"/>
        <v>VENTES - VERANO</v>
      </c>
      <c r="AV586" s="899">
        <f>IFERROR(INDEX(V586:AG586,1,MATCH(Parametres!$B$3,V$1:AG$1,0)-1)*IF(OR(C586="L",C586="S",C586="I"),-1,1),"")</f>
        <v>0</v>
      </c>
      <c r="AW586" s="899">
        <f t="shared" si="59"/>
        <v>0</v>
      </c>
      <c r="AX586" s="899">
        <f>INDEX(V586:AG586,1,MATCH(Parametres!$B$3,V$1:AG$1,0))*IF(OR(C586="L",C586="S",C586="I"),-1,1)</f>
        <v>0</v>
      </c>
      <c r="AY586" s="487" t="s">
        <v>337</v>
      </c>
      <c r="AZ586" s="487" t="str">
        <f>+VLOOKUP($AJ586,Data_Validation!$A:$E,5,0)</f>
        <v>Oui</v>
      </c>
    </row>
    <row r="587" spans="1:52" ht="15" customHeight="1">
      <c r="A587" s="706" t="s">
        <v>1148</v>
      </c>
      <c r="B587" s="706">
        <v>2026</v>
      </c>
      <c r="C587" s="706" t="s">
        <v>2249</v>
      </c>
      <c r="D587" s="706" t="s">
        <v>2250</v>
      </c>
      <c r="E587" s="706" t="s">
        <v>1149</v>
      </c>
      <c r="F587" s="706" t="s">
        <v>1149</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G40300</v>
      </c>
      <c r="AK587" s="905" t="str">
        <f t="shared" si="55"/>
        <v>VTES-IMPALA</v>
      </c>
      <c r="AL587" s="905">
        <f>IFERROR(INDEX(G587:R587,1,MATCH(Parametres!$B$3,G$1:R$1,0)-1)*IF(OR(F587="L",F587="S",F587="I"),-1,1),"")</f>
        <v>0</v>
      </c>
      <c r="AM587" s="905">
        <f t="shared" si="56"/>
        <v>0</v>
      </c>
      <c r="AN587" s="905">
        <f>INDEX(G587:R587,1,MATCH(Parametres!$B$3,G$1:R$1,0))*IF(OR(F587="L",F587="S",F587="I"),-1,1)</f>
        <v>0</v>
      </c>
      <c r="AO587" s="487" t="str">
        <f>+VLOOKUP($AJ587,Data_Validation!$A:$D,1,0)</f>
        <v>G40300</v>
      </c>
      <c r="AP587" s="487" t="str">
        <f>+VLOOKUP($AJ587,Data_Validation!$A:$D,3,0)</f>
        <v>Véhicules neufs</v>
      </c>
      <c r="AQ587" s="487" t="str">
        <f>+VLOOKUP($AJ587,Data_Validation!$A:$D,4,0)</f>
        <v>Autos détail</v>
      </c>
      <c r="AR587" s="487" t="s">
        <v>299</v>
      </c>
      <c r="AS587" s="487" t="str">
        <f>+VLOOKUP($AJ587,Data_Validation!$A:$E,5,0)</f>
        <v>Oui</v>
      </c>
      <c r="AT587" s="904" t="str">
        <f t="shared" si="57"/>
        <v>G40300</v>
      </c>
      <c r="AU587" s="488" t="str">
        <f t="shared" si="58"/>
        <v>VTES-IMPALA</v>
      </c>
      <c r="AV587" s="899">
        <f>IFERROR(INDEX(V587:AG587,1,MATCH(Parametres!$B$3,V$1:AG$1,0)-1)*IF(OR(C587="L",C587="S",C587="I"),-1,1),"")</f>
        <v>0</v>
      </c>
      <c r="AW587" s="899">
        <f t="shared" si="59"/>
        <v>0</v>
      </c>
      <c r="AX587" s="899">
        <f>INDEX(V587:AG587,1,MATCH(Parametres!$B$3,V$1:AG$1,0))*IF(OR(C587="L",C587="S",C587="I"),-1,1)</f>
        <v>0</v>
      </c>
      <c r="AY587" s="487" t="s">
        <v>337</v>
      </c>
      <c r="AZ587" s="487" t="str">
        <f>+VLOOKUP($AJ587,Data_Validation!$A:$E,5,0)</f>
        <v>Oui</v>
      </c>
    </row>
    <row r="588" spans="1:52" ht="15" customHeight="1">
      <c r="A588" s="706" t="s">
        <v>1148</v>
      </c>
      <c r="B588" s="706">
        <v>2026</v>
      </c>
      <c r="C588" s="706" t="s">
        <v>2251</v>
      </c>
      <c r="D588" s="706" t="s">
        <v>2252</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G40320</v>
      </c>
      <c r="AK588" s="905" t="str">
        <f t="shared" si="55"/>
        <v>VTES-IMPALA          -LOC</v>
      </c>
      <c r="AL588" s="905">
        <f>IFERROR(INDEX(G588:R588,1,MATCH(Parametres!$B$3,G$1:R$1,0)-1)*IF(OR(F588="L",F588="S",F588="I"),-1,1),"")</f>
        <v>0</v>
      </c>
      <c r="AM588" s="905">
        <f t="shared" si="56"/>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G40320</v>
      </c>
      <c r="AU588" s="488" t="str">
        <f t="shared" si="58"/>
        <v>VTES-IMPALA          -LOC</v>
      </c>
      <c r="AV588" s="899">
        <f>IFERROR(INDEX(V588:AG588,1,MATCH(Parametres!$B$3,V$1:AG$1,0)-1)*IF(OR(C588="L",C588="S",C588="I"),-1,1),"")</f>
        <v>0</v>
      </c>
      <c r="AW588" s="899">
        <f t="shared" si="59"/>
        <v>0</v>
      </c>
      <c r="AX588" s="899">
        <f>INDEX(V588:AG588,1,MATCH(Parametres!$B$3,V$1:AG$1,0))*IF(OR(C588="L",C588="S",C588="I"),-1,1)</f>
        <v>0</v>
      </c>
      <c r="AY588" s="487" t="s">
        <v>337</v>
      </c>
      <c r="AZ588" s="487" t="e">
        <f>+VLOOKUP($AJ588,Data_Validation!$A:$E,5,0)</f>
        <v>#N/A</v>
      </c>
    </row>
    <row r="589" spans="1:52" ht="15" customHeight="1">
      <c r="A589" s="706" t="s">
        <v>1148</v>
      </c>
      <c r="B589" s="706">
        <v>2026</v>
      </c>
      <c r="C589" s="706" t="s">
        <v>2253</v>
      </c>
      <c r="D589" s="706" t="s">
        <v>2254</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G40400</v>
      </c>
      <c r="AK589" s="905" t="str">
        <f t="shared" si="55"/>
        <v>VENTES / SPARK</v>
      </c>
      <c r="AL589" s="905">
        <f>IFERROR(INDEX(G589:R589,1,MATCH(Parametres!$B$3,G$1:R$1,0)-1)*IF(OR(F589="L",F589="S",F589="I"),-1,1),"")</f>
        <v>0</v>
      </c>
      <c r="AM589" s="905">
        <f t="shared" si="56"/>
        <v>0</v>
      </c>
      <c r="AN589" s="905">
        <f>INDEX(G589:R589,1,MATCH(Parametres!$B$3,G$1:R$1,0))*IF(OR(F589="L",F589="S",F589="I"),-1,1)</f>
        <v>0</v>
      </c>
      <c r="AO589" s="487" t="str">
        <f>+VLOOKUP($AJ589,Data_Validation!$A:$D,1,0)</f>
        <v>G40400</v>
      </c>
      <c r="AP589" s="487" t="str">
        <f>+VLOOKUP($AJ589,Data_Validation!$A:$D,3,0)</f>
        <v>Véhicules neufs</v>
      </c>
      <c r="AQ589" s="487" t="str">
        <f>+VLOOKUP($AJ589,Data_Validation!$A:$D,4,0)</f>
        <v>Autos détail</v>
      </c>
      <c r="AR589" s="487" t="s">
        <v>299</v>
      </c>
      <c r="AS589" s="487" t="str">
        <f>+VLOOKUP($AJ589,Data_Validation!$A:$E,5,0)</f>
        <v>Oui</v>
      </c>
      <c r="AT589" s="904" t="str">
        <f t="shared" si="57"/>
        <v>G40400</v>
      </c>
      <c r="AU589" s="488" t="str">
        <f t="shared" si="58"/>
        <v>VENTES / SPARK</v>
      </c>
      <c r="AV589" s="899">
        <f>IFERROR(INDEX(V589:AG589,1,MATCH(Parametres!$B$3,V$1:AG$1,0)-1)*IF(OR(C589="L",C589="S",C589="I"),-1,1),"")</f>
        <v>0</v>
      </c>
      <c r="AW589" s="899">
        <f t="shared" si="59"/>
        <v>0</v>
      </c>
      <c r="AX589" s="899">
        <f>INDEX(V589:AG589,1,MATCH(Parametres!$B$3,V$1:AG$1,0))*IF(OR(C589="L",C589="S",C589="I"),-1,1)</f>
        <v>0</v>
      </c>
      <c r="AY589" s="487" t="s">
        <v>337</v>
      </c>
      <c r="AZ589" s="487" t="str">
        <f>+VLOOKUP($AJ589,Data_Validation!$A:$E,5,0)</f>
        <v>Oui</v>
      </c>
    </row>
    <row r="590" spans="1:52" ht="15" customHeight="1">
      <c r="A590" s="706" t="s">
        <v>1148</v>
      </c>
      <c r="B590" s="706">
        <v>2026</v>
      </c>
      <c r="C590" s="706" t="s">
        <v>2255</v>
      </c>
      <c r="D590" s="706" t="s">
        <v>2256</v>
      </c>
      <c r="E590" s="706" t="s">
        <v>1149</v>
      </c>
      <c r="F590" s="706" t="s">
        <v>1149</v>
      </c>
      <c r="G590" s="706">
        <v>0</v>
      </c>
      <c r="H590" s="706">
        <v>0</v>
      </c>
      <c r="I590" s="706">
        <v>0</v>
      </c>
      <c r="J590" s="706">
        <v>102018.5</v>
      </c>
      <c r="K590" s="706">
        <v>203641.5</v>
      </c>
      <c r="L590" s="706">
        <v>349904.5</v>
      </c>
      <c r="M590" s="706">
        <v>349904.5</v>
      </c>
      <c r="N590" s="706">
        <v>0</v>
      </c>
      <c r="O590" s="706">
        <v>0</v>
      </c>
      <c r="P590" s="706">
        <v>0</v>
      </c>
      <c r="Q590" s="706">
        <v>0</v>
      </c>
      <c r="R590" s="706">
        <v>0</v>
      </c>
      <c r="S590" s="706">
        <v>58317.42</v>
      </c>
      <c r="T590" s="706">
        <v>58317.42</v>
      </c>
      <c r="U590" s="706">
        <v>0</v>
      </c>
      <c r="V590" s="706">
        <v>0</v>
      </c>
      <c r="W590" s="706">
        <v>0</v>
      </c>
      <c r="X590" s="706">
        <v>0</v>
      </c>
      <c r="Y590" s="706">
        <v>1</v>
      </c>
      <c r="Z590" s="706">
        <v>2</v>
      </c>
      <c r="AA590" s="706">
        <v>3</v>
      </c>
      <c r="AB590" s="706">
        <v>3</v>
      </c>
      <c r="AC590" s="706">
        <v>0</v>
      </c>
      <c r="AD590" s="706">
        <v>0</v>
      </c>
      <c r="AE590" s="706">
        <v>0</v>
      </c>
      <c r="AF590" s="706">
        <v>0</v>
      </c>
      <c r="AG590" s="706">
        <v>0</v>
      </c>
      <c r="AH590" s="706">
        <v>1</v>
      </c>
      <c r="AI590" s="706">
        <v>1</v>
      </c>
      <c r="AJ590" s="905" t="str">
        <f t="shared" si="54"/>
        <v>G40500</v>
      </c>
      <c r="AK590" s="905" t="str">
        <f t="shared" si="55"/>
        <v>VTES-CORVETTE</v>
      </c>
      <c r="AL590" s="905">
        <f>IFERROR(INDEX(G590:R590,1,MATCH(Parametres!$B$3,G$1:R$1,0)-1)*IF(OR(F590="L",F590="S",F590="I"),-1,1),"")</f>
        <v>-203641.5</v>
      </c>
      <c r="AM590" s="1047">
        <f t="shared" si="56"/>
        <v>-146263</v>
      </c>
      <c r="AN590" s="905">
        <f>INDEX(G590:R590,1,MATCH(Parametres!$B$3,G$1:R$1,0))*IF(OR(F590="L",F590="S",F590="I"),-1,1)</f>
        <v>-349904.5</v>
      </c>
      <c r="AO590" s="487" t="str">
        <f>+VLOOKUP($AJ590,Data_Validation!$A:$D,1,0)</f>
        <v>G40500</v>
      </c>
      <c r="AP590" s="487" t="str">
        <f>+VLOOKUP($AJ590,Data_Validation!$A:$D,3,0)</f>
        <v>Véhicules neufs</v>
      </c>
      <c r="AQ590" s="487" t="str">
        <f>+VLOOKUP($AJ590,Data_Validation!$A:$D,4,0)</f>
        <v>Autos détail</v>
      </c>
      <c r="AR590" s="487" t="s">
        <v>299</v>
      </c>
      <c r="AS590" s="487" t="str">
        <f>+VLOOKUP($AJ590,Data_Validation!$A:$E,5,0)</f>
        <v>Oui</v>
      </c>
      <c r="AT590" s="904" t="str">
        <f t="shared" si="57"/>
        <v>G40500</v>
      </c>
      <c r="AU590" s="488" t="str">
        <f t="shared" si="58"/>
        <v>VTES-CORVETTE</v>
      </c>
      <c r="AV590" s="899">
        <f>IFERROR(INDEX(V590:AG590,1,MATCH(Parametres!$B$3,V$1:AG$1,0)-1)*IF(OR(C590="L",C590="S",C590="I"),-1,1),"")</f>
        <v>2</v>
      </c>
      <c r="AW590" s="899">
        <f t="shared" si="59"/>
        <v>1</v>
      </c>
      <c r="AX590" s="899">
        <f>INDEX(V590:AG590,1,MATCH(Parametres!$B$3,V$1:AG$1,0))*IF(OR(C590="L",C590="S",C590="I"),-1,1)</f>
        <v>3</v>
      </c>
      <c r="AY590" s="487" t="s">
        <v>337</v>
      </c>
      <c r="AZ590" s="487" t="str">
        <f>+VLOOKUP($AJ590,Data_Validation!$A:$E,5,0)</f>
        <v>Oui</v>
      </c>
    </row>
    <row r="591" spans="1:52" ht="15" customHeight="1">
      <c r="A591" s="706" t="s">
        <v>1148</v>
      </c>
      <c r="B591" s="706">
        <v>2026</v>
      </c>
      <c r="C591" s="706" t="s">
        <v>2257</v>
      </c>
      <c r="D591" s="706" t="s">
        <v>2258</v>
      </c>
      <c r="E591" s="706" t="s">
        <v>1149</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G40600</v>
      </c>
      <c r="AK591" s="905" t="str">
        <f t="shared" si="55"/>
        <v>VTES-AVEO</v>
      </c>
      <c r="AL591" s="905">
        <f>IFERROR(INDEX(G591:R591,1,MATCH(Parametres!$B$3,G$1:R$1,0)-1)*IF(OR(F591="L",F591="S",F591="I"),-1,1),"")</f>
        <v>0</v>
      </c>
      <c r="AM591" s="905">
        <f t="shared" si="56"/>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t="str">
        <f t="shared" si="57"/>
        <v>G40600</v>
      </c>
      <c r="AU591" s="488" t="str">
        <f t="shared" si="58"/>
        <v>VTES-AVEO</v>
      </c>
      <c r="AV591" s="899">
        <f>IFERROR(INDEX(V591:AG591,1,MATCH(Parametres!$B$3,V$1:AG$1,0)-1)*IF(OR(C591="L",C591="S",C591="I"),-1,1),"")</f>
        <v>0</v>
      </c>
      <c r="AW591" s="899">
        <f t="shared" si="59"/>
        <v>0</v>
      </c>
      <c r="AX591" s="899">
        <f>INDEX(V591:AG591,1,MATCH(Parametres!$B$3,V$1:AG$1,0))*IF(OR(C591="L",C591="S",C591="I"),-1,1)</f>
        <v>0</v>
      </c>
      <c r="AY591" s="487" t="s">
        <v>337</v>
      </c>
      <c r="AZ591" s="487" t="e">
        <f>+VLOOKUP($AJ591,Data_Validation!$A:$E,5,0)</f>
        <v>#N/A</v>
      </c>
    </row>
    <row r="592" spans="1:52" ht="15" customHeight="1">
      <c r="A592" s="706" t="s">
        <v>1148</v>
      </c>
      <c r="B592" s="706">
        <v>2026</v>
      </c>
      <c r="C592" s="706" t="s">
        <v>2259</v>
      </c>
      <c r="D592" s="706" t="s">
        <v>2260</v>
      </c>
      <c r="E592" s="706" t="s">
        <v>1149</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G40620</v>
      </c>
      <c r="AK592" s="905" t="str">
        <f t="shared" si="55"/>
        <v>VTES-AVEO            -LOC</v>
      </c>
      <c r="AL592" s="905">
        <f>IFERROR(INDEX(G592:R592,1,MATCH(Parametres!$B$3,G$1:R$1,0)-1)*IF(OR(F592="L",F592="S",F592="I"),-1,1),"")</f>
        <v>0</v>
      </c>
      <c r="AM592" s="905">
        <f t="shared" si="56"/>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t="str">
        <f t="shared" si="57"/>
        <v>G40620</v>
      </c>
      <c r="AU592" s="488" t="str">
        <f t="shared" si="58"/>
        <v>VTES-AVEO            -LOC</v>
      </c>
      <c r="AV592" s="899">
        <f>IFERROR(INDEX(V592:AG592,1,MATCH(Parametres!$B$3,V$1:AG$1,0)-1)*IF(OR(C592="L",C592="S",C592="I"),-1,1),"")</f>
        <v>0</v>
      </c>
      <c r="AW592" s="899">
        <f t="shared" si="59"/>
        <v>0</v>
      </c>
      <c r="AX592" s="899">
        <f>INDEX(V592:AG592,1,MATCH(Parametres!$B$3,V$1:AG$1,0))*IF(OR(C592="L",C592="S",C592="I"),-1,1)</f>
        <v>0</v>
      </c>
      <c r="AY592" s="487" t="s">
        <v>337</v>
      </c>
      <c r="AZ592" s="487" t="e">
        <f>+VLOOKUP($AJ592,Data_Validation!$A:$E,5,0)</f>
        <v>#N/A</v>
      </c>
    </row>
    <row r="593" spans="1:52" ht="15" customHeight="1">
      <c r="A593" s="706" t="s">
        <v>1148</v>
      </c>
      <c r="B593" s="706">
        <v>2026</v>
      </c>
      <c r="C593" s="706" t="s">
        <v>2261</v>
      </c>
      <c r="D593" s="706" t="s">
        <v>2262</v>
      </c>
      <c r="E593" s="706" t="s">
        <v>1149</v>
      </c>
      <c r="F593" s="706" t="s">
        <v>1149</v>
      </c>
      <c r="G593" s="706">
        <v>0</v>
      </c>
      <c r="H593" s="706">
        <v>0</v>
      </c>
      <c r="I593" s="706">
        <v>0</v>
      </c>
      <c r="J593" s="706">
        <v>0</v>
      </c>
      <c r="K593" s="706">
        <v>46018</v>
      </c>
      <c r="L593" s="706">
        <v>46018</v>
      </c>
      <c r="M593" s="706">
        <v>46018</v>
      </c>
      <c r="N593" s="706">
        <v>0</v>
      </c>
      <c r="O593" s="706">
        <v>0</v>
      </c>
      <c r="P593" s="706">
        <v>0</v>
      </c>
      <c r="Q593" s="706">
        <v>0</v>
      </c>
      <c r="R593" s="706">
        <v>0</v>
      </c>
      <c r="S593" s="706">
        <v>7669.67</v>
      </c>
      <c r="T593" s="706">
        <v>7669.67</v>
      </c>
      <c r="U593" s="706">
        <v>0</v>
      </c>
      <c r="V593" s="706">
        <v>0</v>
      </c>
      <c r="W593" s="706">
        <v>0</v>
      </c>
      <c r="X593" s="706">
        <v>0</v>
      </c>
      <c r="Y593" s="706">
        <v>0</v>
      </c>
      <c r="Z593" s="706">
        <v>1</v>
      </c>
      <c r="AA593" s="706">
        <v>1</v>
      </c>
      <c r="AB593" s="706">
        <v>1</v>
      </c>
      <c r="AC593" s="706">
        <v>0</v>
      </c>
      <c r="AD593" s="706">
        <v>0</v>
      </c>
      <c r="AE593" s="706">
        <v>0</v>
      </c>
      <c r="AF593" s="706">
        <v>0</v>
      </c>
      <c r="AG593" s="706">
        <v>0</v>
      </c>
      <c r="AH593" s="706">
        <v>0</v>
      </c>
      <c r="AI593" s="706">
        <v>0</v>
      </c>
      <c r="AJ593" s="905" t="str">
        <f t="shared" si="54"/>
        <v>G40700</v>
      </c>
      <c r="AK593" s="905" t="str">
        <f t="shared" si="55"/>
        <v>VENTES BOLT - EV</v>
      </c>
      <c r="AL593" s="905">
        <f>IFERROR(INDEX(G593:R593,1,MATCH(Parametres!$B$3,G$1:R$1,0)-1)*IF(OR(F593="L",F593="S",F593="I"),-1,1),"")</f>
        <v>-46018</v>
      </c>
      <c r="AM593" s="905">
        <f t="shared" si="56"/>
        <v>0</v>
      </c>
      <c r="AN593" s="905">
        <f>INDEX(G593:R593,1,MATCH(Parametres!$B$3,G$1:R$1,0))*IF(OR(F593="L",F593="S",F593="I"),-1,1)</f>
        <v>-46018</v>
      </c>
      <c r="AO593" s="487" t="str">
        <f>+VLOOKUP($AJ593,Data_Validation!$A:$D,1,0)</f>
        <v>G40700</v>
      </c>
      <c r="AP593" s="487" t="str">
        <f>+VLOOKUP($AJ593,Data_Validation!$A:$D,3,0)</f>
        <v>Véhicules neufs</v>
      </c>
      <c r="AQ593" s="487" t="str">
        <f>+VLOOKUP($AJ593,Data_Validation!$A:$D,4,0)</f>
        <v>Camions electriques</v>
      </c>
      <c r="AR593" s="487" t="s">
        <v>299</v>
      </c>
      <c r="AS593" s="487" t="str">
        <f>+VLOOKUP($AJ593,Data_Validation!$A:$E,5,0)</f>
        <v>Oui</v>
      </c>
      <c r="AT593" s="904" t="str">
        <f t="shared" si="57"/>
        <v>G40700</v>
      </c>
      <c r="AU593" s="488" t="str">
        <f t="shared" si="58"/>
        <v>VENTES BOLT - EV</v>
      </c>
      <c r="AV593" s="899">
        <f>IFERROR(INDEX(V593:AG593,1,MATCH(Parametres!$B$3,V$1:AG$1,0)-1)*IF(OR(C593="L",C593="S",C593="I"),-1,1),"")</f>
        <v>1</v>
      </c>
      <c r="AW593" s="899">
        <f t="shared" si="59"/>
        <v>0</v>
      </c>
      <c r="AX593" s="899">
        <f>INDEX(V593:AG593,1,MATCH(Parametres!$B$3,V$1:AG$1,0))*IF(OR(C593="L",C593="S",C593="I"),-1,1)</f>
        <v>1</v>
      </c>
      <c r="AY593" s="487" t="s">
        <v>337</v>
      </c>
      <c r="AZ593" s="487" t="str">
        <f>+VLOOKUP($AJ593,Data_Validation!$A:$E,5,0)</f>
        <v>Oui</v>
      </c>
    </row>
    <row r="594" spans="1:52" ht="15" customHeight="1">
      <c r="A594" s="706" t="s">
        <v>1148</v>
      </c>
      <c r="B594" s="706">
        <v>2026</v>
      </c>
      <c r="C594" s="706" t="s">
        <v>2263</v>
      </c>
      <c r="D594" s="706" t="s">
        <v>2264</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G40720</v>
      </c>
      <c r="AK594" s="905" t="str">
        <f t="shared" si="55"/>
        <v>VTES-OPTRA           -LOC</v>
      </c>
      <c r="AL594" s="905">
        <f>IFERROR(INDEX(G594:R594,1,MATCH(Parametres!$B$3,G$1:R$1,0)-1)*IF(OR(F594="L",F594="S",F594="I"),-1,1),"")</f>
        <v>0</v>
      </c>
      <c r="AM594" s="905">
        <f t="shared" si="56"/>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t="str">
        <f t="shared" si="57"/>
        <v>G40720</v>
      </c>
      <c r="AU594" s="488" t="str">
        <f t="shared" si="58"/>
        <v>VTES-OPTRA           -LOC</v>
      </c>
      <c r="AV594" s="899">
        <f>IFERROR(INDEX(V594:AG594,1,MATCH(Parametres!$B$3,V$1:AG$1,0)-1)*IF(OR(C594="L",C594="S",C594="I"),-1,1),"")</f>
        <v>0</v>
      </c>
      <c r="AW594" s="899">
        <f t="shared" si="59"/>
        <v>0</v>
      </c>
      <c r="AX594" s="899">
        <f>INDEX(V594:AG594,1,MATCH(Parametres!$B$3,V$1:AG$1,0))*IF(OR(C594="L",C594="S",C594="I"),-1,1)</f>
        <v>0</v>
      </c>
      <c r="AY594" s="487" t="s">
        <v>337</v>
      </c>
      <c r="AZ594" s="487" t="e">
        <f>+VLOOKUP($AJ594,Data_Validation!$A:$E,5,0)</f>
        <v>#N/A</v>
      </c>
    </row>
    <row r="595" spans="1:52" ht="15" customHeight="1">
      <c r="A595" s="706" t="s">
        <v>1148</v>
      </c>
      <c r="B595" s="706">
        <v>2026</v>
      </c>
      <c r="C595" s="706" t="s">
        <v>2265</v>
      </c>
      <c r="D595" s="706" t="s">
        <v>2266</v>
      </c>
      <c r="E595" s="706" t="s">
        <v>1149</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G40800</v>
      </c>
      <c r="AK595" s="905" t="str">
        <f t="shared" ref="AK595:AK658" si="61">D595</f>
        <v>VTES-EPICA</v>
      </c>
      <c r="AL595" s="905">
        <f>IFERROR(INDEX(G595:R595,1,MATCH(Parametres!$B$3,G$1:R$1,0)-1)*IF(OR(F595="L",F595="S",F595="I"),-1,1),"")</f>
        <v>0</v>
      </c>
      <c r="AM595" s="905">
        <f t="shared" si="56"/>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t="str">
        <f t="shared" si="57"/>
        <v>G40800</v>
      </c>
      <c r="AU595" s="488" t="str">
        <f t="shared" si="58"/>
        <v>VTES-EPICA</v>
      </c>
      <c r="AV595" s="899">
        <f>IFERROR(INDEX(V595:AG595,1,MATCH(Parametres!$B$3,V$1:AG$1,0)-1)*IF(OR(C595="L",C595="S",C595="I"),-1,1),"")</f>
        <v>0</v>
      </c>
      <c r="AW595" s="899">
        <f t="shared" si="59"/>
        <v>0</v>
      </c>
      <c r="AX595" s="899">
        <f>INDEX(V595:AG595,1,MATCH(Parametres!$B$3,V$1:AG$1,0))*IF(OR(C595="L",C595="S",C595="I"),-1,1)</f>
        <v>0</v>
      </c>
      <c r="AY595" s="487" t="s">
        <v>337</v>
      </c>
      <c r="AZ595" s="487" t="e">
        <f>+VLOOKUP($AJ595,Data_Validation!$A:$E,5,0)</f>
        <v>#N/A</v>
      </c>
    </row>
    <row r="596" spans="1:52" ht="15" customHeight="1">
      <c r="A596" s="706" t="s">
        <v>1148</v>
      </c>
      <c r="B596" s="706">
        <v>2026</v>
      </c>
      <c r="C596" s="706" t="s">
        <v>2267</v>
      </c>
      <c r="D596" s="706" t="s">
        <v>2268</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G40820</v>
      </c>
      <c r="AK596" s="905" t="str">
        <f t="shared" si="61"/>
        <v>VTES-EPICA           -LOC</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G40820</v>
      </c>
      <c r="AU596" s="488" t="str">
        <f t="shared" si="58"/>
        <v>VTES-EPICA           -LOC</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customHeight="1">
      <c r="A597" s="706" t="s">
        <v>1148</v>
      </c>
      <c r="B597" s="706">
        <v>2026</v>
      </c>
      <c r="C597" s="706" t="s">
        <v>2269</v>
      </c>
      <c r="D597" s="706" t="s">
        <v>2270</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G40900</v>
      </c>
      <c r="AK597" s="905" t="str">
        <f t="shared" si="61"/>
        <v>VTES-COBALT</v>
      </c>
      <c r="AL597" s="905">
        <f>IFERROR(INDEX(G597:R597,1,MATCH(Parametres!$B$3,G$1:R$1,0)-1)*IF(OR(F597="L",F597="S",F597="I"),-1,1),"")</f>
        <v>0</v>
      </c>
      <c r="AM597" s="905">
        <f t="shared" si="56"/>
        <v>0</v>
      </c>
      <c r="AN597" s="905">
        <f>INDEX(G597:R597,1,MATCH(Parametres!$B$3,G$1:R$1,0))*IF(OR(F597="L",F597="S",F597="I"),-1,1)</f>
        <v>0</v>
      </c>
      <c r="AO597" s="487" t="str">
        <f>+VLOOKUP($AJ597,Data_Validation!$A:$D,1,0)</f>
        <v>G40900</v>
      </c>
      <c r="AP597" s="487" t="str">
        <f>+VLOOKUP($AJ597,Data_Validation!$A:$D,3,0)</f>
        <v>Véhicules neufs</v>
      </c>
      <c r="AQ597" s="487" t="str">
        <f>+VLOOKUP($AJ597,Data_Validation!$A:$D,4,0)</f>
        <v>Autos détail</v>
      </c>
      <c r="AR597" s="487" t="s">
        <v>299</v>
      </c>
      <c r="AS597" s="487" t="str">
        <f>+VLOOKUP($AJ597,Data_Validation!$A:$E,5,0)</f>
        <v>Oui</v>
      </c>
      <c r="AT597" s="904" t="str">
        <f t="shared" si="57"/>
        <v>G40900</v>
      </c>
      <c r="AU597" s="488" t="str">
        <f t="shared" si="58"/>
        <v>VTES-COBALT</v>
      </c>
      <c r="AV597" s="899">
        <f>IFERROR(INDEX(V597:AG597,1,MATCH(Parametres!$B$3,V$1:AG$1,0)-1)*IF(OR(C597="L",C597="S",C597="I"),-1,1),"")</f>
        <v>0</v>
      </c>
      <c r="AW597" s="899">
        <f t="shared" si="59"/>
        <v>0</v>
      </c>
      <c r="AX597" s="899">
        <f>INDEX(V597:AG597,1,MATCH(Parametres!$B$3,V$1:AG$1,0))*IF(OR(C597="L",C597="S",C597="I"),-1,1)</f>
        <v>0</v>
      </c>
      <c r="AY597" s="487" t="s">
        <v>337</v>
      </c>
      <c r="AZ597" s="487" t="str">
        <f>+VLOOKUP($AJ597,Data_Validation!$A:$E,5,0)</f>
        <v>Oui</v>
      </c>
    </row>
    <row r="598" spans="1:52" ht="15" customHeight="1">
      <c r="A598" s="706" t="s">
        <v>1148</v>
      </c>
      <c r="B598" s="706">
        <v>2026</v>
      </c>
      <c r="C598" s="706" t="s">
        <v>2271</v>
      </c>
      <c r="D598" s="706" t="s">
        <v>2272</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G40920</v>
      </c>
      <c r="AK598" s="905" t="str">
        <f t="shared" si="61"/>
        <v>VTES-COBALT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G40920</v>
      </c>
      <c r="AU598" s="488" t="str">
        <f t="shared" si="58"/>
        <v>VTES-COBALT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2026</v>
      </c>
      <c r="C599" s="706" t="s">
        <v>2273</v>
      </c>
      <c r="D599" s="706" t="s">
        <v>2274</v>
      </c>
      <c r="E599" s="706" t="s">
        <v>1149</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G41000</v>
      </c>
      <c r="AK599" s="905" t="str">
        <f t="shared" si="61"/>
        <v>VENTES CAMARO</v>
      </c>
      <c r="AL599" s="905">
        <f>IFERROR(INDEX(G599:R599,1,MATCH(Parametres!$B$3,G$1:R$1,0)-1)*IF(OR(F599="L",F599="S",F599="I"),-1,1),"")</f>
        <v>0</v>
      </c>
      <c r="AM599" s="905">
        <f t="shared" si="56"/>
        <v>0</v>
      </c>
      <c r="AN599" s="905">
        <f>INDEX(G599:R599,1,MATCH(Parametres!$B$3,G$1:R$1,0))*IF(OR(F599="L",F599="S",F599="I"),-1,1)</f>
        <v>0</v>
      </c>
      <c r="AO599" s="487" t="str">
        <f>+VLOOKUP($AJ599,Data_Validation!$A:$D,1,0)</f>
        <v>G41000</v>
      </c>
      <c r="AP599" s="487" t="str">
        <f>+VLOOKUP($AJ599,Data_Validation!$A:$D,3,0)</f>
        <v>Véhicules neufs</v>
      </c>
      <c r="AQ599" s="487" t="str">
        <f>+VLOOKUP($AJ599,Data_Validation!$A:$D,4,0)</f>
        <v>Autos détail</v>
      </c>
      <c r="AR599" s="487" t="s">
        <v>299</v>
      </c>
      <c r="AS599" s="487" t="str">
        <f>+VLOOKUP($AJ599,Data_Validation!$A:$E,5,0)</f>
        <v>Oui</v>
      </c>
      <c r="AT599" s="904" t="str">
        <f t="shared" si="57"/>
        <v>G41000</v>
      </c>
      <c r="AU599" s="488" t="str">
        <f t="shared" si="58"/>
        <v>VENTES CAMARO</v>
      </c>
      <c r="AV599" s="899">
        <f>IFERROR(INDEX(V599:AG599,1,MATCH(Parametres!$B$3,V$1:AG$1,0)-1)*IF(OR(C599="L",C599="S",C599="I"),-1,1),"")</f>
        <v>0</v>
      </c>
      <c r="AW599" s="899">
        <f t="shared" si="59"/>
        <v>0</v>
      </c>
      <c r="AX599" s="899">
        <f>INDEX(V599:AG599,1,MATCH(Parametres!$B$3,V$1:AG$1,0))*IF(OR(C599="L",C599="S",C599="I"),-1,1)</f>
        <v>0</v>
      </c>
      <c r="AY599" s="487" t="s">
        <v>337</v>
      </c>
      <c r="AZ599" s="487" t="str">
        <f>+VLOOKUP($AJ599,Data_Validation!$A:$E,5,0)</f>
        <v>Oui</v>
      </c>
    </row>
    <row r="600" spans="1:52" ht="15" customHeight="1">
      <c r="A600" s="706" t="s">
        <v>1148</v>
      </c>
      <c r="B600" s="706">
        <v>2026</v>
      </c>
      <c r="C600" s="706" t="s">
        <v>2275</v>
      </c>
      <c r="D600" s="706" t="s">
        <v>2276</v>
      </c>
      <c r="E600" s="706" t="s">
        <v>1149</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G41100</v>
      </c>
      <c r="AK600" s="905" t="str">
        <f t="shared" si="61"/>
        <v>VENTES CRUZE</v>
      </c>
      <c r="AL600" s="905">
        <f>IFERROR(INDEX(G600:R600,1,MATCH(Parametres!$B$3,G$1:R$1,0)-1)*IF(OR(F600="L",F600="S",F600="I"),-1,1),"")</f>
        <v>0</v>
      </c>
      <c r="AM600" s="905">
        <f t="shared" si="56"/>
        <v>0</v>
      </c>
      <c r="AN600" s="905">
        <f>INDEX(G600:R600,1,MATCH(Parametres!$B$3,G$1:R$1,0))*IF(OR(F600="L",F600="S",F600="I"),-1,1)</f>
        <v>0</v>
      </c>
      <c r="AO600" s="487" t="str">
        <f>+VLOOKUP($AJ600,Data_Validation!$A:$D,1,0)</f>
        <v>G41100</v>
      </c>
      <c r="AP600" s="487" t="str">
        <f>+VLOOKUP($AJ600,Data_Validation!$A:$D,3,0)</f>
        <v>Véhicules neufs</v>
      </c>
      <c r="AQ600" s="487" t="str">
        <f>+VLOOKUP($AJ600,Data_Validation!$A:$D,4,0)</f>
        <v>Autos détail</v>
      </c>
      <c r="AR600" s="487" t="s">
        <v>299</v>
      </c>
      <c r="AS600" s="487" t="str">
        <f>+VLOOKUP($AJ600,Data_Validation!$A:$E,5,0)</f>
        <v>Oui</v>
      </c>
      <c r="AT600" s="904" t="str">
        <f t="shared" si="57"/>
        <v>G41100</v>
      </c>
      <c r="AU600" s="488" t="str">
        <f t="shared" si="58"/>
        <v>VENTES CRUZE</v>
      </c>
      <c r="AV600" s="899">
        <f>IFERROR(INDEX(V600:AG600,1,MATCH(Parametres!$B$3,V$1:AG$1,0)-1)*IF(OR(C600="L",C600="S",C600="I"),-1,1),"")</f>
        <v>0</v>
      </c>
      <c r="AW600" s="899">
        <f t="shared" si="59"/>
        <v>0</v>
      </c>
      <c r="AX600" s="899">
        <f>INDEX(V600:AG600,1,MATCH(Parametres!$B$3,V$1:AG$1,0))*IF(OR(C600="L",C600="S",C600="I"),-1,1)</f>
        <v>0</v>
      </c>
      <c r="AY600" s="487" t="s">
        <v>337</v>
      </c>
      <c r="AZ600" s="487" t="str">
        <f>+VLOOKUP($AJ600,Data_Validation!$A:$E,5,0)</f>
        <v>Oui</v>
      </c>
    </row>
    <row r="601" spans="1:52" ht="15" customHeight="1">
      <c r="A601" s="706" t="s">
        <v>1148</v>
      </c>
      <c r="B601" s="706">
        <v>2026</v>
      </c>
      <c r="C601" s="706" t="s">
        <v>2277</v>
      </c>
      <c r="D601" s="706" t="s">
        <v>2278</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G41600</v>
      </c>
      <c r="AK601" s="905" t="str">
        <f t="shared" si="61"/>
        <v>*PROGRAMME GENERAL MOTORS</v>
      </c>
      <c r="AL601" s="905">
        <f>IFERROR(INDEX(G601:R601,1,MATCH(Parametres!$B$3,G$1:R$1,0)-1)*IF(OR(F601="L",F601="S",F601="I"),-1,1),"")</f>
        <v>0</v>
      </c>
      <c r="AM601" s="905">
        <f t="shared" si="56"/>
        <v>0</v>
      </c>
      <c r="AN601" s="905">
        <f>INDEX(G601:R601,1,MATCH(Parametres!$B$3,G$1:R$1,0))*IF(OR(F601="L",F601="S",F601="I"),-1,1)</f>
        <v>0</v>
      </c>
      <c r="AO601" s="487" t="str">
        <f>+VLOOKUP($AJ601,Data_Validation!$A:$D,1,0)</f>
        <v>G41600</v>
      </c>
      <c r="AP601" s="487">
        <f>+VLOOKUP($AJ601,Data_Validation!$A:$D,3,0)</f>
        <v>0</v>
      </c>
      <c r="AQ601" s="487">
        <f>+VLOOKUP($AJ601,Data_Validation!$A:$D,4,0)</f>
        <v>0</v>
      </c>
      <c r="AR601" s="487" t="s">
        <v>299</v>
      </c>
      <c r="AS601" s="487">
        <f>+VLOOKUP($AJ601,Data_Validation!$A:$E,5,0)</f>
        <v>0</v>
      </c>
      <c r="AT601" s="904" t="str">
        <f t="shared" si="57"/>
        <v>G41600</v>
      </c>
      <c r="AU601" s="488" t="str">
        <f t="shared" si="58"/>
        <v>*PROGRAMME GENERAL MOTORS</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customHeight="1">
      <c r="A602" s="706" t="s">
        <v>1148</v>
      </c>
      <c r="B602" s="706">
        <v>2026</v>
      </c>
      <c r="C602" s="706" t="s">
        <v>2279</v>
      </c>
      <c r="D602" s="706" t="s">
        <v>2280</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G41700</v>
      </c>
      <c r="AK602" s="905" t="str">
        <f t="shared" si="61"/>
        <v>VTES-CHEV AUTOS AUTRES</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G41700</v>
      </c>
      <c r="AU602" s="488" t="str">
        <f t="shared" si="58"/>
        <v>VTES-CHEV AUTOS AUTRES</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2281</v>
      </c>
      <c r="D603" s="706" t="s">
        <v>2282</v>
      </c>
      <c r="E603" s="706" t="s">
        <v>1149</v>
      </c>
      <c r="F603" s="706" t="s">
        <v>1149</v>
      </c>
      <c r="G603" s="706">
        <v>0</v>
      </c>
      <c r="H603" s="706">
        <v>0</v>
      </c>
      <c r="I603" s="706">
        <v>0</v>
      </c>
      <c r="J603" s="706">
        <v>0</v>
      </c>
      <c r="K603" s="706">
        <v>0</v>
      </c>
      <c r="L603" s="706">
        <v>0</v>
      </c>
      <c r="M603" s="706">
        <v>0</v>
      </c>
      <c r="N603" s="706">
        <v>0</v>
      </c>
      <c r="O603" s="706">
        <v>0</v>
      </c>
      <c r="P603" s="706">
        <v>0</v>
      </c>
      <c r="Q603" s="706">
        <v>0</v>
      </c>
      <c r="R603" s="706">
        <v>0</v>
      </c>
      <c r="S603" s="706">
        <v>0</v>
      </c>
      <c r="T603" s="706">
        <v>0</v>
      </c>
      <c r="U603" s="706">
        <v>0</v>
      </c>
      <c r="V603" s="706">
        <v>0</v>
      </c>
      <c r="W603" s="706">
        <v>0</v>
      </c>
      <c r="X603" s="706">
        <v>0</v>
      </c>
      <c r="Y603" s="706">
        <v>0</v>
      </c>
      <c r="Z603" s="706">
        <v>0</v>
      </c>
      <c r="AA603" s="706">
        <v>0</v>
      </c>
      <c r="AB603" s="706">
        <v>0</v>
      </c>
      <c r="AC603" s="706">
        <v>0</v>
      </c>
      <c r="AD603" s="706">
        <v>0</v>
      </c>
      <c r="AE603" s="706">
        <v>0</v>
      </c>
      <c r="AF603" s="706">
        <v>0</v>
      </c>
      <c r="AG603" s="706">
        <v>0</v>
      </c>
      <c r="AH603" s="706">
        <v>0</v>
      </c>
      <c r="AI603" s="706">
        <v>0</v>
      </c>
      <c r="AJ603" s="905" t="str">
        <f t="shared" si="60"/>
        <v>G41720</v>
      </c>
      <c r="AK603" s="905" t="str">
        <f t="shared" si="61"/>
        <v>VTES-CHEV AUTOS AUTRE-LOC</v>
      </c>
      <c r="AL603" s="905">
        <f>IFERROR(INDEX(G603:R603,1,MATCH(Parametres!$B$3,G$1:R$1,0)-1)*IF(OR(F603="L",F603="S",F603="I"),-1,1),"")</f>
        <v>0</v>
      </c>
      <c r="AM603" s="905">
        <f t="shared" si="56"/>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t="str">
        <f t="shared" si="57"/>
        <v>G41720</v>
      </c>
      <c r="AU603" s="488" t="str">
        <f t="shared" si="58"/>
        <v>VTES-CHEV AUTOS AUTRE-LOC</v>
      </c>
      <c r="AV603" s="899">
        <f>IFERROR(INDEX(V603:AG603,1,MATCH(Parametres!$B$3,V$1:AG$1,0)-1)*IF(OR(C603="L",C603="S",C603="I"),-1,1),"")</f>
        <v>0</v>
      </c>
      <c r="AW603" s="899">
        <f t="shared" si="59"/>
        <v>0</v>
      </c>
      <c r="AX603" s="899">
        <f>INDEX(V603:AG603,1,MATCH(Parametres!$B$3,V$1:AG$1,0))*IF(OR(C603="L",C603="S",C603="I"),-1,1)</f>
        <v>0</v>
      </c>
      <c r="AY603" s="487" t="s">
        <v>337</v>
      </c>
      <c r="AZ603" s="487" t="e">
        <f>+VLOOKUP($AJ603,Data_Validation!$A:$E,5,0)</f>
        <v>#N/A</v>
      </c>
    </row>
    <row r="604" spans="1:52" ht="15" customHeight="1">
      <c r="A604" s="706" t="s">
        <v>1148</v>
      </c>
      <c r="B604" s="706">
        <v>2026</v>
      </c>
      <c r="C604" s="706" t="s">
        <v>2283</v>
      </c>
      <c r="D604" s="706" t="s">
        <v>2284</v>
      </c>
      <c r="E604" s="706" t="s">
        <v>1149</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20</v>
      </c>
      <c r="W604" s="706">
        <v>54</v>
      </c>
      <c r="X604" s="706">
        <v>104</v>
      </c>
      <c r="Y604" s="706">
        <v>159</v>
      </c>
      <c r="Z604" s="706">
        <v>186</v>
      </c>
      <c r="AA604" s="706">
        <v>230</v>
      </c>
      <c r="AB604" s="706">
        <v>249</v>
      </c>
      <c r="AC604" s="706">
        <v>0</v>
      </c>
      <c r="AD604" s="706">
        <v>0</v>
      </c>
      <c r="AE604" s="706">
        <v>0</v>
      </c>
      <c r="AF604" s="706">
        <v>0</v>
      </c>
      <c r="AG604" s="706">
        <v>0</v>
      </c>
      <c r="AH604" s="706">
        <v>38</v>
      </c>
      <c r="AI604" s="706">
        <v>38</v>
      </c>
      <c r="AJ604" s="905" t="str">
        <f t="shared" si="60"/>
        <v>G41799</v>
      </c>
      <c r="AK604" s="905" t="str">
        <f t="shared" si="61"/>
        <v>VTES-ECHANGE CONCESSIONN.</v>
      </c>
      <c r="AL604" s="905">
        <f>IFERROR(INDEX(G604:R604,1,MATCH(Parametres!$B$3,G$1:R$1,0)-1)*IF(OR(F604="L",F604="S",F604="I"),-1,1),"")</f>
        <v>0</v>
      </c>
      <c r="AM604" s="905">
        <f t="shared" si="56"/>
        <v>0</v>
      </c>
      <c r="AN604" s="905">
        <f>INDEX(G604:R604,1,MATCH(Parametres!$B$3,G$1:R$1,0))*IF(OR(F604="L",F604="S",F604="I"),-1,1)</f>
        <v>0</v>
      </c>
      <c r="AO604" s="487" t="str">
        <f>+VLOOKUP($AJ604,Data_Validation!$A:$D,1,0)</f>
        <v>G41799</v>
      </c>
      <c r="AP604" s="487">
        <f>+VLOOKUP($AJ604,Data_Validation!$A:$D,3,0)</f>
        <v>0</v>
      </c>
      <c r="AQ604" s="487">
        <f>+VLOOKUP($AJ604,Data_Validation!$A:$D,4,0)</f>
        <v>0</v>
      </c>
      <c r="AR604" s="487" t="s">
        <v>299</v>
      </c>
      <c r="AS604" s="487">
        <f>+VLOOKUP($AJ604,Data_Validation!$A:$E,5,0)</f>
        <v>0</v>
      </c>
      <c r="AT604" s="904" t="str">
        <f t="shared" si="57"/>
        <v>G41799</v>
      </c>
      <c r="AU604" s="488" t="str">
        <f t="shared" si="58"/>
        <v>VTES-ECHANGE CONCESSIONN.</v>
      </c>
      <c r="AV604" s="899">
        <f>IFERROR(INDEX(V604:AG604,1,MATCH(Parametres!$B$3,V$1:AG$1,0)-1)*IF(OR(C604="L",C604="S",C604="I"),-1,1),"")</f>
        <v>186</v>
      </c>
      <c r="AW604" s="899">
        <f t="shared" si="59"/>
        <v>44</v>
      </c>
      <c r="AX604" s="899">
        <f>INDEX(V604:AG604,1,MATCH(Parametres!$B$3,V$1:AG$1,0))*IF(OR(C604="L",C604="S",C604="I"),-1,1)</f>
        <v>230</v>
      </c>
      <c r="AY604" s="487" t="s">
        <v>337</v>
      </c>
      <c r="AZ604" s="487">
        <f>+VLOOKUP($AJ604,Data_Validation!$A:$E,5,0)</f>
        <v>0</v>
      </c>
    </row>
    <row r="605" spans="1:52" ht="15" customHeight="1">
      <c r="A605" s="706" t="s">
        <v>1148</v>
      </c>
      <c r="B605" s="706">
        <v>2026</v>
      </c>
      <c r="C605" s="706" t="s">
        <v>2285</v>
      </c>
      <c r="D605" s="706" t="s">
        <v>2286</v>
      </c>
      <c r="E605" s="706" t="s">
        <v>1149</v>
      </c>
      <c r="F605" s="706" t="s">
        <v>1149</v>
      </c>
      <c r="G605" s="706">
        <v>0</v>
      </c>
      <c r="H605" s="706">
        <v>0</v>
      </c>
      <c r="I605" s="706">
        <v>0</v>
      </c>
      <c r="J605" s="706">
        <v>0</v>
      </c>
      <c r="K605" s="706">
        <v>0</v>
      </c>
      <c r="L605" s="706">
        <v>0</v>
      </c>
      <c r="M605" s="706">
        <v>0</v>
      </c>
      <c r="N605" s="706">
        <v>0</v>
      </c>
      <c r="O605" s="706">
        <v>0</v>
      </c>
      <c r="P605" s="706">
        <v>0</v>
      </c>
      <c r="Q605" s="706">
        <v>0</v>
      </c>
      <c r="R605" s="706">
        <v>0</v>
      </c>
      <c r="S605" s="706">
        <v>0</v>
      </c>
      <c r="T605" s="706">
        <v>0</v>
      </c>
      <c r="U605" s="706">
        <v>0</v>
      </c>
      <c r="V605" s="706">
        <v>0</v>
      </c>
      <c r="W605" s="706">
        <v>0</v>
      </c>
      <c r="X605" s="706">
        <v>0</v>
      </c>
      <c r="Y605" s="706">
        <v>0</v>
      </c>
      <c r="Z605" s="706">
        <v>0</v>
      </c>
      <c r="AA605" s="706">
        <v>0</v>
      </c>
      <c r="AB605" s="706">
        <v>0</v>
      </c>
      <c r="AC605" s="706">
        <v>0</v>
      </c>
      <c r="AD605" s="706">
        <v>0</v>
      </c>
      <c r="AE605" s="706">
        <v>0</v>
      </c>
      <c r="AF605" s="706">
        <v>0</v>
      </c>
      <c r="AG605" s="706">
        <v>0</v>
      </c>
      <c r="AH605" s="706">
        <v>0</v>
      </c>
      <c r="AI605" s="706">
        <v>0</v>
      </c>
      <c r="AJ605" s="905" t="str">
        <f t="shared" si="60"/>
        <v>G41800</v>
      </c>
      <c r="AK605" s="905" t="str">
        <f t="shared" si="61"/>
        <v>AUTRES CHEVROLET</v>
      </c>
      <c r="AL605" s="905">
        <f>IFERROR(INDEX(G605:R605,1,MATCH(Parametres!$B$3,G$1:R$1,0)-1)*IF(OR(F605="L",F605="S",F605="I"),-1,1),"")</f>
        <v>0</v>
      </c>
      <c r="AM605" s="905">
        <f t="shared" si="56"/>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t="str">
        <f t="shared" si="57"/>
        <v>G41800</v>
      </c>
      <c r="AU605" s="488" t="str">
        <f t="shared" si="58"/>
        <v>AUTRES CHEVROLET</v>
      </c>
      <c r="AV605" s="899">
        <f>IFERROR(INDEX(V605:AG605,1,MATCH(Parametres!$B$3,V$1:AG$1,0)-1)*IF(OR(C605="L",C605="S",C605="I"),-1,1),"")</f>
        <v>0</v>
      </c>
      <c r="AW605" s="899">
        <f t="shared" si="59"/>
        <v>0</v>
      </c>
      <c r="AX605" s="899">
        <f>INDEX(V605:AG605,1,MATCH(Parametres!$B$3,V$1:AG$1,0))*IF(OR(C605="L",C605="S",C605="I"),-1,1)</f>
        <v>0</v>
      </c>
      <c r="AY605" s="487" t="s">
        <v>337</v>
      </c>
      <c r="AZ605" s="487" t="e">
        <f>+VLOOKUP($AJ605,Data_Validation!$A:$E,5,0)</f>
        <v>#N/A</v>
      </c>
    </row>
    <row r="606" spans="1:52" ht="15" customHeight="1">
      <c r="A606" s="706" t="s">
        <v>1148</v>
      </c>
      <c r="B606" s="706">
        <v>2026</v>
      </c>
      <c r="C606" s="706" t="s">
        <v>2287</v>
      </c>
      <c r="D606" s="706" t="s">
        <v>2288</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G42000</v>
      </c>
      <c r="AK606" s="905" t="str">
        <f t="shared" si="61"/>
        <v>VTES-PARCS VOITURES</v>
      </c>
      <c r="AL606" s="905">
        <f>IFERROR(INDEX(G606:R606,1,MATCH(Parametres!$B$3,G$1:R$1,0)-1)*IF(OR(F606="L",F606="S",F606="I"),-1,1),"")</f>
        <v>0</v>
      </c>
      <c r="AM606" s="905">
        <f t="shared" si="56"/>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G42000</v>
      </c>
      <c r="AU606" s="488" t="str">
        <f t="shared" si="58"/>
        <v>VTES-PARCS VOITURES</v>
      </c>
      <c r="AV606" s="899">
        <f>IFERROR(INDEX(V606:AG606,1,MATCH(Parametres!$B$3,V$1:AG$1,0)-1)*IF(OR(C606="L",C606="S",C606="I"),-1,1),"")</f>
        <v>0</v>
      </c>
      <c r="AW606" s="899">
        <f t="shared" si="59"/>
        <v>0</v>
      </c>
      <c r="AX606" s="899">
        <f>INDEX(V606:AG606,1,MATCH(Parametres!$B$3,V$1:AG$1,0))*IF(OR(C606="L",C606="S",C606="I"),-1,1)</f>
        <v>0</v>
      </c>
      <c r="AY606" s="487" t="s">
        <v>337</v>
      </c>
      <c r="AZ606" s="487" t="e">
        <f>+VLOOKUP($AJ606,Data_Validation!$A:$E,5,0)</f>
        <v>#N/A</v>
      </c>
    </row>
    <row r="607" spans="1:52" ht="15" customHeight="1">
      <c r="A607" s="706" t="s">
        <v>1148</v>
      </c>
      <c r="B607" s="706">
        <v>2026</v>
      </c>
      <c r="C607" s="706" t="s">
        <v>2289</v>
      </c>
      <c r="D607" s="706" t="s">
        <v>2290</v>
      </c>
      <c r="E607" s="706" t="s">
        <v>1149</v>
      </c>
      <c r="F607" s="706" t="s">
        <v>1149</v>
      </c>
      <c r="G607" s="706">
        <v>0</v>
      </c>
      <c r="H607" s="706">
        <v>0</v>
      </c>
      <c r="I607" s="706">
        <v>0</v>
      </c>
      <c r="J607" s="706">
        <v>0</v>
      </c>
      <c r="K607" s="706">
        <v>0</v>
      </c>
      <c r="L607" s="706">
        <v>0</v>
      </c>
      <c r="M607" s="706">
        <v>0</v>
      </c>
      <c r="N607" s="706">
        <v>0</v>
      </c>
      <c r="O607" s="706">
        <v>0</v>
      </c>
      <c r="P607" s="706">
        <v>0</v>
      </c>
      <c r="Q607" s="706">
        <v>0</v>
      </c>
      <c r="R607" s="706">
        <v>0</v>
      </c>
      <c r="S607" s="706">
        <v>0</v>
      </c>
      <c r="T607" s="706">
        <v>0</v>
      </c>
      <c r="U607" s="706">
        <v>0</v>
      </c>
      <c r="V607" s="706">
        <v>0</v>
      </c>
      <c r="W607" s="706">
        <v>0</v>
      </c>
      <c r="X607" s="706">
        <v>0</v>
      </c>
      <c r="Y607" s="706">
        <v>0</v>
      </c>
      <c r="Z607" s="706">
        <v>0</v>
      </c>
      <c r="AA607" s="706">
        <v>0</v>
      </c>
      <c r="AB607" s="706">
        <v>0</v>
      </c>
      <c r="AC607" s="706">
        <v>0</v>
      </c>
      <c r="AD607" s="706">
        <v>0</v>
      </c>
      <c r="AE607" s="706">
        <v>0</v>
      </c>
      <c r="AF607" s="706">
        <v>0</v>
      </c>
      <c r="AG607" s="706">
        <v>0</v>
      </c>
      <c r="AH607" s="706">
        <v>0</v>
      </c>
      <c r="AI607" s="706">
        <v>0</v>
      </c>
      <c r="AJ607" s="905" t="str">
        <f t="shared" si="60"/>
        <v>G42100</v>
      </c>
      <c r="AK607" s="905" t="str">
        <f t="shared" si="61"/>
        <v>VTES-VOITURES INTERNE</v>
      </c>
      <c r="AL607" s="905">
        <f>IFERROR(INDEX(G607:R607,1,MATCH(Parametres!$B$3,G$1:R$1,0)-1)*IF(OR(F607="L",F607="S",F607="I"),-1,1),"")</f>
        <v>0</v>
      </c>
      <c r="AM607" s="905">
        <f t="shared" si="56"/>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t="str">
        <f t="shared" si="57"/>
        <v>G42100</v>
      </c>
      <c r="AU607" s="488" t="str">
        <f t="shared" si="58"/>
        <v>VTES-VOITURES INTERNE</v>
      </c>
      <c r="AV607" s="899">
        <f>IFERROR(INDEX(V607:AG607,1,MATCH(Parametres!$B$3,V$1:AG$1,0)-1)*IF(OR(C607="L",C607="S",C607="I"),-1,1),"")</f>
        <v>0</v>
      </c>
      <c r="AW607" s="899">
        <f t="shared" si="59"/>
        <v>0</v>
      </c>
      <c r="AX607" s="899">
        <f>INDEX(V607:AG607,1,MATCH(Parametres!$B$3,V$1:AG$1,0))*IF(OR(C607="L",C607="S",C607="I"),-1,1)</f>
        <v>0</v>
      </c>
      <c r="AY607" s="487" t="s">
        <v>337</v>
      </c>
      <c r="AZ607" s="487" t="e">
        <f>+VLOOKUP($AJ607,Data_Validation!$A:$E,5,0)</f>
        <v>#N/A</v>
      </c>
    </row>
    <row r="608" spans="1:52" ht="15" customHeight="1">
      <c r="A608" s="706" t="s">
        <v>1148</v>
      </c>
      <c r="B608" s="706">
        <v>2026</v>
      </c>
      <c r="C608" s="706" t="s">
        <v>2291</v>
      </c>
      <c r="D608" s="706" t="s">
        <v>2292</v>
      </c>
      <c r="E608" s="706" t="s">
        <v>1149</v>
      </c>
      <c r="F608" s="706" t="s">
        <v>1149</v>
      </c>
      <c r="G608" s="706">
        <v>0</v>
      </c>
      <c r="H608" s="706">
        <v>0</v>
      </c>
      <c r="I608" s="706">
        <v>0</v>
      </c>
      <c r="J608" s="706">
        <v>0</v>
      </c>
      <c r="K608" s="706">
        <v>0</v>
      </c>
      <c r="L608" s="706">
        <v>0</v>
      </c>
      <c r="M608" s="706">
        <v>0</v>
      </c>
      <c r="N608" s="706">
        <v>0</v>
      </c>
      <c r="O608" s="706">
        <v>0</v>
      </c>
      <c r="P608" s="706">
        <v>0</v>
      </c>
      <c r="Q608" s="706">
        <v>0</v>
      </c>
      <c r="R608" s="706">
        <v>0</v>
      </c>
      <c r="S608" s="706">
        <v>0</v>
      </c>
      <c r="T608" s="706">
        <v>0</v>
      </c>
      <c r="U608" s="706">
        <v>0</v>
      </c>
      <c r="V608" s="706">
        <v>0</v>
      </c>
      <c r="W608" s="706">
        <v>0</v>
      </c>
      <c r="X608" s="706">
        <v>0</v>
      </c>
      <c r="Y608" s="706">
        <v>0</v>
      </c>
      <c r="Z608" s="706">
        <v>0</v>
      </c>
      <c r="AA608" s="706">
        <v>0</v>
      </c>
      <c r="AB608" s="706">
        <v>0</v>
      </c>
      <c r="AC608" s="706">
        <v>0</v>
      </c>
      <c r="AD608" s="706">
        <v>0</v>
      </c>
      <c r="AE608" s="706">
        <v>0</v>
      </c>
      <c r="AF608" s="706">
        <v>0</v>
      </c>
      <c r="AG608" s="706">
        <v>0</v>
      </c>
      <c r="AH608" s="706">
        <v>0</v>
      </c>
      <c r="AI608" s="706">
        <v>0</v>
      </c>
      <c r="AJ608" s="905" t="str">
        <f t="shared" si="60"/>
        <v>G42300</v>
      </c>
      <c r="AK608" s="905" t="str">
        <f t="shared" si="61"/>
        <v>VTES-VENTURES-UPLAND VAN</v>
      </c>
      <c r="AL608" s="905">
        <f>IFERROR(INDEX(G608:R608,1,MATCH(Parametres!$B$3,G$1:R$1,0)-1)*IF(OR(F608="L",F608="S",F608="I"),-1,1),"")</f>
        <v>0</v>
      </c>
      <c r="AM608" s="905">
        <f t="shared" si="56"/>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t="str">
        <f t="shared" si="57"/>
        <v>G42300</v>
      </c>
      <c r="AU608" s="488" t="str">
        <f t="shared" si="58"/>
        <v>VTES-VENTURES-UPLAND VAN</v>
      </c>
      <c r="AV608" s="899">
        <f>IFERROR(INDEX(V608:AG608,1,MATCH(Parametres!$B$3,V$1:AG$1,0)-1)*IF(OR(C608="L",C608="S",C608="I"),-1,1),"")</f>
        <v>0</v>
      </c>
      <c r="AW608" s="899">
        <f t="shared" si="59"/>
        <v>0</v>
      </c>
      <c r="AX608" s="899">
        <f>INDEX(V608:AG608,1,MATCH(Parametres!$B$3,V$1:AG$1,0))*IF(OR(C608="L",C608="S",C608="I"),-1,1)</f>
        <v>0</v>
      </c>
      <c r="AY608" s="487" t="s">
        <v>337</v>
      </c>
      <c r="AZ608" s="487" t="e">
        <f>+VLOOKUP($AJ608,Data_Validation!$A:$E,5,0)</f>
        <v>#N/A</v>
      </c>
    </row>
    <row r="609" spans="1:52" ht="15" customHeight="1">
      <c r="A609" s="706" t="s">
        <v>1148</v>
      </c>
      <c r="B609" s="706">
        <v>2026</v>
      </c>
      <c r="C609" s="706" t="s">
        <v>2293</v>
      </c>
      <c r="D609" s="706" t="s">
        <v>2294</v>
      </c>
      <c r="E609" s="706" t="s">
        <v>1149</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G42312</v>
      </c>
      <c r="AK609" s="905" t="str">
        <f t="shared" si="61"/>
        <v>VTES-KODIAK/TOPKICK 4/5</v>
      </c>
      <c r="AL609" s="905">
        <f>IFERROR(INDEX(G609:R609,1,MATCH(Parametres!$B$3,G$1:R$1,0)-1)*IF(OR(F609="L",F609="S",F609="I"),-1,1),"")</f>
        <v>0</v>
      </c>
      <c r="AM609" s="905">
        <f t="shared" si="56"/>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t="str">
        <f t="shared" si="57"/>
        <v>G42312</v>
      </c>
      <c r="AU609" s="488" t="str">
        <f t="shared" si="58"/>
        <v>VTES-KODIAK/TOPKICK 4/5</v>
      </c>
      <c r="AV609" s="899">
        <f>IFERROR(INDEX(V609:AG609,1,MATCH(Parametres!$B$3,V$1:AG$1,0)-1)*IF(OR(C609="L",C609="S",C609="I"),-1,1),"")</f>
        <v>0</v>
      </c>
      <c r="AW609" s="899">
        <f t="shared" si="59"/>
        <v>0</v>
      </c>
      <c r="AX609" s="899">
        <f>INDEX(V609:AG609,1,MATCH(Parametres!$B$3,V$1:AG$1,0))*IF(OR(C609="L",C609="S",C609="I"),-1,1)</f>
        <v>0</v>
      </c>
      <c r="AY609" s="487" t="s">
        <v>337</v>
      </c>
      <c r="AZ609" s="487" t="e">
        <f>+VLOOKUP($AJ609,Data_Validation!$A:$E,5,0)</f>
        <v>#N/A</v>
      </c>
    </row>
    <row r="610" spans="1:52" ht="15" customHeight="1">
      <c r="A610" s="706" t="s">
        <v>1148</v>
      </c>
      <c r="B610" s="706">
        <v>2026</v>
      </c>
      <c r="C610" s="706" t="s">
        <v>2295</v>
      </c>
      <c r="D610" s="706" t="s">
        <v>2296</v>
      </c>
      <c r="E610" s="706" t="s">
        <v>1149</v>
      </c>
      <c r="F610" s="706" t="s">
        <v>1149</v>
      </c>
      <c r="G610" s="706">
        <v>0</v>
      </c>
      <c r="H610" s="706">
        <v>0</v>
      </c>
      <c r="I610" s="706">
        <v>0</v>
      </c>
      <c r="J610" s="706">
        <v>0</v>
      </c>
      <c r="K610" s="706">
        <v>0</v>
      </c>
      <c r="L610" s="706">
        <v>0</v>
      </c>
      <c r="M610" s="706">
        <v>0</v>
      </c>
      <c r="N610" s="706">
        <v>0</v>
      </c>
      <c r="O610" s="706">
        <v>0</v>
      </c>
      <c r="P610" s="706">
        <v>0</v>
      </c>
      <c r="Q610" s="706">
        <v>0</v>
      </c>
      <c r="R610" s="706">
        <v>0</v>
      </c>
      <c r="S610" s="706">
        <v>0</v>
      </c>
      <c r="T610" s="706">
        <v>0</v>
      </c>
      <c r="U610" s="706">
        <v>0</v>
      </c>
      <c r="V610" s="706">
        <v>0</v>
      </c>
      <c r="W610" s="706">
        <v>0</v>
      </c>
      <c r="X610" s="706">
        <v>0</v>
      </c>
      <c r="Y610" s="706">
        <v>0</v>
      </c>
      <c r="Z610" s="706">
        <v>0</v>
      </c>
      <c r="AA610" s="706">
        <v>0</v>
      </c>
      <c r="AB610" s="706">
        <v>0</v>
      </c>
      <c r="AC610" s="706">
        <v>0</v>
      </c>
      <c r="AD610" s="706">
        <v>0</v>
      </c>
      <c r="AE610" s="706">
        <v>0</v>
      </c>
      <c r="AF610" s="706">
        <v>0</v>
      </c>
      <c r="AG610" s="706">
        <v>0</v>
      </c>
      <c r="AH610" s="706">
        <v>0</v>
      </c>
      <c r="AI610" s="706">
        <v>0</v>
      </c>
      <c r="AJ610" s="905" t="str">
        <f t="shared" si="60"/>
        <v>G42320</v>
      </c>
      <c r="AK610" s="905" t="str">
        <f t="shared" si="61"/>
        <v>VTES-VENTURE-UPLANDER-LOC</v>
      </c>
      <c r="AL610" s="905">
        <f>IFERROR(INDEX(G610:R610,1,MATCH(Parametres!$B$3,G$1:R$1,0)-1)*IF(OR(F610="L",F610="S",F610="I"),-1,1),"")</f>
        <v>0</v>
      </c>
      <c r="AM610" s="905">
        <f t="shared" si="56"/>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t="str">
        <f t="shared" si="57"/>
        <v>G42320</v>
      </c>
      <c r="AU610" s="488" t="str">
        <f t="shared" si="58"/>
        <v>VTES-VENTURE-UPLANDER-LOC</v>
      </c>
      <c r="AV610" s="899">
        <f>IFERROR(INDEX(V610:AG610,1,MATCH(Parametres!$B$3,V$1:AG$1,0)-1)*IF(OR(C610="L",C610="S",C610="I"),-1,1),"")</f>
        <v>0</v>
      </c>
      <c r="AW610" s="899">
        <f t="shared" si="59"/>
        <v>0</v>
      </c>
      <c r="AX610" s="899">
        <f>INDEX(V610:AG610,1,MATCH(Parametres!$B$3,V$1:AG$1,0))*IF(OR(C610="L",C610="S",C610="I"),-1,1)</f>
        <v>0</v>
      </c>
      <c r="AY610" s="487" t="s">
        <v>337</v>
      </c>
      <c r="AZ610" s="487" t="e">
        <f>+VLOOKUP($AJ610,Data_Validation!$A:$E,5,0)</f>
        <v>#N/A</v>
      </c>
    </row>
    <row r="611" spans="1:52" ht="15" customHeight="1">
      <c r="A611" s="706" t="s">
        <v>1148</v>
      </c>
      <c r="B611" s="706">
        <v>2026</v>
      </c>
      <c r="C611" s="706" t="s">
        <v>2297</v>
      </c>
      <c r="D611" s="706" t="s">
        <v>2298</v>
      </c>
      <c r="E611" s="706" t="s">
        <v>1149</v>
      </c>
      <c r="F611" s="706" t="s">
        <v>1149</v>
      </c>
      <c r="G611" s="706">
        <v>93796.43</v>
      </c>
      <c r="H611" s="706">
        <v>93796.43</v>
      </c>
      <c r="I611" s="706">
        <v>93796.43</v>
      </c>
      <c r="J611" s="706">
        <v>240565.64</v>
      </c>
      <c r="K611" s="706">
        <v>330422.31</v>
      </c>
      <c r="L611" s="706">
        <v>330422.31</v>
      </c>
      <c r="M611" s="706">
        <v>375604.31</v>
      </c>
      <c r="N611" s="706">
        <v>0</v>
      </c>
      <c r="O611" s="706">
        <v>0</v>
      </c>
      <c r="P611" s="706">
        <v>0</v>
      </c>
      <c r="Q611" s="706">
        <v>0</v>
      </c>
      <c r="R611" s="706">
        <v>0</v>
      </c>
      <c r="S611" s="706">
        <v>55070.39</v>
      </c>
      <c r="T611" s="706">
        <v>55070.39</v>
      </c>
      <c r="U611" s="706">
        <v>0</v>
      </c>
      <c r="V611" s="706">
        <v>2</v>
      </c>
      <c r="W611" s="706">
        <v>2</v>
      </c>
      <c r="X611" s="706">
        <v>2</v>
      </c>
      <c r="Y611" s="706">
        <v>5</v>
      </c>
      <c r="Z611" s="706">
        <v>7</v>
      </c>
      <c r="AA611" s="706">
        <v>7</v>
      </c>
      <c r="AB611" s="706">
        <v>8</v>
      </c>
      <c r="AC611" s="706">
        <v>0</v>
      </c>
      <c r="AD611" s="706">
        <v>0</v>
      </c>
      <c r="AE611" s="706">
        <v>0</v>
      </c>
      <c r="AF611" s="706">
        <v>0</v>
      </c>
      <c r="AG611" s="706">
        <v>0</v>
      </c>
      <c r="AH611" s="706">
        <v>1</v>
      </c>
      <c r="AI611" s="706">
        <v>1</v>
      </c>
      <c r="AJ611" s="905" t="str">
        <f t="shared" si="60"/>
        <v>G42400</v>
      </c>
      <c r="AK611" s="905" t="str">
        <f t="shared" si="61"/>
        <v>VTES-TERRAIN</v>
      </c>
      <c r="AL611" s="905">
        <f>IFERROR(INDEX(G611:R611,1,MATCH(Parametres!$B$3,G$1:R$1,0)-1)*IF(OR(F611="L",F611="S",F611="I"),-1,1),"")</f>
        <v>-330422.31</v>
      </c>
      <c r="AM611" s="905">
        <f t="shared" si="56"/>
        <v>0</v>
      </c>
      <c r="AN611" s="905">
        <f>INDEX(G611:R611,1,MATCH(Parametres!$B$3,G$1:R$1,0))*IF(OR(F611="L",F611="S",F611="I"),-1,1)</f>
        <v>-330422.31</v>
      </c>
      <c r="AO611" s="487" t="str">
        <f>+VLOOKUP($AJ611,Data_Validation!$A:$D,1,0)</f>
        <v>G42400</v>
      </c>
      <c r="AP611" s="487" t="str">
        <f>+VLOOKUP($AJ611,Data_Validation!$A:$D,3,0)</f>
        <v>Véhicules neufs</v>
      </c>
      <c r="AQ611" s="487" t="str">
        <f>+VLOOKUP($AJ611,Data_Validation!$A:$D,4,0)</f>
        <v>Camions détail</v>
      </c>
      <c r="AR611" s="487" t="s">
        <v>299</v>
      </c>
      <c r="AS611" s="487" t="str">
        <f>+VLOOKUP($AJ611,Data_Validation!$A:$E,5,0)</f>
        <v>Oui</v>
      </c>
      <c r="AT611" s="904" t="str">
        <f t="shared" si="57"/>
        <v>G42400</v>
      </c>
      <c r="AU611" s="488" t="str">
        <f t="shared" si="58"/>
        <v>VTES-TERRAIN</v>
      </c>
      <c r="AV611" s="899">
        <f>IFERROR(INDEX(V611:AG611,1,MATCH(Parametres!$B$3,V$1:AG$1,0)-1)*IF(OR(C611="L",C611="S",C611="I"),-1,1),"")</f>
        <v>7</v>
      </c>
      <c r="AW611" s="899">
        <f t="shared" si="59"/>
        <v>0</v>
      </c>
      <c r="AX611" s="899">
        <f>INDEX(V611:AG611,1,MATCH(Parametres!$B$3,V$1:AG$1,0))*IF(OR(C611="L",C611="S",C611="I"),-1,1)</f>
        <v>7</v>
      </c>
      <c r="AY611" s="487" t="s">
        <v>337</v>
      </c>
      <c r="AZ611" s="487" t="str">
        <f>+VLOOKUP($AJ611,Data_Validation!$A:$E,5,0)</f>
        <v>Oui</v>
      </c>
    </row>
    <row r="612" spans="1:52" ht="15" customHeight="1">
      <c r="A612" s="706" t="s">
        <v>1148</v>
      </c>
      <c r="B612" s="706">
        <v>2026</v>
      </c>
      <c r="C612" s="706" t="s">
        <v>2299</v>
      </c>
      <c r="D612" s="706" t="s">
        <v>2300</v>
      </c>
      <c r="E612" s="706" t="s">
        <v>1149</v>
      </c>
      <c r="F612" s="706" t="s">
        <v>1149</v>
      </c>
      <c r="G612" s="706">
        <v>0</v>
      </c>
      <c r="H612" s="706">
        <v>0</v>
      </c>
      <c r="I612" s="706">
        <v>0</v>
      </c>
      <c r="J612" s="706">
        <v>0</v>
      </c>
      <c r="K612" s="706">
        <v>409811.5</v>
      </c>
      <c r="L612" s="706">
        <v>668670.41</v>
      </c>
      <c r="M612" s="706">
        <v>803994.25</v>
      </c>
      <c r="N612" s="706">
        <v>0</v>
      </c>
      <c r="O612" s="706">
        <v>0</v>
      </c>
      <c r="P612" s="706">
        <v>0</v>
      </c>
      <c r="Q612" s="706">
        <v>0</v>
      </c>
      <c r="R612" s="706">
        <v>0</v>
      </c>
      <c r="S612" s="706">
        <v>111445.07</v>
      </c>
      <c r="T612" s="706">
        <v>111445.07</v>
      </c>
      <c r="U612" s="706">
        <v>0</v>
      </c>
      <c r="V612" s="706">
        <v>0</v>
      </c>
      <c r="W612" s="706">
        <v>0</v>
      </c>
      <c r="X612" s="706">
        <v>0</v>
      </c>
      <c r="Y612" s="706">
        <v>0</v>
      </c>
      <c r="Z612" s="706">
        <v>9</v>
      </c>
      <c r="AA612" s="706">
        <v>15</v>
      </c>
      <c r="AB612" s="706">
        <v>18</v>
      </c>
      <c r="AC612" s="706">
        <v>0</v>
      </c>
      <c r="AD612" s="706">
        <v>0</v>
      </c>
      <c r="AE612" s="706">
        <v>0</v>
      </c>
      <c r="AF612" s="706">
        <v>0</v>
      </c>
      <c r="AG612" s="706">
        <v>0</v>
      </c>
      <c r="AH612" s="706">
        <v>3</v>
      </c>
      <c r="AI612" s="706">
        <v>3</v>
      </c>
      <c r="AJ612" s="905" t="str">
        <f t="shared" si="60"/>
        <v>G42401</v>
      </c>
      <c r="AK612" s="905" t="str">
        <f t="shared" si="61"/>
        <v>VENTES - BOLT EUV</v>
      </c>
      <c r="AL612" s="905">
        <f>IFERROR(INDEX(G612:R612,1,MATCH(Parametres!$B$3,G$1:R$1,0)-1)*IF(OR(F612="L",F612="S",F612="I"),-1,1),"")</f>
        <v>-409811.5</v>
      </c>
      <c r="AM612" s="1047">
        <f t="shared" si="56"/>
        <v>-258858.91000000003</v>
      </c>
      <c r="AN612" s="905">
        <f>INDEX(G612:R612,1,MATCH(Parametres!$B$3,G$1:R$1,0))*IF(OR(F612="L",F612="S",F612="I"),-1,1)</f>
        <v>-668670.41</v>
      </c>
      <c r="AO612" s="487" t="str">
        <f>+VLOOKUP($AJ612,Data_Validation!$A:$D,1,0)</f>
        <v>G42401</v>
      </c>
      <c r="AP612" s="487" t="str">
        <f>+VLOOKUP($AJ612,Data_Validation!$A:$D,3,0)</f>
        <v>Véhicules neufs</v>
      </c>
      <c r="AQ612" s="487" t="str">
        <f>+VLOOKUP($AJ612,Data_Validation!$A:$D,4,0)</f>
        <v>Camions electriques</v>
      </c>
      <c r="AR612" s="487" t="s">
        <v>299</v>
      </c>
      <c r="AS612" s="487" t="str">
        <f>+VLOOKUP($AJ612,Data_Validation!$A:$E,5,0)</f>
        <v>Oui</v>
      </c>
      <c r="AT612" s="904" t="str">
        <f t="shared" si="57"/>
        <v>G42401</v>
      </c>
      <c r="AU612" s="488" t="str">
        <f t="shared" si="58"/>
        <v>VENTES - BOLT EUV</v>
      </c>
      <c r="AV612" s="899">
        <f>IFERROR(INDEX(V612:AG612,1,MATCH(Parametres!$B$3,V$1:AG$1,0)-1)*IF(OR(C612="L",C612="S",C612="I"),-1,1),"")</f>
        <v>9</v>
      </c>
      <c r="AW612" s="899">
        <f t="shared" si="59"/>
        <v>6</v>
      </c>
      <c r="AX612" s="899">
        <f>INDEX(V612:AG612,1,MATCH(Parametres!$B$3,V$1:AG$1,0))*IF(OR(C612="L",C612="S",C612="I"),-1,1)</f>
        <v>15</v>
      </c>
      <c r="AY612" s="487" t="s">
        <v>337</v>
      </c>
      <c r="AZ612" s="487" t="str">
        <f>+VLOOKUP($AJ612,Data_Validation!$A:$E,5,0)</f>
        <v>Oui</v>
      </c>
    </row>
    <row r="613" spans="1:52" ht="15" customHeight="1">
      <c r="A613" s="706" t="s">
        <v>1148</v>
      </c>
      <c r="B613" s="706">
        <v>2026</v>
      </c>
      <c r="C613" s="706" t="s">
        <v>2301</v>
      </c>
      <c r="D613" s="706" t="s">
        <v>2302</v>
      </c>
      <c r="E613" s="706" t="s">
        <v>1149</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G42412</v>
      </c>
      <c r="AK613" s="905" t="str">
        <f t="shared" si="61"/>
        <v>VTES-TOPKICK 6/7/8 C</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G42412</v>
      </c>
      <c r="AU613" s="488" t="str">
        <f t="shared" si="58"/>
        <v>VTES-TOPKICK 6/7/8 C</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customHeight="1">
      <c r="A614" s="706" t="s">
        <v>1148</v>
      </c>
      <c r="B614" s="706">
        <v>2026</v>
      </c>
      <c r="C614" s="706" t="s">
        <v>2303</v>
      </c>
      <c r="D614" s="706" t="s">
        <v>2304</v>
      </c>
      <c r="E614" s="706" t="s">
        <v>1149</v>
      </c>
      <c r="F614" s="706" t="s">
        <v>1149</v>
      </c>
      <c r="G614" s="706">
        <v>0</v>
      </c>
      <c r="H614" s="706">
        <v>0</v>
      </c>
      <c r="I614" s="706">
        <v>0</v>
      </c>
      <c r="J614" s="706">
        <v>0</v>
      </c>
      <c r="K614" s="706">
        <v>0</v>
      </c>
      <c r="L614" s="706">
        <v>0</v>
      </c>
      <c r="M614" s="706">
        <v>0</v>
      </c>
      <c r="N614" s="706">
        <v>0</v>
      </c>
      <c r="O614" s="706">
        <v>0</v>
      </c>
      <c r="P614" s="706">
        <v>0</v>
      </c>
      <c r="Q614" s="706">
        <v>0</v>
      </c>
      <c r="R614" s="706">
        <v>0</v>
      </c>
      <c r="S614" s="706">
        <v>0</v>
      </c>
      <c r="T614" s="706">
        <v>0</v>
      </c>
      <c r="U614" s="706">
        <v>0</v>
      </c>
      <c r="V614" s="706">
        <v>0</v>
      </c>
      <c r="W614" s="706">
        <v>0</v>
      </c>
      <c r="X614" s="706">
        <v>0</v>
      </c>
      <c r="Y614" s="706">
        <v>0</v>
      </c>
      <c r="Z614" s="706">
        <v>0</v>
      </c>
      <c r="AA614" s="706">
        <v>0</v>
      </c>
      <c r="AB614" s="706">
        <v>0</v>
      </c>
      <c r="AC614" s="706">
        <v>0</v>
      </c>
      <c r="AD614" s="706">
        <v>0</v>
      </c>
      <c r="AE614" s="706">
        <v>0</v>
      </c>
      <c r="AF614" s="706">
        <v>0</v>
      </c>
      <c r="AG614" s="706">
        <v>0</v>
      </c>
      <c r="AH614" s="706">
        <v>0</v>
      </c>
      <c r="AI614" s="706">
        <v>0</v>
      </c>
      <c r="AJ614" s="905" t="str">
        <f t="shared" si="60"/>
        <v>G42500</v>
      </c>
      <c r="AK614" s="905" t="str">
        <f t="shared" si="61"/>
        <v>VTES-G EXPRESS</v>
      </c>
      <c r="AL614" s="905">
        <f>IFERROR(INDEX(G614:R614,1,MATCH(Parametres!$B$3,G$1:R$1,0)-1)*IF(OR(F614="L",F614="S",F614="I"),-1,1),"")</f>
        <v>0</v>
      </c>
      <c r="AM614" s="905">
        <f t="shared" si="56"/>
        <v>0</v>
      </c>
      <c r="AN614" s="905">
        <f>INDEX(G614:R614,1,MATCH(Parametres!$B$3,G$1:R$1,0))*IF(OR(F614="L",F614="S",F614="I"),-1,1)</f>
        <v>0</v>
      </c>
      <c r="AO614" s="487" t="str">
        <f>+VLOOKUP($AJ614,Data_Validation!$A:$D,1,0)</f>
        <v>G42500</v>
      </c>
      <c r="AP614" s="487" t="str">
        <f>+VLOOKUP($AJ614,Data_Validation!$A:$D,3,0)</f>
        <v>Véhicules neufs</v>
      </c>
      <c r="AQ614" s="487" t="str">
        <f>+VLOOKUP($AJ614,Data_Validation!$A:$D,4,0)</f>
        <v>Camions détail</v>
      </c>
      <c r="AR614" s="487" t="s">
        <v>299</v>
      </c>
      <c r="AS614" s="487" t="str">
        <f>+VLOOKUP($AJ614,Data_Validation!$A:$E,5,0)</f>
        <v>Oui</v>
      </c>
      <c r="AT614" s="904" t="str">
        <f t="shared" si="57"/>
        <v>G42500</v>
      </c>
      <c r="AU614" s="488" t="str">
        <f t="shared" si="58"/>
        <v>VTES-G EXPRESS</v>
      </c>
      <c r="AV614" s="899">
        <f>IFERROR(INDEX(V614:AG614,1,MATCH(Parametres!$B$3,V$1:AG$1,0)-1)*IF(OR(C614="L",C614="S",C614="I"),-1,1),"")</f>
        <v>0</v>
      </c>
      <c r="AW614" s="899">
        <f t="shared" si="59"/>
        <v>0</v>
      </c>
      <c r="AX614" s="899">
        <f>INDEX(V614:AG614,1,MATCH(Parametres!$B$3,V$1:AG$1,0))*IF(OR(C614="L",C614="S",C614="I"),-1,1)</f>
        <v>0</v>
      </c>
      <c r="AY614" s="487" t="s">
        <v>337</v>
      </c>
      <c r="AZ614" s="487" t="str">
        <f>+VLOOKUP($AJ614,Data_Validation!$A:$E,5,0)</f>
        <v>Oui</v>
      </c>
    </row>
    <row r="615" spans="1:52" ht="15" customHeight="1">
      <c r="A615" s="706" t="s">
        <v>1148</v>
      </c>
      <c r="B615" s="706">
        <v>2026</v>
      </c>
      <c r="C615" s="706" t="s">
        <v>2305</v>
      </c>
      <c r="D615" s="706" t="s">
        <v>2306</v>
      </c>
      <c r="E615" s="706" t="s">
        <v>1149</v>
      </c>
      <c r="F615" s="706" t="s">
        <v>1149</v>
      </c>
      <c r="G615" s="706">
        <v>0</v>
      </c>
      <c r="H615" s="706">
        <v>0</v>
      </c>
      <c r="I615" s="706">
        <v>0</v>
      </c>
      <c r="J615" s="706">
        <v>0</v>
      </c>
      <c r="K615" s="706">
        <v>50150</v>
      </c>
      <c r="L615" s="706">
        <v>50150</v>
      </c>
      <c r="M615" s="706">
        <v>50150</v>
      </c>
      <c r="N615" s="706">
        <v>0</v>
      </c>
      <c r="O615" s="706">
        <v>0</v>
      </c>
      <c r="P615" s="706">
        <v>0</v>
      </c>
      <c r="Q615" s="706">
        <v>0</v>
      </c>
      <c r="R615" s="706">
        <v>0</v>
      </c>
      <c r="S615" s="706">
        <v>8358.33</v>
      </c>
      <c r="T615" s="706">
        <v>8358.33</v>
      </c>
      <c r="U615" s="706">
        <v>0</v>
      </c>
      <c r="V615" s="706">
        <v>0</v>
      </c>
      <c r="W615" s="706">
        <v>0</v>
      </c>
      <c r="X615" s="706">
        <v>0</v>
      </c>
      <c r="Y615" s="706">
        <v>0</v>
      </c>
      <c r="Z615" s="706">
        <v>1</v>
      </c>
      <c r="AA615" s="706">
        <v>1</v>
      </c>
      <c r="AB615" s="706">
        <v>1</v>
      </c>
      <c r="AC615" s="706">
        <v>0</v>
      </c>
      <c r="AD615" s="706">
        <v>0</v>
      </c>
      <c r="AE615" s="706">
        <v>0</v>
      </c>
      <c r="AF615" s="706">
        <v>0</v>
      </c>
      <c r="AG615" s="706">
        <v>0</v>
      </c>
      <c r="AH615" s="706">
        <v>0</v>
      </c>
      <c r="AI615" s="706">
        <v>0</v>
      </c>
      <c r="AJ615" s="905" t="str">
        <f t="shared" si="60"/>
        <v>G42502</v>
      </c>
      <c r="AK615" s="905" t="str">
        <f t="shared" si="61"/>
        <v>VENTES SAVANA</v>
      </c>
      <c r="AL615" s="905">
        <f>IFERROR(INDEX(G615:R615,1,MATCH(Parametres!$B$3,G$1:R$1,0)-1)*IF(OR(F615="L",F615="S",F615="I"),-1,1),"")</f>
        <v>-50150</v>
      </c>
      <c r="AM615" s="905">
        <f t="shared" si="56"/>
        <v>0</v>
      </c>
      <c r="AN615" s="905">
        <f>INDEX(G615:R615,1,MATCH(Parametres!$B$3,G$1:R$1,0))*IF(OR(F615="L",F615="S",F615="I"),-1,1)</f>
        <v>-50150</v>
      </c>
      <c r="AO615" s="487" t="str">
        <f>+VLOOKUP($AJ615,Data_Validation!$A:$D,1,0)</f>
        <v>G42502</v>
      </c>
      <c r="AP615" s="487" t="str">
        <f>+VLOOKUP($AJ615,Data_Validation!$A:$D,3,0)</f>
        <v>Véhicules neufs</v>
      </c>
      <c r="AQ615" s="487" t="str">
        <f>+VLOOKUP($AJ615,Data_Validation!$A:$D,4,0)</f>
        <v>Camions electriques</v>
      </c>
      <c r="AR615" s="487" t="s">
        <v>299</v>
      </c>
      <c r="AS615" s="487" t="str">
        <f>+VLOOKUP($AJ615,Data_Validation!$A:$E,5,0)</f>
        <v>Oui</v>
      </c>
      <c r="AT615" s="904" t="str">
        <f t="shared" si="57"/>
        <v>G42502</v>
      </c>
      <c r="AU615" s="488" t="str">
        <f t="shared" si="58"/>
        <v>VENTES SAVANA</v>
      </c>
      <c r="AV615" s="899">
        <f>IFERROR(INDEX(V615:AG615,1,MATCH(Parametres!$B$3,V$1:AG$1,0)-1)*IF(OR(C615="L",C615="S",C615="I"),-1,1),"")</f>
        <v>1</v>
      </c>
      <c r="AW615" s="899">
        <f t="shared" si="59"/>
        <v>0</v>
      </c>
      <c r="AX615" s="899">
        <f>INDEX(V615:AG615,1,MATCH(Parametres!$B$3,V$1:AG$1,0))*IF(OR(C615="L",C615="S",C615="I"),-1,1)</f>
        <v>1</v>
      </c>
      <c r="AY615" s="487" t="s">
        <v>337</v>
      </c>
      <c r="AZ615" s="487" t="str">
        <f>+VLOOKUP($AJ615,Data_Validation!$A:$E,5,0)</f>
        <v>Oui</v>
      </c>
    </row>
    <row r="616" spans="1:52" ht="15" customHeight="1">
      <c r="A616" s="706" t="s">
        <v>1148</v>
      </c>
      <c r="B616" s="706">
        <v>2026</v>
      </c>
      <c r="C616" s="706" t="s">
        <v>2307</v>
      </c>
      <c r="D616" s="706" t="s">
        <v>2308</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G42512</v>
      </c>
      <c r="AK616" s="905" t="str">
        <f t="shared" si="61"/>
        <v>VTES-TOPKICK 6/7/8 T</v>
      </c>
      <c r="AL616" s="905">
        <f>IFERROR(INDEX(G616:R616,1,MATCH(Parametres!$B$3,G$1:R$1,0)-1)*IF(OR(F616="L",F616="S",F616="I"),-1,1),"")</f>
        <v>0</v>
      </c>
      <c r="AM616" s="905">
        <f t="shared" si="56"/>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t="str">
        <f t="shared" si="57"/>
        <v>G42512</v>
      </c>
      <c r="AU616" s="488" t="str">
        <f t="shared" si="58"/>
        <v>VTES-TOPKICK 6/7/8 T</v>
      </c>
      <c r="AV616" s="899">
        <f>IFERROR(INDEX(V616:AG616,1,MATCH(Parametres!$B$3,V$1:AG$1,0)-1)*IF(OR(C616="L",C616="S",C616="I"),-1,1),"")</f>
        <v>0</v>
      </c>
      <c r="AW616" s="899">
        <f t="shared" si="59"/>
        <v>0</v>
      </c>
      <c r="AX616" s="899">
        <f>INDEX(V616:AG616,1,MATCH(Parametres!$B$3,V$1:AG$1,0))*IF(OR(C616="L",C616="S",C616="I"),-1,1)</f>
        <v>0</v>
      </c>
      <c r="AY616" s="487" t="s">
        <v>337</v>
      </c>
      <c r="AZ616" s="487" t="e">
        <f>+VLOOKUP($AJ616,Data_Validation!$A:$E,5,0)</f>
        <v>#N/A</v>
      </c>
    </row>
    <row r="617" spans="1:52" ht="15" customHeight="1">
      <c r="A617" s="706" t="s">
        <v>1148</v>
      </c>
      <c r="B617" s="706">
        <v>2026</v>
      </c>
      <c r="C617" s="706" t="s">
        <v>2309</v>
      </c>
      <c r="D617" s="706" t="s">
        <v>2310</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G42520</v>
      </c>
      <c r="AK617" s="905" t="str">
        <f t="shared" si="61"/>
        <v>VTES-G EXPRESS       -LOC</v>
      </c>
      <c r="AL617" s="905">
        <f>IFERROR(INDEX(G617:R617,1,MATCH(Parametres!$B$3,G$1:R$1,0)-1)*IF(OR(F617="L",F617="S",F617="I"),-1,1),"")</f>
        <v>0</v>
      </c>
      <c r="AM617" s="905">
        <f t="shared" si="56"/>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t="str">
        <f t="shared" si="57"/>
        <v>G42520</v>
      </c>
      <c r="AU617" s="488" t="str">
        <f t="shared" si="58"/>
        <v>VTES-G EXPRESS       -LOC</v>
      </c>
      <c r="AV617" s="899">
        <f>IFERROR(INDEX(V617:AG617,1,MATCH(Parametres!$B$3,V$1:AG$1,0)-1)*IF(OR(C617="L",C617="S",C617="I"),-1,1),"")</f>
        <v>0</v>
      </c>
      <c r="AW617" s="899">
        <f t="shared" si="59"/>
        <v>0</v>
      </c>
      <c r="AX617" s="899">
        <f>INDEX(V617:AG617,1,MATCH(Parametres!$B$3,V$1:AG$1,0))*IF(OR(C617="L",C617="S",C617="I"),-1,1)</f>
        <v>0</v>
      </c>
      <c r="AY617" s="487" t="s">
        <v>337</v>
      </c>
      <c r="AZ617" s="487" t="e">
        <f>+VLOOKUP($AJ617,Data_Validation!$A:$E,5,0)</f>
        <v>#N/A</v>
      </c>
    </row>
    <row r="618" spans="1:52" ht="15" customHeight="1">
      <c r="A618" s="706" t="s">
        <v>1148</v>
      </c>
      <c r="B618" s="706">
        <v>2026</v>
      </c>
      <c r="C618" s="706" t="s">
        <v>2311</v>
      </c>
      <c r="D618" s="706" t="s">
        <v>2312</v>
      </c>
      <c r="E618" s="706" t="s">
        <v>1149</v>
      </c>
      <c r="F618" s="706" t="s">
        <v>1149</v>
      </c>
      <c r="G618" s="706">
        <v>0</v>
      </c>
      <c r="H618" s="706">
        <v>133245.68</v>
      </c>
      <c r="I618" s="706">
        <v>133245.68</v>
      </c>
      <c r="J618" s="706">
        <v>190253.68</v>
      </c>
      <c r="K618" s="706">
        <v>249977.68</v>
      </c>
      <c r="L618" s="706">
        <v>306489.21000000002</v>
      </c>
      <c r="M618" s="706">
        <v>306489.21000000002</v>
      </c>
      <c r="N618" s="706">
        <v>0</v>
      </c>
      <c r="O618" s="706">
        <v>0</v>
      </c>
      <c r="P618" s="706">
        <v>0</v>
      </c>
      <c r="Q618" s="706">
        <v>0</v>
      </c>
      <c r="R618" s="706">
        <v>0</v>
      </c>
      <c r="S618" s="706">
        <v>51081.54</v>
      </c>
      <c r="T618" s="706">
        <v>51081.54</v>
      </c>
      <c r="U618" s="706">
        <v>0</v>
      </c>
      <c r="V618" s="706">
        <v>0</v>
      </c>
      <c r="W618" s="706">
        <v>2</v>
      </c>
      <c r="X618" s="706">
        <v>2</v>
      </c>
      <c r="Y618" s="706">
        <v>3</v>
      </c>
      <c r="Z618" s="706">
        <v>4</v>
      </c>
      <c r="AA618" s="706">
        <v>5</v>
      </c>
      <c r="AB618" s="706">
        <v>5</v>
      </c>
      <c r="AC618" s="706">
        <v>0</v>
      </c>
      <c r="AD618" s="706">
        <v>0</v>
      </c>
      <c r="AE618" s="706">
        <v>0</v>
      </c>
      <c r="AF618" s="706">
        <v>0</v>
      </c>
      <c r="AG618" s="706">
        <v>0</v>
      </c>
      <c r="AH618" s="706">
        <v>1</v>
      </c>
      <c r="AI618" s="706">
        <v>1</v>
      </c>
      <c r="AJ618" s="905" t="str">
        <f t="shared" si="60"/>
        <v>G42600</v>
      </c>
      <c r="AK618" s="905" t="str">
        <f t="shared" si="61"/>
        <v>VTES-S-PICKUP/COLORADO</v>
      </c>
      <c r="AL618" s="905">
        <f>IFERROR(INDEX(G618:R618,1,MATCH(Parametres!$B$3,G$1:R$1,0)-1)*IF(OR(F618="L",F618="S",F618="I"),-1,1),"")</f>
        <v>-249977.68</v>
      </c>
      <c r="AM618" s="1047">
        <f t="shared" si="56"/>
        <v>-56511.530000000028</v>
      </c>
      <c r="AN618" s="905">
        <f>INDEX(G618:R618,1,MATCH(Parametres!$B$3,G$1:R$1,0))*IF(OR(F618="L",F618="S",F618="I"),-1,1)</f>
        <v>-306489.21000000002</v>
      </c>
      <c r="AO618" s="487" t="str">
        <f>+VLOOKUP($AJ618,Data_Validation!$A:$D,1,0)</f>
        <v>G42600</v>
      </c>
      <c r="AP618" s="487" t="str">
        <f>+VLOOKUP($AJ618,Data_Validation!$A:$D,3,0)</f>
        <v>Véhicules neufs</v>
      </c>
      <c r="AQ618" s="487" t="str">
        <f>+VLOOKUP($AJ618,Data_Validation!$A:$D,4,0)</f>
        <v>Camions détail</v>
      </c>
      <c r="AR618" s="487" t="s">
        <v>299</v>
      </c>
      <c r="AS618" s="487" t="str">
        <f>+VLOOKUP($AJ618,Data_Validation!$A:$E,5,0)</f>
        <v>Oui</v>
      </c>
      <c r="AT618" s="904" t="str">
        <f t="shared" si="57"/>
        <v>G42600</v>
      </c>
      <c r="AU618" s="488" t="str">
        <f t="shared" si="58"/>
        <v>VTES-S-PICKUP/COLORADO</v>
      </c>
      <c r="AV618" s="899">
        <f>IFERROR(INDEX(V618:AG618,1,MATCH(Parametres!$B$3,V$1:AG$1,0)-1)*IF(OR(C618="L",C618="S",C618="I"),-1,1),"")</f>
        <v>4</v>
      </c>
      <c r="AW618" s="899">
        <f t="shared" si="59"/>
        <v>1</v>
      </c>
      <c r="AX618" s="899">
        <f>INDEX(V618:AG618,1,MATCH(Parametres!$B$3,V$1:AG$1,0))*IF(OR(C618="L",C618="S",C618="I"),-1,1)</f>
        <v>5</v>
      </c>
      <c r="AY618" s="487" t="s">
        <v>337</v>
      </c>
      <c r="AZ618" s="487" t="str">
        <f>+VLOOKUP($AJ618,Data_Validation!$A:$E,5,0)</f>
        <v>Oui</v>
      </c>
    </row>
    <row r="619" spans="1:52" ht="15" customHeight="1">
      <c r="A619" s="706" t="s">
        <v>1148</v>
      </c>
      <c r="B619" s="706">
        <v>2026</v>
      </c>
      <c r="C619" s="706" t="s">
        <v>2313</v>
      </c>
      <c r="D619" s="706" t="s">
        <v>2314</v>
      </c>
      <c r="E619" s="706" t="s">
        <v>1149</v>
      </c>
      <c r="F619" s="706" t="s">
        <v>1149</v>
      </c>
      <c r="G619" s="706">
        <v>66630.850000000006</v>
      </c>
      <c r="H619" s="706">
        <v>66630.850000000006</v>
      </c>
      <c r="I619" s="706">
        <v>66630.850000000006</v>
      </c>
      <c r="J619" s="706">
        <v>66630.850000000006</v>
      </c>
      <c r="K619" s="706">
        <v>66630.850000000006</v>
      </c>
      <c r="L619" s="706">
        <v>66630.850000000006</v>
      </c>
      <c r="M619" s="706">
        <v>133454.26999999999</v>
      </c>
      <c r="N619" s="706">
        <v>0</v>
      </c>
      <c r="O619" s="706">
        <v>0</v>
      </c>
      <c r="P619" s="706">
        <v>0</v>
      </c>
      <c r="Q619" s="706">
        <v>0</v>
      </c>
      <c r="R619" s="706">
        <v>0</v>
      </c>
      <c r="S619" s="706">
        <v>11105.14</v>
      </c>
      <c r="T619" s="706">
        <v>11105.14</v>
      </c>
      <c r="U619" s="706">
        <v>0</v>
      </c>
      <c r="V619" s="706">
        <v>1</v>
      </c>
      <c r="W619" s="706">
        <v>1</v>
      </c>
      <c r="X619" s="706">
        <v>1</v>
      </c>
      <c r="Y619" s="706">
        <v>1</v>
      </c>
      <c r="Z619" s="706">
        <v>1</v>
      </c>
      <c r="AA619" s="706">
        <v>1</v>
      </c>
      <c r="AB619" s="706">
        <v>2</v>
      </c>
      <c r="AC619" s="706">
        <v>0</v>
      </c>
      <c r="AD619" s="706">
        <v>0</v>
      </c>
      <c r="AE619" s="706">
        <v>0</v>
      </c>
      <c r="AF619" s="706">
        <v>0</v>
      </c>
      <c r="AG619" s="706">
        <v>0</v>
      </c>
      <c r="AH619" s="706">
        <v>0</v>
      </c>
      <c r="AI619" s="706">
        <v>0</v>
      </c>
      <c r="AJ619" s="905" t="str">
        <f t="shared" si="60"/>
        <v>G42602</v>
      </c>
      <c r="AK619" s="905" t="str">
        <f t="shared" si="61"/>
        <v>VENTES GMC CANYON</v>
      </c>
      <c r="AL619" s="905">
        <f>IFERROR(INDEX(G619:R619,1,MATCH(Parametres!$B$3,G$1:R$1,0)-1)*IF(OR(F619="L",F619="S",F619="I"),-1,1),"")</f>
        <v>-66630.850000000006</v>
      </c>
      <c r="AM619" s="905">
        <f t="shared" si="56"/>
        <v>0</v>
      </c>
      <c r="AN619" s="905">
        <f>INDEX(G619:R619,1,MATCH(Parametres!$B$3,G$1:R$1,0))*IF(OR(F619="L",F619="S",F619="I"),-1,1)</f>
        <v>-66630.850000000006</v>
      </c>
      <c r="AO619" s="487" t="str">
        <f>+VLOOKUP($AJ619,Data_Validation!$A:$D,1,0)</f>
        <v>G42602</v>
      </c>
      <c r="AP619" s="487" t="str">
        <f>+VLOOKUP($AJ619,Data_Validation!$A:$D,3,0)</f>
        <v>Véhicules neufs</v>
      </c>
      <c r="AQ619" s="487" t="str">
        <f>+VLOOKUP($AJ619,Data_Validation!$A:$D,4,0)</f>
        <v>Camions détail</v>
      </c>
      <c r="AR619" s="487" t="s">
        <v>299</v>
      </c>
      <c r="AS619" s="487" t="str">
        <f>+VLOOKUP($AJ619,Data_Validation!$A:$E,5,0)</f>
        <v>Oui</v>
      </c>
      <c r="AT619" s="904" t="str">
        <f t="shared" si="57"/>
        <v>G42602</v>
      </c>
      <c r="AU619" s="488" t="str">
        <f t="shared" si="58"/>
        <v>VENTES GMC CANYON</v>
      </c>
      <c r="AV619" s="899">
        <f>IFERROR(INDEX(V619:AG619,1,MATCH(Parametres!$B$3,V$1:AG$1,0)-1)*IF(OR(C619="L",C619="S",C619="I"),-1,1),"")</f>
        <v>1</v>
      </c>
      <c r="AW619" s="899">
        <f t="shared" si="59"/>
        <v>0</v>
      </c>
      <c r="AX619" s="899">
        <f>INDEX(V619:AG619,1,MATCH(Parametres!$B$3,V$1:AG$1,0))*IF(OR(C619="L",C619="S",C619="I"),-1,1)</f>
        <v>1</v>
      </c>
      <c r="AY619" s="487" t="s">
        <v>337</v>
      </c>
      <c r="AZ619" s="487" t="str">
        <f>+VLOOKUP($AJ619,Data_Validation!$A:$E,5,0)</f>
        <v>Oui</v>
      </c>
    </row>
    <row r="620" spans="1:52" ht="15" customHeight="1">
      <c r="A620" s="706" t="s">
        <v>1148</v>
      </c>
      <c r="B620" s="706">
        <v>2026</v>
      </c>
      <c r="C620" s="706" t="s">
        <v>2315</v>
      </c>
      <c r="D620" s="706" t="s">
        <v>2316</v>
      </c>
      <c r="E620" s="706" t="s">
        <v>1149</v>
      </c>
      <c r="F620" s="706" t="s">
        <v>1149</v>
      </c>
      <c r="G620" s="706">
        <v>46340</v>
      </c>
      <c r="H620" s="706">
        <v>97633</v>
      </c>
      <c r="I620" s="706">
        <v>97633</v>
      </c>
      <c r="J620" s="706">
        <v>245035.39</v>
      </c>
      <c r="K620" s="706">
        <v>300989.39</v>
      </c>
      <c r="L620" s="706">
        <v>300989.39</v>
      </c>
      <c r="M620" s="706">
        <v>300989.39</v>
      </c>
      <c r="N620" s="706">
        <v>0</v>
      </c>
      <c r="O620" s="706">
        <v>0</v>
      </c>
      <c r="P620" s="706">
        <v>0</v>
      </c>
      <c r="Q620" s="706">
        <v>0</v>
      </c>
      <c r="R620" s="706">
        <v>0</v>
      </c>
      <c r="S620" s="706">
        <v>50164.9</v>
      </c>
      <c r="T620" s="706">
        <v>50164.9</v>
      </c>
      <c r="U620" s="706">
        <v>0</v>
      </c>
      <c r="V620" s="706">
        <v>1</v>
      </c>
      <c r="W620" s="706">
        <v>2</v>
      </c>
      <c r="X620" s="706">
        <v>2</v>
      </c>
      <c r="Y620" s="706">
        <v>5</v>
      </c>
      <c r="Z620" s="706">
        <v>6</v>
      </c>
      <c r="AA620" s="706">
        <v>6</v>
      </c>
      <c r="AB620" s="706">
        <v>6</v>
      </c>
      <c r="AC620" s="706">
        <v>0</v>
      </c>
      <c r="AD620" s="706">
        <v>0</v>
      </c>
      <c r="AE620" s="706">
        <v>0</v>
      </c>
      <c r="AF620" s="706">
        <v>0</v>
      </c>
      <c r="AG620" s="706">
        <v>0</v>
      </c>
      <c r="AH620" s="706">
        <v>1</v>
      </c>
      <c r="AI620" s="706">
        <v>1</v>
      </c>
      <c r="AJ620" s="905" t="str">
        <f t="shared" si="60"/>
        <v>G42612</v>
      </c>
      <c r="AK620" s="905" t="str">
        <f t="shared" si="61"/>
        <v>VTES-BUICK ENVISION</v>
      </c>
      <c r="AL620" s="905">
        <f>IFERROR(INDEX(G620:R620,1,MATCH(Parametres!$B$3,G$1:R$1,0)-1)*IF(OR(F620="L",F620="S",F620="I"),-1,1),"")</f>
        <v>-300989.39</v>
      </c>
      <c r="AM620" s="905">
        <f t="shared" si="56"/>
        <v>0</v>
      </c>
      <c r="AN620" s="905">
        <f>INDEX(G620:R620,1,MATCH(Parametres!$B$3,G$1:R$1,0))*IF(OR(F620="L",F620="S",F620="I"),-1,1)</f>
        <v>-300989.39</v>
      </c>
      <c r="AO620" s="487" t="str">
        <f>+VLOOKUP($AJ620,Data_Validation!$A:$D,1,0)</f>
        <v>G42612</v>
      </c>
      <c r="AP620" s="487" t="str">
        <f>+VLOOKUP($AJ620,Data_Validation!$A:$D,3,0)</f>
        <v>Véhicules neufs</v>
      </c>
      <c r="AQ620" s="487" t="str">
        <f>+VLOOKUP($AJ620,Data_Validation!$A:$D,4,0)</f>
        <v>Camions détail</v>
      </c>
      <c r="AR620" s="487" t="s">
        <v>299</v>
      </c>
      <c r="AS620" s="487" t="str">
        <f>+VLOOKUP($AJ620,Data_Validation!$A:$E,5,0)</f>
        <v>Oui</v>
      </c>
      <c r="AT620" s="904" t="str">
        <f t="shared" si="57"/>
        <v>G42612</v>
      </c>
      <c r="AU620" s="488" t="str">
        <f t="shared" si="58"/>
        <v>VTES-BUICK ENVISION</v>
      </c>
      <c r="AV620" s="899">
        <f>IFERROR(INDEX(V620:AG620,1,MATCH(Parametres!$B$3,V$1:AG$1,0)-1)*IF(OR(C620="L",C620="S",C620="I"),-1,1),"")</f>
        <v>6</v>
      </c>
      <c r="AW620" s="899">
        <f t="shared" si="59"/>
        <v>0</v>
      </c>
      <c r="AX620" s="899">
        <f>INDEX(V620:AG620,1,MATCH(Parametres!$B$3,V$1:AG$1,0))*IF(OR(C620="L",C620="S",C620="I"),-1,1)</f>
        <v>6</v>
      </c>
      <c r="AY620" s="487" t="s">
        <v>337</v>
      </c>
      <c r="AZ620" s="487" t="str">
        <f>+VLOOKUP($AJ620,Data_Validation!$A:$E,5,0)</f>
        <v>Oui</v>
      </c>
    </row>
    <row r="621" spans="1:52" ht="15" customHeight="1">
      <c r="A621" s="706" t="s">
        <v>1148</v>
      </c>
      <c r="B621" s="706">
        <v>2026</v>
      </c>
      <c r="C621" s="706" t="s">
        <v>2317</v>
      </c>
      <c r="D621" s="706" t="s">
        <v>2318</v>
      </c>
      <c r="E621" s="706" t="s">
        <v>1149</v>
      </c>
      <c r="F621" s="706" t="s">
        <v>1149</v>
      </c>
      <c r="G621" s="706">
        <v>0</v>
      </c>
      <c r="H621" s="706">
        <v>0</v>
      </c>
      <c r="I621" s="706">
        <v>69622.98</v>
      </c>
      <c r="J621" s="706">
        <v>205199.02</v>
      </c>
      <c r="K621" s="706">
        <v>238124.56</v>
      </c>
      <c r="L621" s="706">
        <v>341374.39</v>
      </c>
      <c r="M621" s="706">
        <v>341374.39</v>
      </c>
      <c r="N621" s="706">
        <v>0</v>
      </c>
      <c r="O621" s="706">
        <v>0</v>
      </c>
      <c r="P621" s="706">
        <v>0</v>
      </c>
      <c r="Q621" s="706">
        <v>0</v>
      </c>
      <c r="R621" s="706">
        <v>0</v>
      </c>
      <c r="S621" s="706">
        <v>56895.73</v>
      </c>
      <c r="T621" s="706">
        <v>56895.73</v>
      </c>
      <c r="U621" s="706">
        <v>0</v>
      </c>
      <c r="V621" s="706">
        <v>0</v>
      </c>
      <c r="W621" s="706">
        <v>0</v>
      </c>
      <c r="X621" s="706">
        <v>2</v>
      </c>
      <c r="Y621" s="706">
        <v>6</v>
      </c>
      <c r="Z621" s="706">
        <v>7</v>
      </c>
      <c r="AA621" s="706">
        <v>10</v>
      </c>
      <c r="AB621" s="706">
        <v>10</v>
      </c>
      <c r="AC621" s="706">
        <v>0</v>
      </c>
      <c r="AD621" s="706">
        <v>0</v>
      </c>
      <c r="AE621" s="706">
        <v>0</v>
      </c>
      <c r="AF621" s="706">
        <v>0</v>
      </c>
      <c r="AG621" s="706">
        <v>0</v>
      </c>
      <c r="AH621" s="706">
        <v>2</v>
      </c>
      <c r="AI621" s="706">
        <v>2</v>
      </c>
      <c r="AJ621" s="905" t="str">
        <f t="shared" si="60"/>
        <v>G42613</v>
      </c>
      <c r="AK621" s="905" t="str">
        <f t="shared" si="61"/>
        <v>VTES-BUICK ENVISTA</v>
      </c>
      <c r="AL621" s="905">
        <f>IFERROR(INDEX(G621:R621,1,MATCH(Parametres!$B$3,G$1:R$1,0)-1)*IF(OR(F621="L",F621="S",F621="I"),-1,1),"")</f>
        <v>-238124.56</v>
      </c>
      <c r="AM621" s="1047">
        <f t="shared" si="56"/>
        <v>-103249.83000000002</v>
      </c>
      <c r="AN621" s="905">
        <f>INDEX(G621:R621,1,MATCH(Parametres!$B$3,G$1:R$1,0))*IF(OR(F621="L",F621="S",F621="I"),-1,1)</f>
        <v>-341374.39</v>
      </c>
      <c r="AO621" s="487" t="str">
        <f>+VLOOKUP($AJ621,Data_Validation!$A:$D,1,0)</f>
        <v>G42613</v>
      </c>
      <c r="AP621" s="487" t="str">
        <f>+VLOOKUP($AJ621,Data_Validation!$A:$D,3,0)</f>
        <v>Véhicules neufs</v>
      </c>
      <c r="AQ621" s="487" t="str">
        <f>+VLOOKUP($AJ621,Data_Validation!$A:$D,4,0)</f>
        <v>Camions détail</v>
      </c>
      <c r="AR621" s="487" t="s">
        <v>299</v>
      </c>
      <c r="AS621" s="487" t="str">
        <f>+VLOOKUP($AJ621,Data_Validation!$A:$E,5,0)</f>
        <v>Oui</v>
      </c>
      <c r="AT621" s="904" t="str">
        <f t="shared" si="57"/>
        <v>G42613</v>
      </c>
      <c r="AU621" s="488" t="str">
        <f t="shared" si="58"/>
        <v>VTES-BUICK ENVISTA</v>
      </c>
      <c r="AV621" s="899">
        <f>IFERROR(INDEX(V621:AG621,1,MATCH(Parametres!$B$3,V$1:AG$1,0)-1)*IF(OR(C621="L",C621="S",C621="I"),-1,1),"")</f>
        <v>7</v>
      </c>
      <c r="AW621" s="899">
        <f t="shared" si="59"/>
        <v>3</v>
      </c>
      <c r="AX621" s="899">
        <f>INDEX(V621:AG621,1,MATCH(Parametres!$B$3,V$1:AG$1,0))*IF(OR(C621="L",C621="S",C621="I"),-1,1)</f>
        <v>10</v>
      </c>
      <c r="AY621" s="487" t="s">
        <v>337</v>
      </c>
      <c r="AZ621" s="487" t="str">
        <f>+VLOOKUP($AJ621,Data_Validation!$A:$E,5,0)</f>
        <v>Oui</v>
      </c>
    </row>
    <row r="622" spans="1:52" ht="15" customHeight="1">
      <c r="A622" s="706" t="s">
        <v>1148</v>
      </c>
      <c r="B622" s="706">
        <v>2026</v>
      </c>
      <c r="C622" s="706" t="s">
        <v>2319</v>
      </c>
      <c r="D622" s="706" t="s">
        <v>2320</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G42620</v>
      </c>
      <c r="AK622" s="905" t="str">
        <f t="shared" si="61"/>
        <v>VTES-SPICK/COLORDO   -LOC</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G42620</v>
      </c>
      <c r="AU622" s="488" t="str">
        <f t="shared" si="58"/>
        <v>VTES-SPICK/COLORDO   -LOC</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2026</v>
      </c>
      <c r="C623" s="706" t="s">
        <v>2321</v>
      </c>
      <c r="D623" s="706" t="s">
        <v>2322</v>
      </c>
      <c r="E623" s="706" t="s">
        <v>1149</v>
      </c>
      <c r="F623" s="706" t="s">
        <v>1149</v>
      </c>
      <c r="G623" s="706">
        <v>62388</v>
      </c>
      <c r="H623" s="706">
        <v>120522.54</v>
      </c>
      <c r="I623" s="706">
        <v>120522.54</v>
      </c>
      <c r="J623" s="706">
        <v>182683.54</v>
      </c>
      <c r="K623" s="706">
        <v>252626.54</v>
      </c>
      <c r="L623" s="706">
        <v>311964.53999999998</v>
      </c>
      <c r="M623" s="706">
        <v>381906.54</v>
      </c>
      <c r="N623" s="706">
        <v>0</v>
      </c>
      <c r="O623" s="706">
        <v>0</v>
      </c>
      <c r="P623" s="706">
        <v>0</v>
      </c>
      <c r="Q623" s="706">
        <v>0</v>
      </c>
      <c r="R623" s="706">
        <v>0</v>
      </c>
      <c r="S623" s="706">
        <v>51994.09</v>
      </c>
      <c r="T623" s="706">
        <v>51994.09</v>
      </c>
      <c r="U623" s="706">
        <v>0</v>
      </c>
      <c r="V623" s="706">
        <v>1</v>
      </c>
      <c r="W623" s="706">
        <v>2</v>
      </c>
      <c r="X623" s="706">
        <v>2</v>
      </c>
      <c r="Y623" s="706">
        <v>3</v>
      </c>
      <c r="Z623" s="706">
        <v>4</v>
      </c>
      <c r="AA623" s="706">
        <v>5</v>
      </c>
      <c r="AB623" s="706">
        <v>6</v>
      </c>
      <c r="AC623" s="706">
        <v>0</v>
      </c>
      <c r="AD623" s="706">
        <v>0</v>
      </c>
      <c r="AE623" s="706">
        <v>0</v>
      </c>
      <c r="AF623" s="706">
        <v>0</v>
      </c>
      <c r="AG623" s="706">
        <v>0</v>
      </c>
      <c r="AH623" s="706">
        <v>1</v>
      </c>
      <c r="AI623" s="706">
        <v>1</v>
      </c>
      <c r="AJ623" s="905" t="str">
        <f t="shared" si="60"/>
        <v>G42700</v>
      </c>
      <c r="AK623" s="905" t="str">
        <f t="shared" si="61"/>
        <v>VTES-TRAVERSE</v>
      </c>
      <c r="AL623" s="905">
        <f>IFERROR(INDEX(G623:R623,1,MATCH(Parametres!$B$3,G$1:R$1,0)-1)*IF(OR(F623="L",F623="S",F623="I"),-1,1),"")</f>
        <v>-252626.54</v>
      </c>
      <c r="AM623" s="1047">
        <f t="shared" si="56"/>
        <v>-59337.999999999971</v>
      </c>
      <c r="AN623" s="905">
        <f>INDEX(G623:R623,1,MATCH(Parametres!$B$3,G$1:R$1,0))*IF(OR(F623="L",F623="S",F623="I"),-1,1)</f>
        <v>-311964.53999999998</v>
      </c>
      <c r="AO623" s="487" t="str">
        <f>+VLOOKUP($AJ623,Data_Validation!$A:$D,1,0)</f>
        <v>G42700</v>
      </c>
      <c r="AP623" s="487" t="str">
        <f>+VLOOKUP($AJ623,Data_Validation!$A:$D,3,0)</f>
        <v>Véhicules neufs</v>
      </c>
      <c r="AQ623" s="487" t="str">
        <f>+VLOOKUP($AJ623,Data_Validation!$A:$D,4,0)</f>
        <v>Camions détail</v>
      </c>
      <c r="AR623" s="487" t="s">
        <v>299</v>
      </c>
      <c r="AS623" s="487" t="str">
        <f>+VLOOKUP($AJ623,Data_Validation!$A:$E,5,0)</f>
        <v>Oui</v>
      </c>
      <c r="AT623" s="904" t="str">
        <f t="shared" si="57"/>
        <v>G42700</v>
      </c>
      <c r="AU623" s="488" t="str">
        <f t="shared" si="58"/>
        <v>VTES-TRAVERSE</v>
      </c>
      <c r="AV623" s="899">
        <f>IFERROR(INDEX(V623:AG623,1,MATCH(Parametres!$B$3,V$1:AG$1,0)-1)*IF(OR(C623="L",C623="S",C623="I"),-1,1),"")</f>
        <v>4</v>
      </c>
      <c r="AW623" s="899">
        <f t="shared" si="59"/>
        <v>1</v>
      </c>
      <c r="AX623" s="899">
        <f>INDEX(V623:AG623,1,MATCH(Parametres!$B$3,V$1:AG$1,0))*IF(OR(C623="L",C623="S",C623="I"),-1,1)</f>
        <v>5</v>
      </c>
      <c r="AY623" s="487" t="s">
        <v>337</v>
      </c>
      <c r="AZ623" s="487" t="str">
        <f>+VLOOKUP($AJ623,Data_Validation!$A:$E,5,0)</f>
        <v>Oui</v>
      </c>
    </row>
    <row r="624" spans="1:52" ht="15" customHeight="1">
      <c r="A624" s="706" t="s">
        <v>1148</v>
      </c>
      <c r="B624" s="706">
        <v>2026</v>
      </c>
      <c r="C624" s="706" t="s">
        <v>2323</v>
      </c>
      <c r="D624" s="706" t="s">
        <v>2324</v>
      </c>
      <c r="E624" s="706" t="s">
        <v>1149</v>
      </c>
      <c r="F624" s="706" t="s">
        <v>1149</v>
      </c>
      <c r="G624" s="706">
        <v>0</v>
      </c>
      <c r="H624" s="706">
        <v>0</v>
      </c>
      <c r="I624" s="706">
        <v>0</v>
      </c>
      <c r="J624" s="706">
        <v>78598.5</v>
      </c>
      <c r="K624" s="706">
        <v>144076.42000000001</v>
      </c>
      <c r="L624" s="706">
        <v>144076.42000000001</v>
      </c>
      <c r="M624" s="706">
        <v>144076.42000000001</v>
      </c>
      <c r="N624" s="706">
        <v>0</v>
      </c>
      <c r="O624" s="706">
        <v>0</v>
      </c>
      <c r="P624" s="706">
        <v>0</v>
      </c>
      <c r="Q624" s="706">
        <v>0</v>
      </c>
      <c r="R624" s="706">
        <v>0</v>
      </c>
      <c r="S624" s="706">
        <v>24012.74</v>
      </c>
      <c r="T624" s="706">
        <v>24012.74</v>
      </c>
      <c r="U624" s="706">
        <v>0</v>
      </c>
      <c r="V624" s="706">
        <v>0</v>
      </c>
      <c r="W624" s="706">
        <v>0</v>
      </c>
      <c r="X624" s="706">
        <v>0</v>
      </c>
      <c r="Y624" s="706">
        <v>1</v>
      </c>
      <c r="Z624" s="706">
        <v>2</v>
      </c>
      <c r="AA624" s="706">
        <v>2</v>
      </c>
      <c r="AB624" s="706">
        <v>2</v>
      </c>
      <c r="AC624" s="706">
        <v>0</v>
      </c>
      <c r="AD624" s="706">
        <v>0</v>
      </c>
      <c r="AE624" s="706">
        <v>0</v>
      </c>
      <c r="AF624" s="706">
        <v>0</v>
      </c>
      <c r="AG624" s="706">
        <v>0</v>
      </c>
      <c r="AH624" s="706">
        <v>0</v>
      </c>
      <c r="AI624" s="706">
        <v>0</v>
      </c>
      <c r="AJ624" s="905" t="str">
        <f t="shared" si="60"/>
        <v>G42800</v>
      </c>
      <c r="AK624" s="905" t="str">
        <f t="shared" si="61"/>
        <v>VENTES BUICK ENCLAVE</v>
      </c>
      <c r="AL624" s="905">
        <f>IFERROR(INDEX(G624:R624,1,MATCH(Parametres!$B$3,G$1:R$1,0)-1)*IF(OR(F624="L",F624="S",F624="I"),-1,1),"")</f>
        <v>-144076.42000000001</v>
      </c>
      <c r="AM624" s="905">
        <f t="shared" si="56"/>
        <v>0</v>
      </c>
      <c r="AN624" s="905">
        <f>INDEX(G624:R624,1,MATCH(Parametres!$B$3,G$1:R$1,0))*IF(OR(F624="L",F624="S",F624="I"),-1,1)</f>
        <v>-144076.42000000001</v>
      </c>
      <c r="AO624" s="487" t="str">
        <f>+VLOOKUP($AJ624,Data_Validation!$A:$D,1,0)</f>
        <v>G42800</v>
      </c>
      <c r="AP624" s="487" t="str">
        <f>+VLOOKUP($AJ624,Data_Validation!$A:$D,3,0)</f>
        <v>Véhicules neufs</v>
      </c>
      <c r="AQ624" s="487" t="str">
        <f>+VLOOKUP($AJ624,Data_Validation!$A:$D,4,0)</f>
        <v>Camions détail</v>
      </c>
      <c r="AR624" s="487" t="s">
        <v>299</v>
      </c>
      <c r="AS624" s="487" t="str">
        <f>+VLOOKUP($AJ624,Data_Validation!$A:$E,5,0)</f>
        <v>Oui</v>
      </c>
      <c r="AT624" s="904" t="str">
        <f t="shared" si="57"/>
        <v>G42800</v>
      </c>
      <c r="AU624" s="488" t="str">
        <f t="shared" si="58"/>
        <v>VENTES BUICK ENCLAVE</v>
      </c>
      <c r="AV624" s="899">
        <f>IFERROR(INDEX(V624:AG624,1,MATCH(Parametres!$B$3,V$1:AG$1,0)-1)*IF(OR(C624="L",C624="S",C624="I"),-1,1),"")</f>
        <v>2</v>
      </c>
      <c r="AW624" s="899">
        <f t="shared" si="59"/>
        <v>0</v>
      </c>
      <c r="AX624" s="899">
        <f>INDEX(V624:AG624,1,MATCH(Parametres!$B$3,V$1:AG$1,0))*IF(OR(C624="L",C624="S",C624="I"),-1,1)</f>
        <v>2</v>
      </c>
      <c r="AY624" s="487" t="s">
        <v>337</v>
      </c>
      <c r="AZ624" s="487" t="str">
        <f>+VLOOKUP($AJ624,Data_Validation!$A:$E,5,0)</f>
        <v>Oui</v>
      </c>
    </row>
    <row r="625" spans="1:52" ht="15" customHeight="1">
      <c r="A625" s="706" t="s">
        <v>1148</v>
      </c>
      <c r="B625" s="706">
        <v>2026</v>
      </c>
      <c r="C625" s="706" t="s">
        <v>2325</v>
      </c>
      <c r="D625" s="706" t="s">
        <v>2326</v>
      </c>
      <c r="E625" s="706" t="s">
        <v>1149</v>
      </c>
      <c r="F625" s="706" t="s">
        <v>1149</v>
      </c>
      <c r="G625" s="706">
        <v>39888.67</v>
      </c>
      <c r="H625" s="706">
        <v>73703.41</v>
      </c>
      <c r="I625" s="706">
        <v>73703.41</v>
      </c>
      <c r="J625" s="706">
        <v>112838.66</v>
      </c>
      <c r="K625" s="706">
        <v>112838.66</v>
      </c>
      <c r="L625" s="706">
        <v>186623.41</v>
      </c>
      <c r="M625" s="706">
        <v>186623.41</v>
      </c>
      <c r="N625" s="706">
        <v>0</v>
      </c>
      <c r="O625" s="706">
        <v>0</v>
      </c>
      <c r="P625" s="706">
        <v>0</v>
      </c>
      <c r="Q625" s="706">
        <v>0</v>
      </c>
      <c r="R625" s="706">
        <v>0</v>
      </c>
      <c r="S625" s="706">
        <v>31103.9</v>
      </c>
      <c r="T625" s="706">
        <v>31103.9</v>
      </c>
      <c r="U625" s="706">
        <v>0</v>
      </c>
      <c r="V625" s="706">
        <v>1</v>
      </c>
      <c r="W625" s="706">
        <v>2</v>
      </c>
      <c r="X625" s="706">
        <v>2</v>
      </c>
      <c r="Y625" s="706">
        <v>3</v>
      </c>
      <c r="Z625" s="706">
        <v>3</v>
      </c>
      <c r="AA625" s="706">
        <v>5</v>
      </c>
      <c r="AB625" s="706">
        <v>5</v>
      </c>
      <c r="AC625" s="706">
        <v>0</v>
      </c>
      <c r="AD625" s="706">
        <v>0</v>
      </c>
      <c r="AE625" s="706">
        <v>0</v>
      </c>
      <c r="AF625" s="706">
        <v>0</v>
      </c>
      <c r="AG625" s="706">
        <v>0</v>
      </c>
      <c r="AH625" s="706">
        <v>1</v>
      </c>
      <c r="AI625" s="706">
        <v>1</v>
      </c>
      <c r="AJ625" s="905" t="str">
        <f t="shared" si="60"/>
        <v>G42804</v>
      </c>
      <c r="AK625" s="905" t="str">
        <f t="shared" si="61"/>
        <v>VENTE BUICK ENCORE</v>
      </c>
      <c r="AL625" s="905">
        <f>IFERROR(INDEX(G625:R625,1,MATCH(Parametres!$B$3,G$1:R$1,0)-1)*IF(OR(F625="L",F625="S",F625="I"),-1,1),"")</f>
        <v>-112838.66</v>
      </c>
      <c r="AM625" s="1047">
        <f t="shared" si="56"/>
        <v>-73784.75</v>
      </c>
      <c r="AN625" s="905">
        <f>INDEX(G625:R625,1,MATCH(Parametres!$B$3,G$1:R$1,0))*IF(OR(F625="L",F625="S",F625="I"),-1,1)</f>
        <v>-186623.41</v>
      </c>
      <c r="AO625" s="487" t="str">
        <f>+VLOOKUP($AJ625,Data_Validation!$A:$D,1,0)</f>
        <v>G42804</v>
      </c>
      <c r="AP625" s="487" t="str">
        <f>+VLOOKUP($AJ625,Data_Validation!$A:$D,3,0)</f>
        <v>Véhicules neufs</v>
      </c>
      <c r="AQ625" s="487" t="str">
        <f>+VLOOKUP($AJ625,Data_Validation!$A:$D,4,0)</f>
        <v>Camions détail</v>
      </c>
      <c r="AR625" s="487" t="s">
        <v>299</v>
      </c>
      <c r="AS625" s="487" t="str">
        <f>+VLOOKUP($AJ625,Data_Validation!$A:$E,5,0)</f>
        <v>Oui</v>
      </c>
      <c r="AT625" s="904" t="str">
        <f t="shared" si="57"/>
        <v>G42804</v>
      </c>
      <c r="AU625" s="488" t="str">
        <f t="shared" si="58"/>
        <v>VENTE BUICK ENCORE</v>
      </c>
      <c r="AV625" s="899">
        <f>IFERROR(INDEX(V625:AG625,1,MATCH(Parametres!$B$3,V$1:AG$1,0)-1)*IF(OR(C625="L",C625="S",C625="I"),-1,1),"")</f>
        <v>3</v>
      </c>
      <c r="AW625" s="899">
        <f t="shared" si="59"/>
        <v>2</v>
      </c>
      <c r="AX625" s="899">
        <f>INDEX(V625:AG625,1,MATCH(Parametres!$B$3,V$1:AG$1,0))*IF(OR(C625="L",C625="S",C625="I"),-1,1)</f>
        <v>5</v>
      </c>
      <c r="AY625" s="487" t="s">
        <v>337</v>
      </c>
      <c r="AZ625" s="487" t="str">
        <f>+VLOOKUP($AJ625,Data_Validation!$A:$E,5,0)</f>
        <v>Oui</v>
      </c>
    </row>
    <row r="626" spans="1:52" ht="15" customHeight="1">
      <c r="A626" s="706" t="s">
        <v>1148</v>
      </c>
      <c r="B626" s="706">
        <v>2026</v>
      </c>
      <c r="C626" s="706" t="s">
        <v>2327</v>
      </c>
      <c r="D626" s="706" t="s">
        <v>2328</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G42820</v>
      </c>
      <c r="AK626" s="905" t="str">
        <f t="shared" si="61"/>
        <v>VTES-TRAIL BALSER/EXT-LOC</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G42820</v>
      </c>
      <c r="AU626" s="488" t="str">
        <f t="shared" si="58"/>
        <v>VTES-TRAIL BALSER/EXT-LOC</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customHeight="1">
      <c r="A627" s="706" t="s">
        <v>1148</v>
      </c>
      <c r="B627" s="706">
        <v>2026</v>
      </c>
      <c r="C627" s="706" t="s">
        <v>2329</v>
      </c>
      <c r="D627" s="706" t="s">
        <v>2330</v>
      </c>
      <c r="E627" s="706" t="s">
        <v>1149</v>
      </c>
      <c r="F627" s="706" t="s">
        <v>1149</v>
      </c>
      <c r="G627" s="706">
        <v>168379.09</v>
      </c>
      <c r="H627" s="706">
        <v>262448.33</v>
      </c>
      <c r="I627" s="706">
        <v>360576.65</v>
      </c>
      <c r="J627" s="706">
        <v>483517.66</v>
      </c>
      <c r="K627" s="706">
        <v>549168.63</v>
      </c>
      <c r="L627" s="706">
        <v>579311.63</v>
      </c>
      <c r="M627" s="706">
        <v>646798.6</v>
      </c>
      <c r="N627" s="706">
        <v>0</v>
      </c>
      <c r="O627" s="706">
        <v>0</v>
      </c>
      <c r="P627" s="706">
        <v>0</v>
      </c>
      <c r="Q627" s="706">
        <v>0</v>
      </c>
      <c r="R627" s="706">
        <v>0</v>
      </c>
      <c r="S627" s="706">
        <v>96551.94</v>
      </c>
      <c r="T627" s="706">
        <v>96551.94</v>
      </c>
      <c r="U627" s="706">
        <v>0</v>
      </c>
      <c r="V627" s="706">
        <v>5</v>
      </c>
      <c r="W627" s="706">
        <v>8</v>
      </c>
      <c r="X627" s="706">
        <v>11</v>
      </c>
      <c r="Y627" s="706">
        <v>15</v>
      </c>
      <c r="Z627" s="706">
        <v>17</v>
      </c>
      <c r="AA627" s="706">
        <v>18</v>
      </c>
      <c r="AB627" s="706">
        <v>20</v>
      </c>
      <c r="AC627" s="706">
        <v>0</v>
      </c>
      <c r="AD627" s="706">
        <v>0</v>
      </c>
      <c r="AE627" s="706">
        <v>0</v>
      </c>
      <c r="AF627" s="706">
        <v>0</v>
      </c>
      <c r="AG627" s="706">
        <v>0</v>
      </c>
      <c r="AH627" s="706">
        <v>3</v>
      </c>
      <c r="AI627" s="706">
        <v>3</v>
      </c>
      <c r="AJ627" s="905" t="str">
        <f t="shared" si="60"/>
        <v>G42850</v>
      </c>
      <c r="AK627" s="905" t="str">
        <f t="shared" si="61"/>
        <v>VENTES CHEVROLET TRAX</v>
      </c>
      <c r="AL627" s="905">
        <f>IFERROR(INDEX(G627:R627,1,MATCH(Parametres!$B$3,G$1:R$1,0)-1)*IF(OR(F627="L",F627="S",F627="I"),-1,1),"")</f>
        <v>-549168.63</v>
      </c>
      <c r="AM627" s="1047">
        <f t="shared" si="56"/>
        <v>-30143</v>
      </c>
      <c r="AN627" s="905">
        <f>INDEX(G627:R627,1,MATCH(Parametres!$B$3,G$1:R$1,0))*IF(OR(F627="L",F627="S",F627="I"),-1,1)</f>
        <v>-579311.63</v>
      </c>
      <c r="AO627" s="487" t="str">
        <f>+VLOOKUP($AJ627,Data_Validation!$A:$D,1,0)</f>
        <v>G42850</v>
      </c>
      <c r="AP627" s="487" t="str">
        <f>+VLOOKUP($AJ627,Data_Validation!$A:$D,3,0)</f>
        <v>Véhicules neufs</v>
      </c>
      <c r="AQ627" s="487" t="str">
        <f>+VLOOKUP($AJ627,Data_Validation!$A:$D,4,0)</f>
        <v>Camions détail</v>
      </c>
      <c r="AR627" s="487" t="s">
        <v>299</v>
      </c>
      <c r="AS627" s="487" t="str">
        <f>+VLOOKUP($AJ627,Data_Validation!$A:$E,5,0)</f>
        <v>Oui</v>
      </c>
      <c r="AT627" s="904" t="str">
        <f t="shared" si="57"/>
        <v>G42850</v>
      </c>
      <c r="AU627" s="488" t="str">
        <f t="shared" si="58"/>
        <v>VENTES CHEVROLET TRAX</v>
      </c>
      <c r="AV627" s="899">
        <f>IFERROR(INDEX(V627:AG627,1,MATCH(Parametres!$B$3,V$1:AG$1,0)-1)*IF(OR(C627="L",C627="S",C627="I"),-1,1),"")</f>
        <v>17</v>
      </c>
      <c r="AW627" s="899">
        <f t="shared" si="59"/>
        <v>1</v>
      </c>
      <c r="AX627" s="899">
        <f>INDEX(V627:AG627,1,MATCH(Parametres!$B$3,V$1:AG$1,0))*IF(OR(C627="L",C627="S",C627="I"),-1,1)</f>
        <v>18</v>
      </c>
      <c r="AY627" s="487" t="s">
        <v>337</v>
      </c>
      <c r="AZ627" s="487" t="str">
        <f>+VLOOKUP($AJ627,Data_Validation!$A:$E,5,0)</f>
        <v>Oui</v>
      </c>
    </row>
    <row r="628" spans="1:52" ht="15" customHeight="1">
      <c r="A628" s="706" t="s">
        <v>1148</v>
      </c>
      <c r="B628" s="706">
        <v>2026</v>
      </c>
      <c r="C628" s="706" t="s">
        <v>2331</v>
      </c>
      <c r="D628" s="706" t="s">
        <v>2332</v>
      </c>
      <c r="E628" s="706" t="s">
        <v>1149</v>
      </c>
      <c r="F628" s="706" t="s">
        <v>1149</v>
      </c>
      <c r="G628" s="706">
        <v>287291.71999999997</v>
      </c>
      <c r="H628" s="706">
        <v>383345.72</v>
      </c>
      <c r="I628" s="706">
        <v>648665.23</v>
      </c>
      <c r="J628" s="706">
        <v>648665.23</v>
      </c>
      <c r="K628" s="706">
        <v>719273.23</v>
      </c>
      <c r="L628" s="706">
        <v>908769.62</v>
      </c>
      <c r="M628" s="706">
        <v>908769.62</v>
      </c>
      <c r="N628" s="706">
        <v>0</v>
      </c>
      <c r="O628" s="706">
        <v>0</v>
      </c>
      <c r="P628" s="706">
        <v>0</v>
      </c>
      <c r="Q628" s="706">
        <v>0</v>
      </c>
      <c r="R628" s="706">
        <v>0</v>
      </c>
      <c r="S628" s="706">
        <v>151461.6</v>
      </c>
      <c r="T628" s="706">
        <v>151461.6</v>
      </c>
      <c r="U628" s="706">
        <v>0</v>
      </c>
      <c r="V628" s="706">
        <v>3</v>
      </c>
      <c r="W628" s="706">
        <v>4</v>
      </c>
      <c r="X628" s="706">
        <v>7</v>
      </c>
      <c r="Y628" s="706">
        <v>7</v>
      </c>
      <c r="Z628" s="706">
        <v>8</v>
      </c>
      <c r="AA628" s="706">
        <v>10</v>
      </c>
      <c r="AB628" s="706">
        <v>10</v>
      </c>
      <c r="AC628" s="706">
        <v>0</v>
      </c>
      <c r="AD628" s="706">
        <v>0</v>
      </c>
      <c r="AE628" s="706">
        <v>0</v>
      </c>
      <c r="AF628" s="706">
        <v>0</v>
      </c>
      <c r="AG628" s="706">
        <v>0</v>
      </c>
      <c r="AH628" s="706">
        <v>2</v>
      </c>
      <c r="AI628" s="706">
        <v>2</v>
      </c>
      <c r="AJ628" s="905" t="str">
        <f t="shared" si="60"/>
        <v>G42900</v>
      </c>
      <c r="AK628" s="905" t="str">
        <f t="shared" si="61"/>
        <v>VTES-TAHOE/SUBURBAN</v>
      </c>
      <c r="AL628" s="905">
        <f>IFERROR(INDEX(G628:R628,1,MATCH(Parametres!$B$3,G$1:R$1,0)-1)*IF(OR(F628="L",F628="S",F628="I"),-1,1),"")</f>
        <v>-719273.23</v>
      </c>
      <c r="AM628" s="1047">
        <f t="shared" si="56"/>
        <v>-189496.39</v>
      </c>
      <c r="AN628" s="905">
        <f>INDEX(G628:R628,1,MATCH(Parametres!$B$3,G$1:R$1,0))*IF(OR(F628="L",F628="S",F628="I"),-1,1)</f>
        <v>-908769.62</v>
      </c>
      <c r="AO628" s="487" t="str">
        <f>+VLOOKUP($AJ628,Data_Validation!$A:$D,1,0)</f>
        <v>G42900</v>
      </c>
      <c r="AP628" s="487" t="str">
        <f>+VLOOKUP($AJ628,Data_Validation!$A:$D,3,0)</f>
        <v>Véhicules neufs</v>
      </c>
      <c r="AQ628" s="487" t="str">
        <f>+VLOOKUP($AJ628,Data_Validation!$A:$D,4,0)</f>
        <v>Camions détail</v>
      </c>
      <c r="AR628" s="487" t="s">
        <v>299</v>
      </c>
      <c r="AS628" s="487" t="str">
        <f>+VLOOKUP($AJ628,Data_Validation!$A:$E,5,0)</f>
        <v>Oui</v>
      </c>
      <c r="AT628" s="904" t="str">
        <f t="shared" si="57"/>
        <v>G42900</v>
      </c>
      <c r="AU628" s="488" t="str">
        <f t="shared" si="58"/>
        <v>VTES-TAHOE/SUBURBAN</v>
      </c>
      <c r="AV628" s="899">
        <f>IFERROR(INDEX(V628:AG628,1,MATCH(Parametres!$B$3,V$1:AG$1,0)-1)*IF(OR(C628="L",C628="S",C628="I"),-1,1),"")</f>
        <v>8</v>
      </c>
      <c r="AW628" s="899">
        <f t="shared" si="59"/>
        <v>2</v>
      </c>
      <c r="AX628" s="899">
        <f>INDEX(V628:AG628,1,MATCH(Parametres!$B$3,V$1:AG$1,0))*IF(OR(C628="L",C628="S",C628="I"),-1,1)</f>
        <v>10</v>
      </c>
      <c r="AY628" s="487" t="s">
        <v>337</v>
      </c>
      <c r="AZ628" s="487" t="str">
        <f>+VLOOKUP($AJ628,Data_Validation!$A:$E,5,0)</f>
        <v>Oui</v>
      </c>
    </row>
    <row r="629" spans="1:52" ht="15" customHeight="1">
      <c r="A629" s="706" t="s">
        <v>1148</v>
      </c>
      <c r="B629" s="706">
        <v>2026</v>
      </c>
      <c r="C629" s="706" t="s">
        <v>2333</v>
      </c>
      <c r="D629" s="706" t="s">
        <v>2334</v>
      </c>
      <c r="E629" s="706" t="s">
        <v>1149</v>
      </c>
      <c r="F629" s="706" t="s">
        <v>1149</v>
      </c>
      <c r="G629" s="706">
        <v>289436.21999999997</v>
      </c>
      <c r="H629" s="706">
        <v>585097.43999999994</v>
      </c>
      <c r="I629" s="706">
        <v>1072442.8400000001</v>
      </c>
      <c r="J629" s="706">
        <v>1373843.79</v>
      </c>
      <c r="K629" s="706">
        <v>1836796.65</v>
      </c>
      <c r="L629" s="706">
        <v>2376096.3199999998</v>
      </c>
      <c r="M629" s="706">
        <v>2376096.3199999998</v>
      </c>
      <c r="N629" s="706">
        <v>0</v>
      </c>
      <c r="O629" s="706">
        <v>0</v>
      </c>
      <c r="P629" s="706">
        <v>0</v>
      </c>
      <c r="Q629" s="706">
        <v>0</v>
      </c>
      <c r="R629" s="706">
        <v>0</v>
      </c>
      <c r="S629" s="706">
        <v>396016.05</v>
      </c>
      <c r="T629" s="706">
        <v>396016.05</v>
      </c>
      <c r="U629" s="706">
        <v>0</v>
      </c>
      <c r="V629" s="706">
        <v>4</v>
      </c>
      <c r="W629" s="706">
        <v>8</v>
      </c>
      <c r="X629" s="706">
        <v>14</v>
      </c>
      <c r="Y629" s="706">
        <v>18</v>
      </c>
      <c r="Z629" s="706">
        <v>24</v>
      </c>
      <c r="AA629" s="706">
        <v>31</v>
      </c>
      <c r="AB629" s="706">
        <v>31</v>
      </c>
      <c r="AC629" s="706">
        <v>0</v>
      </c>
      <c r="AD629" s="706">
        <v>0</v>
      </c>
      <c r="AE629" s="706">
        <v>0</v>
      </c>
      <c r="AF629" s="706">
        <v>0</v>
      </c>
      <c r="AG629" s="706">
        <v>0</v>
      </c>
      <c r="AH629" s="706">
        <v>5</v>
      </c>
      <c r="AI629" s="706">
        <v>5</v>
      </c>
      <c r="AJ629" s="905" t="str">
        <f t="shared" si="60"/>
        <v>G43000</v>
      </c>
      <c r="AK629" s="905" t="str">
        <f t="shared" si="61"/>
        <v>VTES-CL 1500 SILVERADO</v>
      </c>
      <c r="AL629" s="905">
        <f>IFERROR(INDEX(G629:R629,1,MATCH(Parametres!$B$3,G$1:R$1,0)-1)*IF(OR(F629="L",F629="S",F629="I"),-1,1),"")</f>
        <v>-1836796.65</v>
      </c>
      <c r="AM629" s="1047">
        <f t="shared" si="56"/>
        <v>-539299.66999999993</v>
      </c>
      <c r="AN629" s="905">
        <f>INDEX(G629:R629,1,MATCH(Parametres!$B$3,G$1:R$1,0))*IF(OR(F629="L",F629="S",F629="I"),-1,1)</f>
        <v>-2376096.3199999998</v>
      </c>
      <c r="AO629" s="487" t="str">
        <f>+VLOOKUP($AJ629,Data_Validation!$A:$D,1,0)</f>
        <v>G43000</v>
      </c>
      <c r="AP629" s="487" t="str">
        <f>+VLOOKUP($AJ629,Data_Validation!$A:$D,3,0)</f>
        <v>Véhicules neufs</v>
      </c>
      <c r="AQ629" s="487" t="str">
        <f>+VLOOKUP($AJ629,Data_Validation!$A:$D,4,0)</f>
        <v>Camions détail</v>
      </c>
      <c r="AR629" s="487" t="s">
        <v>299</v>
      </c>
      <c r="AS629" s="487" t="str">
        <f>+VLOOKUP($AJ629,Data_Validation!$A:$E,5,0)</f>
        <v>Oui</v>
      </c>
      <c r="AT629" s="904" t="str">
        <f t="shared" si="57"/>
        <v>G43000</v>
      </c>
      <c r="AU629" s="488" t="str">
        <f t="shared" si="58"/>
        <v>VTES-CL 1500 SILVERADO</v>
      </c>
      <c r="AV629" s="899">
        <f>IFERROR(INDEX(V629:AG629,1,MATCH(Parametres!$B$3,V$1:AG$1,0)-1)*IF(OR(C629="L",C629="S",C629="I"),-1,1),"")</f>
        <v>24</v>
      </c>
      <c r="AW629" s="899">
        <f t="shared" si="59"/>
        <v>7</v>
      </c>
      <c r="AX629" s="899">
        <f>INDEX(V629:AG629,1,MATCH(Parametres!$B$3,V$1:AG$1,0))*IF(OR(C629="L",C629="S",C629="I"),-1,1)</f>
        <v>31</v>
      </c>
      <c r="AY629" s="487" t="s">
        <v>337</v>
      </c>
      <c r="AZ629" s="487" t="str">
        <f>+VLOOKUP($AJ629,Data_Validation!$A:$E,5,0)</f>
        <v>Oui</v>
      </c>
    </row>
    <row r="630" spans="1:52" ht="15" customHeight="1">
      <c r="A630" s="706" t="s">
        <v>1148</v>
      </c>
      <c r="B630" s="706">
        <v>2026</v>
      </c>
      <c r="C630" s="706" t="s">
        <v>2335</v>
      </c>
      <c r="D630" s="706" t="s">
        <v>2336</v>
      </c>
      <c r="E630" s="706" t="s">
        <v>1149</v>
      </c>
      <c r="F630" s="706" t="s">
        <v>1149</v>
      </c>
      <c r="G630" s="706">
        <v>0</v>
      </c>
      <c r="H630" s="706">
        <v>0</v>
      </c>
      <c r="I630" s="706">
        <v>0</v>
      </c>
      <c r="J630" s="706">
        <v>223630.12</v>
      </c>
      <c r="K630" s="706">
        <v>223630.12</v>
      </c>
      <c r="L630" s="706">
        <v>223630.12</v>
      </c>
      <c r="M630" s="706">
        <v>223630.12</v>
      </c>
      <c r="N630" s="706">
        <v>0</v>
      </c>
      <c r="O630" s="706">
        <v>0</v>
      </c>
      <c r="P630" s="706">
        <v>0</v>
      </c>
      <c r="Q630" s="706">
        <v>0</v>
      </c>
      <c r="R630" s="706">
        <v>0</v>
      </c>
      <c r="S630" s="706">
        <v>37271.69</v>
      </c>
      <c r="T630" s="706">
        <v>37271.69</v>
      </c>
      <c r="U630" s="706">
        <v>0</v>
      </c>
      <c r="V630" s="706">
        <v>0</v>
      </c>
      <c r="W630" s="706">
        <v>0</v>
      </c>
      <c r="X630" s="706">
        <v>0</v>
      </c>
      <c r="Y630" s="706">
        <v>2</v>
      </c>
      <c r="Z630" s="706">
        <v>2</v>
      </c>
      <c r="AA630" s="706">
        <v>2</v>
      </c>
      <c r="AB630" s="706">
        <v>2</v>
      </c>
      <c r="AC630" s="706">
        <v>0</v>
      </c>
      <c r="AD630" s="706">
        <v>0</v>
      </c>
      <c r="AE630" s="706">
        <v>0</v>
      </c>
      <c r="AF630" s="706">
        <v>0</v>
      </c>
      <c r="AG630" s="706">
        <v>0</v>
      </c>
      <c r="AH630" s="706">
        <v>0</v>
      </c>
      <c r="AI630" s="706">
        <v>0</v>
      </c>
      <c r="AJ630" s="905" t="str">
        <f t="shared" si="60"/>
        <v>G43001</v>
      </c>
      <c r="AK630" s="905" t="str">
        <f t="shared" si="61"/>
        <v>VTES - SILVERADO EV</v>
      </c>
      <c r="AL630" s="905">
        <f>IFERROR(INDEX(G630:R630,1,MATCH(Parametres!$B$3,G$1:R$1,0)-1)*IF(OR(F630="L",F630="S",F630="I"),-1,1),"")</f>
        <v>-223630.12</v>
      </c>
      <c r="AM630" s="905">
        <f t="shared" si="56"/>
        <v>0</v>
      </c>
      <c r="AN630" s="905">
        <f>INDEX(G630:R630,1,MATCH(Parametres!$B$3,G$1:R$1,0))*IF(OR(F630="L",F630="S",F630="I"),-1,1)</f>
        <v>-223630.12</v>
      </c>
      <c r="AO630" s="487" t="str">
        <f>+VLOOKUP($AJ630,Data_Validation!$A:$D,1,0)</f>
        <v>G43001</v>
      </c>
      <c r="AP630" s="487" t="str">
        <f>+VLOOKUP($AJ630,Data_Validation!$A:$D,3,0)</f>
        <v>Véhicules neufs</v>
      </c>
      <c r="AQ630" s="487" t="str">
        <f>+VLOOKUP($AJ630,Data_Validation!$A:$D,4,0)</f>
        <v>Camions electriques</v>
      </c>
      <c r="AR630" s="487" t="s">
        <v>299</v>
      </c>
      <c r="AS630" s="487" t="str">
        <f>+VLOOKUP($AJ630,Data_Validation!$A:$E,5,0)</f>
        <v>Oui</v>
      </c>
      <c r="AT630" s="904" t="str">
        <f t="shared" si="57"/>
        <v>G43001</v>
      </c>
      <c r="AU630" s="488" t="str">
        <f t="shared" si="58"/>
        <v>VTES - SILVERADO EV</v>
      </c>
      <c r="AV630" s="899">
        <f>IFERROR(INDEX(V630:AG630,1,MATCH(Parametres!$B$3,V$1:AG$1,0)-1)*IF(OR(C630="L",C630="S",C630="I"),-1,1),"")</f>
        <v>2</v>
      </c>
      <c r="AW630" s="899">
        <f t="shared" si="59"/>
        <v>0</v>
      </c>
      <c r="AX630" s="899">
        <f>INDEX(V630:AG630,1,MATCH(Parametres!$B$3,V$1:AG$1,0))*IF(OR(C630="L",C630="S",C630="I"),-1,1)</f>
        <v>2</v>
      </c>
      <c r="AY630" s="487" t="s">
        <v>337</v>
      </c>
      <c r="AZ630" s="487" t="str">
        <f>+VLOOKUP($AJ630,Data_Validation!$A:$E,5,0)</f>
        <v>Oui</v>
      </c>
    </row>
    <row r="631" spans="1:52" ht="15" customHeight="1">
      <c r="A631" s="706" t="s">
        <v>1148</v>
      </c>
      <c r="B631" s="706">
        <v>2026</v>
      </c>
      <c r="C631" s="706" t="s">
        <v>2337</v>
      </c>
      <c r="D631" s="706" t="s">
        <v>2338</v>
      </c>
      <c r="E631" s="706" t="s">
        <v>1149</v>
      </c>
      <c r="F631" s="706" t="s">
        <v>1149</v>
      </c>
      <c r="G631" s="706">
        <v>98800</v>
      </c>
      <c r="H631" s="706">
        <v>416993.4</v>
      </c>
      <c r="I631" s="706">
        <v>761414.4</v>
      </c>
      <c r="J631" s="706">
        <v>761414.4</v>
      </c>
      <c r="K631" s="706">
        <v>1002240.95</v>
      </c>
      <c r="L631" s="706">
        <v>1426646.45</v>
      </c>
      <c r="M631" s="706">
        <v>1426646.45</v>
      </c>
      <c r="N631" s="706">
        <v>0</v>
      </c>
      <c r="O631" s="706">
        <v>0</v>
      </c>
      <c r="P631" s="706">
        <v>0</v>
      </c>
      <c r="Q631" s="706">
        <v>0</v>
      </c>
      <c r="R631" s="706">
        <v>0</v>
      </c>
      <c r="S631" s="706">
        <v>237774.41</v>
      </c>
      <c r="T631" s="706">
        <v>237774.41</v>
      </c>
      <c r="U631" s="706">
        <v>0</v>
      </c>
      <c r="V631" s="706">
        <v>1</v>
      </c>
      <c r="W631" s="706">
        <v>4</v>
      </c>
      <c r="X631" s="706">
        <v>7</v>
      </c>
      <c r="Y631" s="706">
        <v>7</v>
      </c>
      <c r="Z631" s="706">
        <v>9</v>
      </c>
      <c r="AA631" s="706">
        <v>13</v>
      </c>
      <c r="AB631" s="706">
        <v>13</v>
      </c>
      <c r="AC631" s="706">
        <v>0</v>
      </c>
      <c r="AD631" s="706">
        <v>0</v>
      </c>
      <c r="AE631" s="706">
        <v>0</v>
      </c>
      <c r="AF631" s="706">
        <v>0</v>
      </c>
      <c r="AG631" s="706">
        <v>0</v>
      </c>
      <c r="AH631" s="706">
        <v>2</v>
      </c>
      <c r="AI631" s="706">
        <v>2</v>
      </c>
      <c r="AJ631" s="905" t="str">
        <f t="shared" si="60"/>
        <v>G43002</v>
      </c>
      <c r="AK631" s="905" t="str">
        <f t="shared" si="61"/>
        <v>VENTES - YUKON</v>
      </c>
      <c r="AL631" s="905">
        <f>IFERROR(INDEX(G631:R631,1,MATCH(Parametres!$B$3,G$1:R$1,0)-1)*IF(OR(F631="L",F631="S",F631="I"),-1,1),"")</f>
        <v>-1002240.95</v>
      </c>
      <c r="AM631" s="1047">
        <f t="shared" si="56"/>
        <v>-424405.5</v>
      </c>
      <c r="AN631" s="905">
        <f>INDEX(G631:R631,1,MATCH(Parametres!$B$3,G$1:R$1,0))*IF(OR(F631="L",F631="S",F631="I"),-1,1)</f>
        <v>-1426646.45</v>
      </c>
      <c r="AO631" s="487" t="str">
        <f>+VLOOKUP($AJ631,Data_Validation!$A:$D,1,0)</f>
        <v>G43002</v>
      </c>
      <c r="AP631" s="487" t="str">
        <f>+VLOOKUP($AJ631,Data_Validation!$A:$D,3,0)</f>
        <v>Véhicules neufs</v>
      </c>
      <c r="AQ631" s="487" t="str">
        <f>+VLOOKUP($AJ631,Data_Validation!$A:$D,4,0)</f>
        <v>Camions détail</v>
      </c>
      <c r="AR631" s="487" t="s">
        <v>299</v>
      </c>
      <c r="AS631" s="487" t="str">
        <f>+VLOOKUP($AJ631,Data_Validation!$A:$E,5,0)</f>
        <v>Oui</v>
      </c>
      <c r="AT631" s="904" t="str">
        <f t="shared" si="57"/>
        <v>G43002</v>
      </c>
      <c r="AU631" s="488" t="str">
        <f t="shared" si="58"/>
        <v>VENTES - YUKON</v>
      </c>
      <c r="AV631" s="899">
        <f>IFERROR(INDEX(V631:AG631,1,MATCH(Parametres!$B$3,V$1:AG$1,0)-1)*IF(OR(C631="L",C631="S",C631="I"),-1,1),"")</f>
        <v>9</v>
      </c>
      <c r="AW631" s="899">
        <f t="shared" si="59"/>
        <v>4</v>
      </c>
      <c r="AX631" s="899">
        <f>INDEX(V631:AG631,1,MATCH(Parametres!$B$3,V$1:AG$1,0))*IF(OR(C631="L",C631="S",C631="I"),-1,1)</f>
        <v>13</v>
      </c>
      <c r="AY631" s="487" t="s">
        <v>337</v>
      </c>
      <c r="AZ631" s="487" t="str">
        <f>+VLOOKUP($AJ631,Data_Validation!$A:$E,5,0)</f>
        <v>Oui</v>
      </c>
    </row>
    <row r="632" spans="1:52" ht="15" customHeight="1">
      <c r="A632" s="706" t="s">
        <v>1148</v>
      </c>
      <c r="B632" s="706">
        <v>2026</v>
      </c>
      <c r="C632" s="706" t="s">
        <v>2339</v>
      </c>
      <c r="D632" s="706" t="s">
        <v>2340</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G43020</v>
      </c>
      <c r="AK632" s="905" t="str">
        <f t="shared" si="61"/>
        <v>CL 1500 SILVERADO    -LOC</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G43020</v>
      </c>
      <c r="AU632" s="488" t="str">
        <f t="shared" si="58"/>
        <v>CL 1500 SILVERADO    -LOC</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customHeight="1">
      <c r="A633" s="706" t="s">
        <v>1148</v>
      </c>
      <c r="B633" s="706">
        <v>2026</v>
      </c>
      <c r="C633" s="706" t="s">
        <v>2341</v>
      </c>
      <c r="D633" s="706" t="s">
        <v>2342</v>
      </c>
      <c r="E633" s="706" t="s">
        <v>1149</v>
      </c>
      <c r="F633" s="706" t="s">
        <v>1149</v>
      </c>
      <c r="G633" s="706">
        <v>99462.5</v>
      </c>
      <c r="H633" s="706">
        <v>300736.38</v>
      </c>
      <c r="I633" s="706">
        <v>699613.48</v>
      </c>
      <c r="J633" s="706">
        <v>699613.48</v>
      </c>
      <c r="K633" s="706">
        <v>797713.35</v>
      </c>
      <c r="L633" s="706">
        <v>900846.35</v>
      </c>
      <c r="M633" s="706">
        <v>900846.35</v>
      </c>
      <c r="N633" s="706">
        <v>0</v>
      </c>
      <c r="O633" s="706">
        <v>0</v>
      </c>
      <c r="P633" s="706">
        <v>0</v>
      </c>
      <c r="Q633" s="706">
        <v>0</v>
      </c>
      <c r="R633" s="706">
        <v>0</v>
      </c>
      <c r="S633" s="706">
        <v>150141.06</v>
      </c>
      <c r="T633" s="706">
        <v>150141.06</v>
      </c>
      <c r="U633" s="706">
        <v>0</v>
      </c>
      <c r="V633" s="706">
        <v>1</v>
      </c>
      <c r="W633" s="706">
        <v>3</v>
      </c>
      <c r="X633" s="706">
        <v>7</v>
      </c>
      <c r="Y633" s="706">
        <v>7</v>
      </c>
      <c r="Z633" s="706">
        <v>8</v>
      </c>
      <c r="AA633" s="706">
        <v>9</v>
      </c>
      <c r="AB633" s="706">
        <v>9</v>
      </c>
      <c r="AC633" s="706">
        <v>0</v>
      </c>
      <c r="AD633" s="706">
        <v>0</v>
      </c>
      <c r="AE633" s="706">
        <v>0</v>
      </c>
      <c r="AF633" s="706">
        <v>0</v>
      </c>
      <c r="AG633" s="706">
        <v>0</v>
      </c>
      <c r="AH633" s="706">
        <v>2</v>
      </c>
      <c r="AI633" s="706">
        <v>2</v>
      </c>
      <c r="AJ633" s="905" t="str">
        <f t="shared" si="60"/>
        <v>G43100</v>
      </c>
      <c r="AK633" s="905" t="str">
        <f t="shared" si="61"/>
        <v>VTES-CL 2500 SILVERADO</v>
      </c>
      <c r="AL633" s="905">
        <f>IFERROR(INDEX(G633:R633,1,MATCH(Parametres!$B$3,G$1:R$1,0)-1)*IF(OR(F633="L",F633="S",F633="I"),-1,1),"")</f>
        <v>-797713.35</v>
      </c>
      <c r="AM633" s="1047">
        <f t="shared" si="56"/>
        <v>-103133</v>
      </c>
      <c r="AN633" s="905">
        <f>INDEX(G633:R633,1,MATCH(Parametres!$B$3,G$1:R$1,0))*IF(OR(F633="L",F633="S",F633="I"),-1,1)</f>
        <v>-900846.35</v>
      </c>
      <c r="AO633" s="487" t="str">
        <f>+VLOOKUP($AJ633,Data_Validation!$A:$D,1,0)</f>
        <v>G43100</v>
      </c>
      <c r="AP633" s="487" t="str">
        <f>+VLOOKUP($AJ633,Data_Validation!$A:$D,3,0)</f>
        <v>Véhicules neufs</v>
      </c>
      <c r="AQ633" s="487" t="str">
        <f>+VLOOKUP($AJ633,Data_Validation!$A:$D,4,0)</f>
        <v>Camions détail</v>
      </c>
      <c r="AR633" s="487" t="s">
        <v>299</v>
      </c>
      <c r="AS633" s="487" t="str">
        <f>+VLOOKUP($AJ633,Data_Validation!$A:$E,5,0)</f>
        <v>Oui</v>
      </c>
      <c r="AT633" s="904" t="str">
        <f t="shared" si="57"/>
        <v>G43100</v>
      </c>
      <c r="AU633" s="488" t="str">
        <f t="shared" si="58"/>
        <v>VTES-CL 2500 SILVERADO</v>
      </c>
      <c r="AV633" s="899">
        <f>IFERROR(INDEX(V633:AG633,1,MATCH(Parametres!$B$3,V$1:AG$1,0)-1)*IF(OR(C633="L",C633="S",C633="I"),-1,1),"")</f>
        <v>8</v>
      </c>
      <c r="AW633" s="899">
        <f t="shared" si="59"/>
        <v>1</v>
      </c>
      <c r="AX633" s="899">
        <f>INDEX(V633:AG633,1,MATCH(Parametres!$B$3,V$1:AG$1,0))*IF(OR(C633="L",C633="S",C633="I"),-1,1)</f>
        <v>9</v>
      </c>
      <c r="AY633" s="487" t="s">
        <v>337</v>
      </c>
      <c r="AZ633" s="487" t="str">
        <f>+VLOOKUP($AJ633,Data_Validation!$A:$E,5,0)</f>
        <v>Oui</v>
      </c>
    </row>
    <row r="634" spans="1:52" ht="15" customHeight="1">
      <c r="A634" s="706" t="s">
        <v>1148</v>
      </c>
      <c r="B634" s="706">
        <v>2026</v>
      </c>
      <c r="C634" s="706" t="s">
        <v>2343</v>
      </c>
      <c r="D634" s="706" t="s">
        <v>2344</v>
      </c>
      <c r="E634" s="706" t="s">
        <v>1149</v>
      </c>
      <c r="F634" s="706" t="s">
        <v>1149</v>
      </c>
      <c r="G634" s="706">
        <v>151109.81</v>
      </c>
      <c r="H634" s="706">
        <v>552459.31000000006</v>
      </c>
      <c r="I634" s="706">
        <v>877349.59</v>
      </c>
      <c r="J634" s="706">
        <v>1661761.38</v>
      </c>
      <c r="K634" s="706">
        <v>2046401.16</v>
      </c>
      <c r="L634" s="706">
        <v>2212712.61</v>
      </c>
      <c r="M634" s="706">
        <v>2212712.61</v>
      </c>
      <c r="N634" s="706">
        <v>0</v>
      </c>
      <c r="O634" s="706">
        <v>0</v>
      </c>
      <c r="P634" s="706">
        <v>0</v>
      </c>
      <c r="Q634" s="706">
        <v>0</v>
      </c>
      <c r="R634" s="706">
        <v>0</v>
      </c>
      <c r="S634" s="706">
        <v>368785.44</v>
      </c>
      <c r="T634" s="706">
        <v>368785.44</v>
      </c>
      <c r="U634" s="706">
        <v>0</v>
      </c>
      <c r="V634" s="706">
        <v>2</v>
      </c>
      <c r="W634" s="706">
        <v>7</v>
      </c>
      <c r="X634" s="706">
        <v>11</v>
      </c>
      <c r="Y634" s="706">
        <v>21</v>
      </c>
      <c r="Z634" s="706">
        <v>26</v>
      </c>
      <c r="AA634" s="706">
        <v>28</v>
      </c>
      <c r="AB634" s="706">
        <v>28</v>
      </c>
      <c r="AC634" s="706">
        <v>0</v>
      </c>
      <c r="AD634" s="706">
        <v>0</v>
      </c>
      <c r="AE634" s="706">
        <v>0</v>
      </c>
      <c r="AF634" s="706">
        <v>0</v>
      </c>
      <c r="AG634" s="706">
        <v>0</v>
      </c>
      <c r="AH634" s="706">
        <v>5</v>
      </c>
      <c r="AI634" s="706">
        <v>5</v>
      </c>
      <c r="AJ634" s="905" t="str">
        <f t="shared" si="60"/>
        <v>G43102</v>
      </c>
      <c r="AK634" s="905" t="str">
        <f t="shared" si="61"/>
        <v>VENTE CL 1500 SIERRA</v>
      </c>
      <c r="AL634" s="905">
        <f>IFERROR(INDEX(G634:R634,1,MATCH(Parametres!$B$3,G$1:R$1,0)-1)*IF(OR(F634="L",F634="S",F634="I"),-1,1),"")</f>
        <v>-2046401.16</v>
      </c>
      <c r="AM634" s="1047">
        <f t="shared" si="56"/>
        <v>-166311.44999999995</v>
      </c>
      <c r="AN634" s="905">
        <f>INDEX(G634:R634,1,MATCH(Parametres!$B$3,G$1:R$1,0))*IF(OR(F634="L",F634="S",F634="I"),-1,1)</f>
        <v>-2212712.61</v>
      </c>
      <c r="AO634" s="487" t="str">
        <f>+VLOOKUP($AJ634,Data_Validation!$A:$D,1,0)</f>
        <v>G43102</v>
      </c>
      <c r="AP634" s="487" t="str">
        <f>+VLOOKUP($AJ634,Data_Validation!$A:$D,3,0)</f>
        <v>Véhicules neufs</v>
      </c>
      <c r="AQ634" s="487" t="str">
        <f>+VLOOKUP($AJ634,Data_Validation!$A:$D,4,0)</f>
        <v>Camions détail</v>
      </c>
      <c r="AR634" s="487" t="s">
        <v>299</v>
      </c>
      <c r="AS634" s="487" t="str">
        <f>+VLOOKUP($AJ634,Data_Validation!$A:$E,5,0)</f>
        <v>Oui</v>
      </c>
      <c r="AT634" s="904" t="str">
        <f t="shared" si="57"/>
        <v>G43102</v>
      </c>
      <c r="AU634" s="488" t="str">
        <f t="shared" si="58"/>
        <v>VENTE CL 1500 SIERRA</v>
      </c>
      <c r="AV634" s="899">
        <f>IFERROR(INDEX(V634:AG634,1,MATCH(Parametres!$B$3,V$1:AG$1,0)-1)*IF(OR(C634="L",C634="S",C634="I"),-1,1),"")</f>
        <v>26</v>
      </c>
      <c r="AW634" s="899">
        <f t="shared" si="59"/>
        <v>2</v>
      </c>
      <c r="AX634" s="899">
        <f>INDEX(V634:AG634,1,MATCH(Parametres!$B$3,V$1:AG$1,0))*IF(OR(C634="L",C634="S",C634="I"),-1,1)</f>
        <v>28</v>
      </c>
      <c r="AY634" s="487" t="s">
        <v>337</v>
      </c>
      <c r="AZ634" s="487" t="str">
        <f>+VLOOKUP($AJ634,Data_Validation!$A:$E,5,0)</f>
        <v>Oui</v>
      </c>
    </row>
    <row r="635" spans="1:52" ht="15" customHeight="1">
      <c r="A635" s="706" t="s">
        <v>1148</v>
      </c>
      <c r="B635" s="706">
        <v>2026</v>
      </c>
      <c r="C635" s="706" t="s">
        <v>2345</v>
      </c>
      <c r="D635" s="706" t="s">
        <v>2346</v>
      </c>
      <c r="E635" s="706" t="s">
        <v>1149</v>
      </c>
      <c r="F635" s="706" t="s">
        <v>1149</v>
      </c>
      <c r="G635" s="706">
        <v>112099</v>
      </c>
      <c r="H635" s="706">
        <v>220097</v>
      </c>
      <c r="I635" s="706">
        <v>220097</v>
      </c>
      <c r="J635" s="706">
        <v>332280.53999999998</v>
      </c>
      <c r="K635" s="706">
        <v>332280.53999999998</v>
      </c>
      <c r="L635" s="706">
        <v>427949.66</v>
      </c>
      <c r="M635" s="706">
        <v>427949.66</v>
      </c>
      <c r="N635" s="706">
        <v>0</v>
      </c>
      <c r="O635" s="706">
        <v>0</v>
      </c>
      <c r="P635" s="706">
        <v>0</v>
      </c>
      <c r="Q635" s="706">
        <v>0</v>
      </c>
      <c r="R635" s="706">
        <v>0</v>
      </c>
      <c r="S635" s="706">
        <v>71324.94</v>
      </c>
      <c r="T635" s="706">
        <v>71324.94</v>
      </c>
      <c r="U635" s="706">
        <v>0</v>
      </c>
      <c r="V635" s="706">
        <v>1</v>
      </c>
      <c r="W635" s="706">
        <v>2</v>
      </c>
      <c r="X635" s="706">
        <v>2</v>
      </c>
      <c r="Y635" s="706">
        <v>3</v>
      </c>
      <c r="Z635" s="706">
        <v>3</v>
      </c>
      <c r="AA635" s="706">
        <v>4</v>
      </c>
      <c r="AB635" s="706">
        <v>4</v>
      </c>
      <c r="AC635" s="706">
        <v>0</v>
      </c>
      <c r="AD635" s="706">
        <v>0</v>
      </c>
      <c r="AE635" s="706">
        <v>0</v>
      </c>
      <c r="AF635" s="706">
        <v>0</v>
      </c>
      <c r="AG635" s="706">
        <v>0</v>
      </c>
      <c r="AH635" s="706">
        <v>1</v>
      </c>
      <c r="AI635" s="706">
        <v>1</v>
      </c>
      <c r="AJ635" s="905" t="str">
        <f t="shared" si="60"/>
        <v>G43103</v>
      </c>
      <c r="AK635" s="905" t="str">
        <f t="shared" si="61"/>
        <v>VENTE - SIERRA EV</v>
      </c>
      <c r="AL635" s="905">
        <f>IFERROR(INDEX(G635:R635,1,MATCH(Parametres!$B$3,G$1:R$1,0)-1)*IF(OR(F635="L",F635="S",F635="I"),-1,1),"")</f>
        <v>-332280.53999999998</v>
      </c>
      <c r="AM635" s="1047">
        <f t="shared" si="56"/>
        <v>-95669.119999999995</v>
      </c>
      <c r="AN635" s="905">
        <f>INDEX(G635:R635,1,MATCH(Parametres!$B$3,G$1:R$1,0))*IF(OR(F635="L",F635="S",F635="I"),-1,1)</f>
        <v>-427949.66</v>
      </c>
      <c r="AO635" s="487" t="str">
        <f>+VLOOKUP($AJ635,Data_Validation!$A:$D,1,0)</f>
        <v>G43103</v>
      </c>
      <c r="AP635" s="487" t="str">
        <f>+VLOOKUP($AJ635,Data_Validation!$A:$D,3,0)</f>
        <v>Véhicules neufs</v>
      </c>
      <c r="AQ635" s="487" t="str">
        <f>+VLOOKUP($AJ635,Data_Validation!$A:$D,4,0)</f>
        <v>Camions electriques</v>
      </c>
      <c r="AR635" s="487" t="s">
        <v>299</v>
      </c>
      <c r="AS635" s="487" t="str">
        <f>+VLOOKUP($AJ635,Data_Validation!$A:$E,5,0)</f>
        <v>Oui</v>
      </c>
      <c r="AT635" s="904" t="str">
        <f t="shared" si="57"/>
        <v>G43103</v>
      </c>
      <c r="AU635" s="488" t="str">
        <f t="shared" si="58"/>
        <v>VENTE - SIERRA EV</v>
      </c>
      <c r="AV635" s="899">
        <f>IFERROR(INDEX(V635:AG635,1,MATCH(Parametres!$B$3,V$1:AG$1,0)-1)*IF(OR(C635="L",C635="S",C635="I"),-1,1),"")</f>
        <v>3</v>
      </c>
      <c r="AW635" s="899">
        <f t="shared" si="59"/>
        <v>1</v>
      </c>
      <c r="AX635" s="899">
        <f>INDEX(V635:AG635,1,MATCH(Parametres!$B$3,V$1:AG$1,0))*IF(OR(C635="L",C635="S",C635="I"),-1,1)</f>
        <v>4</v>
      </c>
      <c r="AY635" s="487" t="s">
        <v>337</v>
      </c>
      <c r="AZ635" s="487" t="str">
        <f>+VLOOKUP($AJ635,Data_Validation!$A:$E,5,0)</f>
        <v>Oui</v>
      </c>
    </row>
    <row r="636" spans="1:52" ht="15" customHeight="1">
      <c r="A636" s="706" t="s">
        <v>1148</v>
      </c>
      <c r="B636" s="706">
        <v>2026</v>
      </c>
      <c r="C636" s="706" t="s">
        <v>2347</v>
      </c>
      <c r="D636" s="706" t="s">
        <v>2348</v>
      </c>
      <c r="E636" s="706" t="s">
        <v>1149</v>
      </c>
      <c r="F636" s="706" t="s">
        <v>1149</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G43120</v>
      </c>
      <c r="AK636" s="905" t="str">
        <f t="shared" si="61"/>
        <v>VTES-CL 2500 SILVERAD-LOC</v>
      </c>
      <c r="AL636" s="905">
        <f>IFERROR(INDEX(G636:R636,1,MATCH(Parametres!$B$3,G$1:R$1,0)-1)*IF(OR(F636="L",F636="S",F636="I"),-1,1),"")</f>
        <v>0</v>
      </c>
      <c r="AM636" s="905">
        <f t="shared" si="56"/>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t="str">
        <f t="shared" si="57"/>
        <v>G43120</v>
      </c>
      <c r="AU636" s="488" t="str">
        <f t="shared" si="58"/>
        <v>VTES-CL 2500 SILVERAD-LOC</v>
      </c>
      <c r="AV636" s="899">
        <f>IFERROR(INDEX(V636:AG636,1,MATCH(Parametres!$B$3,V$1:AG$1,0)-1)*IF(OR(C636="L",C636="S",C636="I"),-1,1),"")</f>
        <v>0</v>
      </c>
      <c r="AW636" s="899">
        <f t="shared" si="59"/>
        <v>0</v>
      </c>
      <c r="AX636" s="899">
        <f>INDEX(V636:AG636,1,MATCH(Parametres!$B$3,V$1:AG$1,0))*IF(OR(C636="L",C636="S",C636="I"),-1,1)</f>
        <v>0</v>
      </c>
      <c r="AY636" s="487" t="s">
        <v>337</v>
      </c>
      <c r="AZ636" s="487" t="e">
        <f>+VLOOKUP($AJ636,Data_Validation!$A:$E,5,0)</f>
        <v>#N/A</v>
      </c>
    </row>
    <row r="637" spans="1:52" ht="15" customHeight="1">
      <c r="A637" s="706" t="s">
        <v>1148</v>
      </c>
      <c r="B637" s="706">
        <v>2026</v>
      </c>
      <c r="C637" s="706" t="s">
        <v>2349</v>
      </c>
      <c r="D637" s="706" t="s">
        <v>2350</v>
      </c>
      <c r="E637" s="706" t="s">
        <v>1149</v>
      </c>
      <c r="F637" s="706" t="s">
        <v>1149</v>
      </c>
      <c r="G637" s="706">
        <v>0</v>
      </c>
      <c r="H637" s="706">
        <v>0</v>
      </c>
      <c r="I637" s="706">
        <v>0</v>
      </c>
      <c r="J637" s="706">
        <v>0</v>
      </c>
      <c r="K637" s="706">
        <v>0</v>
      </c>
      <c r="L637" s="706">
        <v>0</v>
      </c>
      <c r="M637" s="706">
        <v>0</v>
      </c>
      <c r="N637" s="706">
        <v>0</v>
      </c>
      <c r="O637" s="706">
        <v>0</v>
      </c>
      <c r="P637" s="706">
        <v>0</v>
      </c>
      <c r="Q637" s="706">
        <v>0</v>
      </c>
      <c r="R637" s="706">
        <v>0</v>
      </c>
      <c r="S637" s="706">
        <v>0</v>
      </c>
      <c r="T637" s="706">
        <v>0</v>
      </c>
      <c r="U637" s="706">
        <v>0</v>
      </c>
      <c r="V637" s="706">
        <v>0</v>
      </c>
      <c r="W637" s="706">
        <v>0</v>
      </c>
      <c r="X637" s="706">
        <v>0</v>
      </c>
      <c r="Y637" s="706">
        <v>0</v>
      </c>
      <c r="Z637" s="706">
        <v>0</v>
      </c>
      <c r="AA637" s="706">
        <v>0</v>
      </c>
      <c r="AB637" s="706">
        <v>0</v>
      </c>
      <c r="AC637" s="706">
        <v>0</v>
      </c>
      <c r="AD637" s="706">
        <v>0</v>
      </c>
      <c r="AE637" s="706">
        <v>0</v>
      </c>
      <c r="AF637" s="706">
        <v>0</v>
      </c>
      <c r="AG637" s="706">
        <v>0</v>
      </c>
      <c r="AH637" s="706">
        <v>0</v>
      </c>
      <c r="AI637" s="706">
        <v>0</v>
      </c>
      <c r="AJ637" s="905" t="str">
        <f t="shared" si="60"/>
        <v>G43200</v>
      </c>
      <c r="AK637" s="905" t="str">
        <f t="shared" si="61"/>
        <v>VTES-CL 3500 SILVERADO</v>
      </c>
      <c r="AL637" s="905">
        <f>IFERROR(INDEX(G637:R637,1,MATCH(Parametres!$B$3,G$1:R$1,0)-1)*IF(OR(F637="L",F637="S",F637="I"),-1,1),"")</f>
        <v>0</v>
      </c>
      <c r="AM637" s="905">
        <f t="shared" si="56"/>
        <v>0</v>
      </c>
      <c r="AN637" s="905">
        <f>INDEX(G637:R637,1,MATCH(Parametres!$B$3,G$1:R$1,0))*IF(OR(F637="L",F637="S",F637="I"),-1,1)</f>
        <v>0</v>
      </c>
      <c r="AO637" s="487" t="str">
        <f>+VLOOKUP($AJ637,Data_Validation!$A:$D,1,0)</f>
        <v>G43200</v>
      </c>
      <c r="AP637" s="487" t="str">
        <f>+VLOOKUP($AJ637,Data_Validation!$A:$D,3,0)</f>
        <v>Véhicules neufs</v>
      </c>
      <c r="AQ637" s="487" t="str">
        <f>+VLOOKUP($AJ637,Data_Validation!$A:$D,4,0)</f>
        <v>Camions détail</v>
      </c>
      <c r="AR637" s="487" t="s">
        <v>299</v>
      </c>
      <c r="AS637" s="487" t="str">
        <f>+VLOOKUP($AJ637,Data_Validation!$A:$E,5,0)</f>
        <v>Oui</v>
      </c>
      <c r="AT637" s="904" t="str">
        <f t="shared" si="57"/>
        <v>G43200</v>
      </c>
      <c r="AU637" s="488" t="str">
        <f t="shared" si="58"/>
        <v>VTES-CL 3500 SILVERADO</v>
      </c>
      <c r="AV637" s="899">
        <f>IFERROR(INDEX(V637:AG637,1,MATCH(Parametres!$B$3,V$1:AG$1,0)-1)*IF(OR(C637="L",C637="S",C637="I"),-1,1),"")</f>
        <v>0</v>
      </c>
      <c r="AW637" s="899">
        <f t="shared" si="59"/>
        <v>0</v>
      </c>
      <c r="AX637" s="899">
        <f>INDEX(V637:AG637,1,MATCH(Parametres!$B$3,V$1:AG$1,0))*IF(OR(C637="L",C637="S",C637="I"),-1,1)</f>
        <v>0</v>
      </c>
      <c r="AY637" s="487" t="s">
        <v>337</v>
      </c>
      <c r="AZ637" s="487" t="str">
        <f>+VLOOKUP($AJ637,Data_Validation!$A:$E,5,0)</f>
        <v>Oui</v>
      </c>
    </row>
    <row r="638" spans="1:52" ht="15" customHeight="1">
      <c r="A638" s="706" t="s">
        <v>1148</v>
      </c>
      <c r="B638" s="706">
        <v>2026</v>
      </c>
      <c r="C638" s="706" t="s">
        <v>2351</v>
      </c>
      <c r="D638" s="706" t="s">
        <v>2352</v>
      </c>
      <c r="E638" s="706" t="s">
        <v>1149</v>
      </c>
      <c r="F638" s="706" t="s">
        <v>1149</v>
      </c>
      <c r="G638" s="706">
        <v>335187.62</v>
      </c>
      <c r="H638" s="706">
        <v>335187.62</v>
      </c>
      <c r="I638" s="706">
        <v>550751.96</v>
      </c>
      <c r="J638" s="706">
        <v>988047.33</v>
      </c>
      <c r="K638" s="706">
        <v>1385656.33</v>
      </c>
      <c r="L638" s="706">
        <v>1507893.33</v>
      </c>
      <c r="M638" s="706">
        <v>1507893.33</v>
      </c>
      <c r="N638" s="706">
        <v>0</v>
      </c>
      <c r="O638" s="706">
        <v>0</v>
      </c>
      <c r="P638" s="706">
        <v>0</v>
      </c>
      <c r="Q638" s="706">
        <v>0</v>
      </c>
      <c r="R638" s="706">
        <v>0</v>
      </c>
      <c r="S638" s="706">
        <v>251315.56</v>
      </c>
      <c r="T638" s="706">
        <v>251315.56</v>
      </c>
      <c r="U638" s="706">
        <v>0</v>
      </c>
      <c r="V638" s="706">
        <v>3</v>
      </c>
      <c r="W638" s="706">
        <v>3</v>
      </c>
      <c r="X638" s="706">
        <v>5</v>
      </c>
      <c r="Y638" s="706">
        <v>9</v>
      </c>
      <c r="Z638" s="706">
        <v>13</v>
      </c>
      <c r="AA638" s="706">
        <v>14</v>
      </c>
      <c r="AB638" s="706">
        <v>14</v>
      </c>
      <c r="AC638" s="706">
        <v>0</v>
      </c>
      <c r="AD638" s="706">
        <v>0</v>
      </c>
      <c r="AE638" s="706">
        <v>0</v>
      </c>
      <c r="AF638" s="706">
        <v>0</v>
      </c>
      <c r="AG638" s="706">
        <v>0</v>
      </c>
      <c r="AH638" s="706">
        <v>2</v>
      </c>
      <c r="AI638" s="706">
        <v>2</v>
      </c>
      <c r="AJ638" s="905" t="str">
        <f t="shared" si="60"/>
        <v>G43202</v>
      </c>
      <c r="AK638" s="905" t="str">
        <f t="shared" si="61"/>
        <v>VENTES - CL2500 SIERRA</v>
      </c>
      <c r="AL638" s="905">
        <f>IFERROR(INDEX(G638:R638,1,MATCH(Parametres!$B$3,G$1:R$1,0)-1)*IF(OR(F638="L",F638="S",F638="I"),-1,1),"")</f>
        <v>-1385656.33</v>
      </c>
      <c r="AM638" s="1047">
        <f t="shared" si="56"/>
        <v>-122237</v>
      </c>
      <c r="AN638" s="905">
        <f>INDEX(G638:R638,1,MATCH(Parametres!$B$3,G$1:R$1,0))*IF(OR(F638="L",F638="S",F638="I"),-1,1)</f>
        <v>-1507893.33</v>
      </c>
      <c r="AO638" s="487" t="str">
        <f>+VLOOKUP($AJ638,Data_Validation!$A:$D,1,0)</f>
        <v>G43202</v>
      </c>
      <c r="AP638" s="487" t="str">
        <f>+VLOOKUP($AJ638,Data_Validation!$A:$D,3,0)</f>
        <v>Véhicules neufs</v>
      </c>
      <c r="AQ638" s="487" t="str">
        <f>+VLOOKUP($AJ638,Data_Validation!$A:$D,4,0)</f>
        <v>Camions détail</v>
      </c>
      <c r="AR638" s="487" t="s">
        <v>299</v>
      </c>
      <c r="AS638" s="487" t="str">
        <f>+VLOOKUP($AJ638,Data_Validation!$A:$E,5,0)</f>
        <v>Oui</v>
      </c>
      <c r="AT638" s="904" t="str">
        <f t="shared" si="57"/>
        <v>G43202</v>
      </c>
      <c r="AU638" s="488" t="str">
        <f t="shared" si="58"/>
        <v>VENTES - CL2500 SIERRA</v>
      </c>
      <c r="AV638" s="899">
        <f>IFERROR(INDEX(V638:AG638,1,MATCH(Parametres!$B$3,V$1:AG$1,0)-1)*IF(OR(C638="L",C638="S",C638="I"),-1,1),"")</f>
        <v>13</v>
      </c>
      <c r="AW638" s="899">
        <f t="shared" si="59"/>
        <v>1</v>
      </c>
      <c r="AX638" s="899">
        <f>INDEX(V638:AG638,1,MATCH(Parametres!$B$3,V$1:AG$1,0))*IF(OR(C638="L",C638="S",C638="I"),-1,1)</f>
        <v>14</v>
      </c>
      <c r="AY638" s="487" t="s">
        <v>337</v>
      </c>
      <c r="AZ638" s="487" t="str">
        <f>+VLOOKUP($AJ638,Data_Validation!$A:$E,5,0)</f>
        <v>Oui</v>
      </c>
    </row>
    <row r="639" spans="1:52" ht="15" customHeight="1">
      <c r="A639" s="706" t="s">
        <v>1148</v>
      </c>
      <c r="B639" s="706">
        <v>2026</v>
      </c>
      <c r="C639" s="706" t="s">
        <v>2353</v>
      </c>
      <c r="D639" s="706" t="s">
        <v>2354</v>
      </c>
      <c r="E639" s="706" t="s">
        <v>1149</v>
      </c>
      <c r="F639" s="706" t="s">
        <v>1149</v>
      </c>
      <c r="G639" s="706">
        <v>234777.15</v>
      </c>
      <c r="H639" s="706">
        <v>234777.15</v>
      </c>
      <c r="I639" s="706">
        <v>351065.15</v>
      </c>
      <c r="J639" s="706">
        <v>351065.15</v>
      </c>
      <c r="K639" s="706">
        <v>351065.15</v>
      </c>
      <c r="L639" s="706">
        <v>351065.15</v>
      </c>
      <c r="M639" s="706">
        <v>351065.15</v>
      </c>
      <c r="N639" s="706">
        <v>0</v>
      </c>
      <c r="O639" s="706">
        <v>0</v>
      </c>
      <c r="P639" s="706">
        <v>0</v>
      </c>
      <c r="Q639" s="706">
        <v>0</v>
      </c>
      <c r="R639" s="706">
        <v>0</v>
      </c>
      <c r="S639" s="706">
        <v>58510.86</v>
      </c>
      <c r="T639" s="706">
        <v>58510.86</v>
      </c>
      <c r="U639" s="706">
        <v>0</v>
      </c>
      <c r="V639" s="706">
        <v>2</v>
      </c>
      <c r="W639" s="706">
        <v>2</v>
      </c>
      <c r="X639" s="706">
        <v>3</v>
      </c>
      <c r="Y639" s="706">
        <v>3</v>
      </c>
      <c r="Z639" s="706">
        <v>3</v>
      </c>
      <c r="AA639" s="706">
        <v>3</v>
      </c>
      <c r="AB639" s="706">
        <v>3</v>
      </c>
      <c r="AC639" s="706">
        <v>0</v>
      </c>
      <c r="AD639" s="706">
        <v>0</v>
      </c>
      <c r="AE639" s="706">
        <v>0</v>
      </c>
      <c r="AF639" s="706">
        <v>0</v>
      </c>
      <c r="AG639" s="706">
        <v>0</v>
      </c>
      <c r="AH639" s="706">
        <v>1</v>
      </c>
      <c r="AI639" s="706">
        <v>1</v>
      </c>
      <c r="AJ639" s="905" t="str">
        <f t="shared" si="60"/>
        <v>G43203</v>
      </c>
      <c r="AK639" s="905" t="str">
        <f t="shared" si="61"/>
        <v>VENTES - SIERRA 3500</v>
      </c>
      <c r="AL639" s="905">
        <f>IFERROR(INDEX(G639:R639,1,MATCH(Parametres!$B$3,G$1:R$1,0)-1)*IF(OR(F639="L",F639="S",F639="I"),-1,1),"")</f>
        <v>-351065.15</v>
      </c>
      <c r="AM639" s="905">
        <f t="shared" si="56"/>
        <v>0</v>
      </c>
      <c r="AN639" s="905">
        <f>INDEX(G639:R639,1,MATCH(Parametres!$B$3,G$1:R$1,0))*IF(OR(F639="L",F639="S",F639="I"),-1,1)</f>
        <v>-351065.15</v>
      </c>
      <c r="AO639" s="487" t="str">
        <f>+VLOOKUP($AJ639,Data_Validation!$A:$D,1,0)</f>
        <v>G43203</v>
      </c>
      <c r="AP639" s="487" t="str">
        <f>+VLOOKUP($AJ639,Data_Validation!$A:$D,3,0)</f>
        <v>Véhicules neufs</v>
      </c>
      <c r="AQ639" s="487" t="str">
        <f>+VLOOKUP($AJ639,Data_Validation!$A:$D,4,0)</f>
        <v>Camions détail</v>
      </c>
      <c r="AR639" s="487" t="s">
        <v>299</v>
      </c>
      <c r="AS639" s="487" t="str">
        <f>+VLOOKUP($AJ639,Data_Validation!$A:$E,5,0)</f>
        <v>Oui</v>
      </c>
      <c r="AT639" s="904" t="str">
        <f t="shared" si="57"/>
        <v>G43203</v>
      </c>
      <c r="AU639" s="488" t="str">
        <f t="shared" si="58"/>
        <v>VENTES - SIERRA 3500</v>
      </c>
      <c r="AV639" s="899">
        <f>IFERROR(INDEX(V639:AG639,1,MATCH(Parametres!$B$3,V$1:AG$1,0)-1)*IF(OR(C639="L",C639="S",C639="I"),-1,1),"")</f>
        <v>3</v>
      </c>
      <c r="AW639" s="899">
        <f t="shared" si="59"/>
        <v>0</v>
      </c>
      <c r="AX639" s="899">
        <f>INDEX(V639:AG639,1,MATCH(Parametres!$B$3,V$1:AG$1,0))*IF(OR(C639="L",C639="S",C639="I"),-1,1)</f>
        <v>3</v>
      </c>
      <c r="AY639" s="487" t="s">
        <v>337</v>
      </c>
      <c r="AZ639" s="487" t="str">
        <f>+VLOOKUP($AJ639,Data_Validation!$A:$E,5,0)</f>
        <v>Oui</v>
      </c>
    </row>
    <row r="640" spans="1:52" ht="15" customHeight="1">
      <c r="A640" s="706" t="s">
        <v>1148</v>
      </c>
      <c r="B640" s="706">
        <v>2026</v>
      </c>
      <c r="C640" s="706" t="s">
        <v>2355</v>
      </c>
      <c r="D640" s="706" t="s">
        <v>2356</v>
      </c>
      <c r="E640" s="706" t="s">
        <v>1149</v>
      </c>
      <c r="F640" s="706" t="s">
        <v>1149</v>
      </c>
      <c r="G640" s="706">
        <v>0</v>
      </c>
      <c r="H640" s="706">
        <v>0</v>
      </c>
      <c r="I640" s="706">
        <v>0</v>
      </c>
      <c r="J640" s="706">
        <v>0</v>
      </c>
      <c r="K640" s="706">
        <v>0</v>
      </c>
      <c r="L640" s="706">
        <v>38693</v>
      </c>
      <c r="M640" s="706">
        <v>38693</v>
      </c>
      <c r="N640" s="706">
        <v>0</v>
      </c>
      <c r="O640" s="706">
        <v>0</v>
      </c>
      <c r="P640" s="706">
        <v>0</v>
      </c>
      <c r="Q640" s="706">
        <v>0</v>
      </c>
      <c r="R640" s="706">
        <v>0</v>
      </c>
      <c r="S640" s="706">
        <v>6448.83</v>
      </c>
      <c r="T640" s="706">
        <v>6448.83</v>
      </c>
      <c r="U640" s="706">
        <v>0</v>
      </c>
      <c r="V640" s="706">
        <v>0</v>
      </c>
      <c r="W640" s="706">
        <v>0</v>
      </c>
      <c r="X640" s="706">
        <v>0</v>
      </c>
      <c r="Y640" s="706">
        <v>0</v>
      </c>
      <c r="Z640" s="706">
        <v>0</v>
      </c>
      <c r="AA640" s="706">
        <v>1</v>
      </c>
      <c r="AB640" s="706">
        <v>1</v>
      </c>
      <c r="AC640" s="706">
        <v>0</v>
      </c>
      <c r="AD640" s="706">
        <v>0</v>
      </c>
      <c r="AE640" s="706">
        <v>0</v>
      </c>
      <c r="AF640" s="706">
        <v>0</v>
      </c>
      <c r="AG640" s="706">
        <v>0</v>
      </c>
      <c r="AH640" s="706">
        <v>0</v>
      </c>
      <c r="AI640" s="706">
        <v>0</v>
      </c>
      <c r="AJ640" s="905" t="str">
        <f t="shared" si="60"/>
        <v>G43300</v>
      </c>
      <c r="AK640" s="905" t="str">
        <f t="shared" si="61"/>
        <v>VENTES BLAZER</v>
      </c>
      <c r="AL640" s="905">
        <f>IFERROR(INDEX(G640:R640,1,MATCH(Parametres!$B$3,G$1:R$1,0)-1)*IF(OR(F640="L",F640="S",F640="I"),-1,1),"")</f>
        <v>0</v>
      </c>
      <c r="AM640" s="1047">
        <f t="shared" si="56"/>
        <v>-38693</v>
      </c>
      <c r="AN640" s="905">
        <f>INDEX(G640:R640,1,MATCH(Parametres!$B$3,G$1:R$1,0))*IF(OR(F640="L",F640="S",F640="I"),-1,1)</f>
        <v>-38693</v>
      </c>
      <c r="AO640" s="487" t="str">
        <f>+VLOOKUP($AJ640,Data_Validation!$A:$D,1,0)</f>
        <v>G43300</v>
      </c>
      <c r="AP640" s="487" t="str">
        <f>+VLOOKUP($AJ640,Data_Validation!$A:$D,3,0)</f>
        <v>Véhicules neufs</v>
      </c>
      <c r="AQ640" s="487" t="str">
        <f>+VLOOKUP($AJ640,Data_Validation!$A:$D,4,0)</f>
        <v>Camions détail</v>
      </c>
      <c r="AR640" s="487" t="s">
        <v>299</v>
      </c>
      <c r="AS640" s="487" t="str">
        <f>+VLOOKUP($AJ640,Data_Validation!$A:$E,5,0)</f>
        <v>Oui</v>
      </c>
      <c r="AT640" s="904" t="str">
        <f t="shared" si="57"/>
        <v>G43300</v>
      </c>
      <c r="AU640" s="488" t="str">
        <f t="shared" si="58"/>
        <v>VENTES BLAZER</v>
      </c>
      <c r="AV640" s="899">
        <f>IFERROR(INDEX(V640:AG640,1,MATCH(Parametres!$B$3,V$1:AG$1,0)-1)*IF(OR(C640="L",C640="S",C640="I"),-1,1),"")</f>
        <v>0</v>
      </c>
      <c r="AW640" s="899">
        <f t="shared" si="59"/>
        <v>1</v>
      </c>
      <c r="AX640" s="899">
        <f>INDEX(V640:AG640,1,MATCH(Parametres!$B$3,V$1:AG$1,0))*IF(OR(C640="L",C640="S",C640="I"),-1,1)</f>
        <v>1</v>
      </c>
      <c r="AY640" s="487" t="s">
        <v>337</v>
      </c>
      <c r="AZ640" s="487" t="str">
        <f>+VLOOKUP($AJ640,Data_Validation!$A:$E,5,0)</f>
        <v>Oui</v>
      </c>
    </row>
    <row r="641" spans="1:52" ht="15" customHeight="1">
      <c r="A641" s="706" t="s">
        <v>1148</v>
      </c>
      <c r="B641" s="706">
        <v>2026</v>
      </c>
      <c r="C641" s="706" t="s">
        <v>2357</v>
      </c>
      <c r="D641" s="706" t="s">
        <v>2358</v>
      </c>
      <c r="E641" s="706" t="s">
        <v>1149</v>
      </c>
      <c r="F641" s="706" t="s">
        <v>1149</v>
      </c>
      <c r="G641" s="706">
        <v>0</v>
      </c>
      <c r="H641" s="706">
        <v>0</v>
      </c>
      <c r="I641" s="706">
        <v>178425.14</v>
      </c>
      <c r="J641" s="706">
        <v>340072.14</v>
      </c>
      <c r="K641" s="706">
        <v>458380.64</v>
      </c>
      <c r="L641" s="706">
        <v>458380.64</v>
      </c>
      <c r="M641" s="706">
        <v>458380.64</v>
      </c>
      <c r="N641" s="706">
        <v>0</v>
      </c>
      <c r="O641" s="706">
        <v>0</v>
      </c>
      <c r="P641" s="706">
        <v>0</v>
      </c>
      <c r="Q641" s="706">
        <v>0</v>
      </c>
      <c r="R641" s="706">
        <v>0</v>
      </c>
      <c r="S641" s="706">
        <v>76396.77</v>
      </c>
      <c r="T641" s="706">
        <v>76396.77</v>
      </c>
      <c r="U641" s="706">
        <v>0</v>
      </c>
      <c r="V641" s="706">
        <v>0</v>
      </c>
      <c r="W641" s="706">
        <v>0</v>
      </c>
      <c r="X641" s="706">
        <v>3</v>
      </c>
      <c r="Y641" s="706">
        <v>6</v>
      </c>
      <c r="Z641" s="706">
        <v>8</v>
      </c>
      <c r="AA641" s="706">
        <v>8</v>
      </c>
      <c r="AB641" s="706">
        <v>8</v>
      </c>
      <c r="AC641" s="706">
        <v>0</v>
      </c>
      <c r="AD641" s="706">
        <v>0</v>
      </c>
      <c r="AE641" s="706">
        <v>0</v>
      </c>
      <c r="AF641" s="706">
        <v>0</v>
      </c>
      <c r="AG641" s="706">
        <v>0</v>
      </c>
      <c r="AH641" s="706">
        <v>1</v>
      </c>
      <c r="AI641" s="706">
        <v>1</v>
      </c>
      <c r="AJ641" s="905" t="str">
        <f t="shared" si="60"/>
        <v>G43301</v>
      </c>
      <c r="AK641" s="905" t="str">
        <f t="shared" si="61"/>
        <v>VENTES BLAZER EV</v>
      </c>
      <c r="AL641" s="905">
        <f>IFERROR(INDEX(G641:R641,1,MATCH(Parametres!$B$3,G$1:R$1,0)-1)*IF(OR(F641="L",F641="S",F641="I"),-1,1),"")</f>
        <v>-458380.64</v>
      </c>
      <c r="AM641" s="905">
        <f t="shared" si="56"/>
        <v>0</v>
      </c>
      <c r="AN641" s="905">
        <f>INDEX(G641:R641,1,MATCH(Parametres!$B$3,G$1:R$1,0))*IF(OR(F641="L",F641="S",F641="I"),-1,1)</f>
        <v>-458380.64</v>
      </c>
      <c r="AO641" s="487" t="str">
        <f>+VLOOKUP($AJ641,Data_Validation!$A:$D,1,0)</f>
        <v>G43301</v>
      </c>
      <c r="AP641" s="487" t="str">
        <f>+VLOOKUP($AJ641,Data_Validation!$A:$D,3,0)</f>
        <v>Véhicules neufs</v>
      </c>
      <c r="AQ641" s="487" t="str">
        <f>+VLOOKUP($AJ641,Data_Validation!$A:$D,4,0)</f>
        <v>Camions electriques</v>
      </c>
      <c r="AR641" s="487" t="s">
        <v>299</v>
      </c>
      <c r="AS641" s="487" t="str">
        <f>+VLOOKUP($AJ641,Data_Validation!$A:$E,5,0)</f>
        <v>Oui</v>
      </c>
      <c r="AT641" s="904" t="str">
        <f t="shared" si="57"/>
        <v>G43301</v>
      </c>
      <c r="AU641" s="488" t="str">
        <f t="shared" si="58"/>
        <v>VENTES BLAZER EV</v>
      </c>
      <c r="AV641" s="899">
        <f>IFERROR(INDEX(V641:AG641,1,MATCH(Parametres!$B$3,V$1:AG$1,0)-1)*IF(OR(C641="L",C641="S",C641="I"),-1,1),"")</f>
        <v>8</v>
      </c>
      <c r="AW641" s="899">
        <f t="shared" si="59"/>
        <v>0</v>
      </c>
      <c r="AX641" s="899">
        <f>INDEX(V641:AG641,1,MATCH(Parametres!$B$3,V$1:AG$1,0))*IF(OR(C641="L",C641="S",C641="I"),-1,1)</f>
        <v>8</v>
      </c>
      <c r="AY641" s="487" t="s">
        <v>337</v>
      </c>
      <c r="AZ641" s="487" t="str">
        <f>+VLOOKUP($AJ641,Data_Validation!$A:$E,5,0)</f>
        <v>Oui</v>
      </c>
    </row>
    <row r="642" spans="1:52" ht="15" customHeight="1">
      <c r="A642" s="706" t="s">
        <v>1148</v>
      </c>
      <c r="B642" s="706">
        <v>2026</v>
      </c>
      <c r="C642" s="706" t="s">
        <v>2359</v>
      </c>
      <c r="D642" s="706" t="s">
        <v>2360</v>
      </c>
      <c r="E642" s="706" t="s">
        <v>1149</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G43320</v>
      </c>
      <c r="AK642" s="905" t="str">
        <f t="shared" si="61"/>
        <v>VTES-AVALANCHE       -LOC</v>
      </c>
      <c r="AL642" s="905">
        <f>IFERROR(INDEX(G642:R642,1,MATCH(Parametres!$B$3,G$1:R$1,0)-1)*IF(OR(F642="L",F642="S",F642="I"),-1,1),"")</f>
        <v>0</v>
      </c>
      <c r="AM642" s="905">
        <f t="shared" si="56"/>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t="str">
        <f t="shared" si="57"/>
        <v>G43320</v>
      </c>
      <c r="AU642" s="488" t="str">
        <f t="shared" si="58"/>
        <v>VTES-AVALANCHE       -LOC</v>
      </c>
      <c r="AV642" s="899">
        <f>IFERROR(INDEX(V642:AG642,1,MATCH(Parametres!$B$3,V$1:AG$1,0)-1)*IF(OR(C642="L",C642="S",C642="I"),-1,1),"")</f>
        <v>0</v>
      </c>
      <c r="AW642" s="899">
        <f t="shared" si="59"/>
        <v>0</v>
      </c>
      <c r="AX642" s="899">
        <f>INDEX(V642:AG642,1,MATCH(Parametres!$B$3,V$1:AG$1,0))*IF(OR(C642="L",C642="S",C642="I"),-1,1)</f>
        <v>0</v>
      </c>
      <c r="AY642" s="487" t="s">
        <v>337</v>
      </c>
      <c r="AZ642" s="487" t="e">
        <f>+VLOOKUP($AJ642,Data_Validation!$A:$E,5,0)</f>
        <v>#N/A</v>
      </c>
    </row>
    <row r="643" spans="1:52" ht="15" customHeight="1">
      <c r="A643" s="706" t="s">
        <v>1148</v>
      </c>
      <c r="B643" s="706">
        <v>2026</v>
      </c>
      <c r="C643" s="706" t="s">
        <v>2361</v>
      </c>
      <c r="D643" s="706" t="s">
        <v>2362</v>
      </c>
      <c r="E643" s="706" t="s">
        <v>1149</v>
      </c>
      <c r="F643" s="706" t="s">
        <v>1149</v>
      </c>
      <c r="G643" s="706">
        <v>84235</v>
      </c>
      <c r="H643" s="706">
        <v>173987.78</v>
      </c>
      <c r="I643" s="706">
        <v>221362.43</v>
      </c>
      <c r="J643" s="706">
        <v>262011.43</v>
      </c>
      <c r="K643" s="706">
        <v>309659.93</v>
      </c>
      <c r="L643" s="706">
        <v>353920.93</v>
      </c>
      <c r="M643" s="706">
        <v>353920.93</v>
      </c>
      <c r="N643" s="706">
        <v>0</v>
      </c>
      <c r="O643" s="706">
        <v>0</v>
      </c>
      <c r="P643" s="706">
        <v>0</v>
      </c>
      <c r="Q643" s="706">
        <v>0</v>
      </c>
      <c r="R643" s="706">
        <v>0</v>
      </c>
      <c r="S643" s="706">
        <v>58986.82</v>
      </c>
      <c r="T643" s="706">
        <v>58986.82</v>
      </c>
      <c r="U643" s="706">
        <v>0</v>
      </c>
      <c r="V643" s="706">
        <v>2</v>
      </c>
      <c r="W643" s="706">
        <v>4</v>
      </c>
      <c r="X643" s="706">
        <v>5</v>
      </c>
      <c r="Y643" s="706">
        <v>6</v>
      </c>
      <c r="Z643" s="706">
        <v>7</v>
      </c>
      <c r="AA643" s="706">
        <v>8</v>
      </c>
      <c r="AB643" s="706">
        <v>8</v>
      </c>
      <c r="AC643" s="706">
        <v>0</v>
      </c>
      <c r="AD643" s="706">
        <v>0</v>
      </c>
      <c r="AE643" s="706">
        <v>0</v>
      </c>
      <c r="AF643" s="706">
        <v>0</v>
      </c>
      <c r="AG643" s="706">
        <v>0</v>
      </c>
      <c r="AH643" s="706">
        <v>1</v>
      </c>
      <c r="AI643" s="706">
        <v>1</v>
      </c>
      <c r="AJ643" s="905" t="str">
        <f t="shared" si="60"/>
        <v>G43400</v>
      </c>
      <c r="AK643" s="905" t="str">
        <f t="shared" si="61"/>
        <v>VENTES EQUINOX</v>
      </c>
      <c r="AL643" s="905">
        <f>IFERROR(INDEX(G643:R643,1,MATCH(Parametres!$B$3,G$1:R$1,0)-1)*IF(OR(F643="L",F643="S",F643="I"),-1,1),"")</f>
        <v>-309659.93</v>
      </c>
      <c r="AM643" s="1047">
        <f t="shared" si="56"/>
        <v>-44261</v>
      </c>
      <c r="AN643" s="905">
        <f>INDEX(G643:R643,1,MATCH(Parametres!$B$3,G$1:R$1,0))*IF(OR(F643="L",F643="S",F643="I"),-1,1)</f>
        <v>-353920.93</v>
      </c>
      <c r="AO643" s="487" t="str">
        <f>+VLOOKUP($AJ643,Data_Validation!$A:$D,1,0)</f>
        <v>G43400</v>
      </c>
      <c r="AP643" s="487" t="str">
        <f>+VLOOKUP($AJ643,Data_Validation!$A:$D,3,0)</f>
        <v>Véhicules neufs</v>
      </c>
      <c r="AQ643" s="487" t="str">
        <f>+VLOOKUP($AJ643,Data_Validation!$A:$D,4,0)</f>
        <v>Camions détail</v>
      </c>
      <c r="AR643" s="487" t="s">
        <v>299</v>
      </c>
      <c r="AS643" s="487" t="str">
        <f>+VLOOKUP($AJ643,Data_Validation!$A:$E,5,0)</f>
        <v>Oui</v>
      </c>
      <c r="AT643" s="904" t="str">
        <f t="shared" si="57"/>
        <v>G43400</v>
      </c>
      <c r="AU643" s="488" t="str">
        <f t="shared" si="58"/>
        <v>VENTES EQUINOX</v>
      </c>
      <c r="AV643" s="899">
        <f>IFERROR(INDEX(V643:AG643,1,MATCH(Parametres!$B$3,V$1:AG$1,0)-1)*IF(OR(C643="L",C643="S",C643="I"),-1,1),"")</f>
        <v>7</v>
      </c>
      <c r="AW643" s="899">
        <f t="shared" si="59"/>
        <v>1</v>
      </c>
      <c r="AX643" s="899">
        <f>INDEX(V643:AG643,1,MATCH(Parametres!$B$3,V$1:AG$1,0))*IF(OR(C643="L",C643="S",C643="I"),-1,1)</f>
        <v>8</v>
      </c>
      <c r="AY643" s="487" t="s">
        <v>337</v>
      </c>
      <c r="AZ643" s="487" t="str">
        <f>+VLOOKUP($AJ643,Data_Validation!$A:$E,5,0)</f>
        <v>Oui</v>
      </c>
    </row>
    <row r="644" spans="1:52" ht="15" customHeight="1">
      <c r="A644" s="706" t="s">
        <v>1148</v>
      </c>
      <c r="B644" s="706">
        <v>2026</v>
      </c>
      <c r="C644" s="706" t="s">
        <v>2363</v>
      </c>
      <c r="D644" s="706" t="s">
        <v>2364</v>
      </c>
      <c r="E644" s="706" t="s">
        <v>1149</v>
      </c>
      <c r="F644" s="706" t="s">
        <v>1149</v>
      </c>
      <c r="G644" s="706">
        <v>0</v>
      </c>
      <c r="H644" s="706">
        <v>110438.28</v>
      </c>
      <c r="I644" s="706">
        <v>348535.12</v>
      </c>
      <c r="J644" s="706">
        <v>1423503.96</v>
      </c>
      <c r="K644" s="706">
        <v>1573976.96</v>
      </c>
      <c r="L644" s="706">
        <v>1622869.96</v>
      </c>
      <c r="M644" s="706">
        <v>1622869.96</v>
      </c>
      <c r="N644" s="706">
        <v>0</v>
      </c>
      <c r="O644" s="706">
        <v>0</v>
      </c>
      <c r="P644" s="706">
        <v>0</v>
      </c>
      <c r="Q644" s="706">
        <v>0</v>
      </c>
      <c r="R644" s="706">
        <v>0</v>
      </c>
      <c r="S644" s="706">
        <v>270478.33</v>
      </c>
      <c r="T644" s="706">
        <v>270478.33</v>
      </c>
      <c r="U644" s="706">
        <v>0</v>
      </c>
      <c r="V644" s="706">
        <v>0</v>
      </c>
      <c r="W644" s="706">
        <v>2</v>
      </c>
      <c r="X644" s="706">
        <v>7</v>
      </c>
      <c r="Y644" s="706">
        <v>29</v>
      </c>
      <c r="Z644" s="706">
        <v>32</v>
      </c>
      <c r="AA644" s="706">
        <v>33</v>
      </c>
      <c r="AB644" s="706">
        <v>33</v>
      </c>
      <c r="AC644" s="706">
        <v>0</v>
      </c>
      <c r="AD644" s="706">
        <v>0</v>
      </c>
      <c r="AE644" s="706">
        <v>0</v>
      </c>
      <c r="AF644" s="706">
        <v>0</v>
      </c>
      <c r="AG644" s="706">
        <v>0</v>
      </c>
      <c r="AH644" s="706">
        <v>6</v>
      </c>
      <c r="AI644" s="706">
        <v>6</v>
      </c>
      <c r="AJ644" s="905" t="str">
        <f t="shared" si="60"/>
        <v>G43401</v>
      </c>
      <c r="AK644" s="905" t="str">
        <f t="shared" si="61"/>
        <v>VTES - EQUINOX EV</v>
      </c>
      <c r="AL644" s="905">
        <f>IFERROR(INDEX(G644:R644,1,MATCH(Parametres!$B$3,G$1:R$1,0)-1)*IF(OR(F644="L",F644="S",F644="I"),-1,1),"")</f>
        <v>-1573976.96</v>
      </c>
      <c r="AM644" s="1047">
        <f t="shared" ref="AM644:AM707" si="62">AN644-AL644</f>
        <v>-48893</v>
      </c>
      <c r="AN644" s="905">
        <f>INDEX(G644:R644,1,MATCH(Parametres!$B$3,G$1:R$1,0))*IF(OR(F644="L",F644="S",F644="I"),-1,1)</f>
        <v>-1622869.96</v>
      </c>
      <c r="AO644" s="487" t="str">
        <f>+VLOOKUP($AJ644,Data_Validation!$A:$D,1,0)</f>
        <v>G43401</v>
      </c>
      <c r="AP644" s="487" t="str">
        <f>+VLOOKUP($AJ644,Data_Validation!$A:$D,3,0)</f>
        <v>Véhicules neufs</v>
      </c>
      <c r="AQ644" s="487" t="str">
        <f>+VLOOKUP($AJ644,Data_Validation!$A:$D,4,0)</f>
        <v>Camions electriques</v>
      </c>
      <c r="AR644" s="487" t="s">
        <v>299</v>
      </c>
      <c r="AS644" s="487" t="str">
        <f>+VLOOKUP($AJ644,Data_Validation!$A:$E,5,0)</f>
        <v>Oui</v>
      </c>
      <c r="AT644" s="904" t="str">
        <f t="shared" ref="AT644:AT707" si="63">C644</f>
        <v>G43401</v>
      </c>
      <c r="AU644" s="488" t="str">
        <f t="shared" ref="AU644:AU707" si="64">D644</f>
        <v>VTES - EQUINOX EV</v>
      </c>
      <c r="AV644" s="899">
        <f>IFERROR(INDEX(V644:AG644,1,MATCH(Parametres!$B$3,V$1:AG$1,0)-1)*IF(OR(C644="L",C644="S",C644="I"),-1,1),"")</f>
        <v>32</v>
      </c>
      <c r="AW644" s="899">
        <f t="shared" ref="AW644:AW707" si="65">AX644-AV644</f>
        <v>1</v>
      </c>
      <c r="AX644" s="899">
        <f>INDEX(V644:AG644,1,MATCH(Parametres!$B$3,V$1:AG$1,0))*IF(OR(C644="L",C644="S",C644="I"),-1,1)</f>
        <v>33</v>
      </c>
      <c r="AY644" s="487" t="s">
        <v>337</v>
      </c>
      <c r="AZ644" s="487" t="str">
        <f>+VLOOKUP($AJ644,Data_Validation!$A:$E,5,0)</f>
        <v>Oui</v>
      </c>
    </row>
    <row r="645" spans="1:52" ht="15" customHeight="1">
      <c r="A645" s="706" t="s">
        <v>1148</v>
      </c>
      <c r="B645" s="706">
        <v>2026</v>
      </c>
      <c r="C645" s="706" t="s">
        <v>2365</v>
      </c>
      <c r="D645" s="706" t="s">
        <v>2366</v>
      </c>
      <c r="E645" s="706" t="s">
        <v>1149</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G43420</v>
      </c>
      <c r="AK645" s="905" t="str">
        <f t="shared" si="61"/>
        <v>VTES-TRACKER         -LOC</v>
      </c>
      <c r="AL645" s="905">
        <f>IFERROR(INDEX(G645:R645,1,MATCH(Parametres!$B$3,G$1:R$1,0)-1)*IF(OR(F645="L",F645="S",F645="I"),-1,1),"")</f>
        <v>0</v>
      </c>
      <c r="AM645" s="905">
        <f t="shared" si="62"/>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t="str">
        <f t="shared" si="63"/>
        <v>G43420</v>
      </c>
      <c r="AU645" s="488" t="str">
        <f t="shared" si="64"/>
        <v>VTES-TRACKER         -LOC</v>
      </c>
      <c r="AV645" s="899">
        <f>IFERROR(INDEX(V645:AG645,1,MATCH(Parametres!$B$3,V$1:AG$1,0)-1)*IF(OR(C645="L",C645="S",C645="I"),-1,1),"")</f>
        <v>0</v>
      </c>
      <c r="AW645" s="899">
        <f t="shared" si="65"/>
        <v>0</v>
      </c>
      <c r="AX645" s="899">
        <f>INDEX(V645:AG645,1,MATCH(Parametres!$B$3,V$1:AG$1,0))*IF(OR(C645="L",C645="S",C645="I"),-1,1)</f>
        <v>0</v>
      </c>
      <c r="AY645" s="487" t="s">
        <v>337</v>
      </c>
      <c r="AZ645" s="487" t="e">
        <f>+VLOOKUP($AJ645,Data_Validation!$A:$E,5,0)</f>
        <v>#N/A</v>
      </c>
    </row>
    <row r="646" spans="1:52" ht="15" customHeight="1">
      <c r="A646" s="706" t="s">
        <v>1148</v>
      </c>
      <c r="B646" s="706">
        <v>2026</v>
      </c>
      <c r="C646" s="706" t="s">
        <v>2367</v>
      </c>
      <c r="D646" s="706" t="s">
        <v>2368</v>
      </c>
      <c r="E646" s="706" t="s">
        <v>1149</v>
      </c>
      <c r="F646" s="706" t="s">
        <v>1149</v>
      </c>
      <c r="G646" s="706">
        <v>0</v>
      </c>
      <c r="H646" s="706">
        <v>0</v>
      </c>
      <c r="I646" s="706">
        <v>0</v>
      </c>
      <c r="J646" s="706">
        <v>0</v>
      </c>
      <c r="K646" s="706">
        <v>0</v>
      </c>
      <c r="L646" s="706">
        <v>0</v>
      </c>
      <c r="M646" s="706">
        <v>0</v>
      </c>
      <c r="N646" s="706">
        <v>0</v>
      </c>
      <c r="O646" s="706">
        <v>0</v>
      </c>
      <c r="P646" s="706">
        <v>0</v>
      </c>
      <c r="Q646" s="706">
        <v>0</v>
      </c>
      <c r="R646" s="706">
        <v>0</v>
      </c>
      <c r="S646" s="706">
        <v>0</v>
      </c>
      <c r="T646" s="706">
        <v>0</v>
      </c>
      <c r="U646" s="706">
        <v>0</v>
      </c>
      <c r="V646" s="706">
        <v>0</v>
      </c>
      <c r="W646" s="706">
        <v>0</v>
      </c>
      <c r="X646" s="706">
        <v>0</v>
      </c>
      <c r="Y646" s="706">
        <v>0</v>
      </c>
      <c r="Z646" s="706">
        <v>0</v>
      </c>
      <c r="AA646" s="706">
        <v>0</v>
      </c>
      <c r="AB646" s="706">
        <v>0</v>
      </c>
      <c r="AC646" s="706">
        <v>0</v>
      </c>
      <c r="AD646" s="706">
        <v>0</v>
      </c>
      <c r="AE646" s="706">
        <v>0</v>
      </c>
      <c r="AF646" s="706">
        <v>0</v>
      </c>
      <c r="AG646" s="706">
        <v>0</v>
      </c>
      <c r="AH646" s="706">
        <v>0</v>
      </c>
      <c r="AI646" s="706">
        <v>0</v>
      </c>
      <c r="AJ646" s="905" t="str">
        <f t="shared" si="60"/>
        <v>G43500</v>
      </c>
      <c r="AK646" s="905" t="str">
        <f t="shared" si="61"/>
        <v>VENTES CHEV CITY</v>
      </c>
      <c r="AL646" s="905">
        <f>IFERROR(INDEX(G646:R646,1,MATCH(Parametres!$B$3,G$1:R$1,0)-1)*IF(OR(F646="L",F646="S",F646="I"),-1,1),"")</f>
        <v>0</v>
      </c>
      <c r="AM646" s="905">
        <f t="shared" si="62"/>
        <v>0</v>
      </c>
      <c r="AN646" s="905">
        <f>INDEX(G646:R646,1,MATCH(Parametres!$B$3,G$1:R$1,0))*IF(OR(F646="L",F646="S",F646="I"),-1,1)</f>
        <v>0</v>
      </c>
      <c r="AO646" s="487" t="str">
        <f>+VLOOKUP($AJ646,Data_Validation!$A:$D,1,0)</f>
        <v>G43500</v>
      </c>
      <c r="AP646" s="487" t="str">
        <f>+VLOOKUP($AJ646,Data_Validation!$A:$D,3,0)</f>
        <v>Véhicules neufs</v>
      </c>
      <c r="AQ646" s="487" t="str">
        <f>+VLOOKUP($AJ646,Data_Validation!$A:$D,4,0)</f>
        <v>Camions détail</v>
      </c>
      <c r="AR646" s="487" t="s">
        <v>299</v>
      </c>
      <c r="AS646" s="487" t="str">
        <f>+VLOOKUP($AJ646,Data_Validation!$A:$E,5,0)</f>
        <v>Oui</v>
      </c>
      <c r="AT646" s="904" t="str">
        <f t="shared" si="63"/>
        <v>G43500</v>
      </c>
      <c r="AU646" s="488" t="str">
        <f t="shared" si="64"/>
        <v>VENTES CHEV CITY</v>
      </c>
      <c r="AV646" s="899">
        <f>IFERROR(INDEX(V646:AG646,1,MATCH(Parametres!$B$3,V$1:AG$1,0)-1)*IF(OR(C646="L",C646="S",C646="I"),-1,1),"")</f>
        <v>0</v>
      </c>
      <c r="AW646" s="899">
        <f t="shared" si="65"/>
        <v>0</v>
      </c>
      <c r="AX646" s="899">
        <f>INDEX(V646:AG646,1,MATCH(Parametres!$B$3,V$1:AG$1,0))*IF(OR(C646="L",C646="S",C646="I"),-1,1)</f>
        <v>0</v>
      </c>
      <c r="AY646" s="487" t="s">
        <v>337</v>
      </c>
      <c r="AZ646" s="487" t="str">
        <f>+VLOOKUP($AJ646,Data_Validation!$A:$E,5,0)</f>
        <v>Oui</v>
      </c>
    </row>
    <row r="647" spans="1:52" ht="15" customHeight="1">
      <c r="A647" s="706" t="s">
        <v>1148</v>
      </c>
      <c r="B647" s="706">
        <v>2026</v>
      </c>
      <c r="C647" s="706" t="s">
        <v>2369</v>
      </c>
      <c r="D647" s="706" t="s">
        <v>2370</v>
      </c>
      <c r="E647" s="706" t="s">
        <v>1149</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G43501</v>
      </c>
      <c r="AK647" s="905" t="str">
        <f t="shared" si="61"/>
        <v>VTES - HUMMER EV SUV</v>
      </c>
      <c r="AL647" s="905">
        <f>IFERROR(INDEX(G647:R647,1,MATCH(Parametres!$B$3,G$1:R$1,0)-1)*IF(OR(F647="L",F647="S",F647="I"),-1,1),"")</f>
        <v>0</v>
      </c>
      <c r="AM647" s="905">
        <f t="shared" si="62"/>
        <v>0</v>
      </c>
      <c r="AN647" s="905">
        <f>INDEX(G647:R647,1,MATCH(Parametres!$B$3,G$1:R$1,0))*IF(OR(F647="L",F647="S",F647="I"),-1,1)</f>
        <v>0</v>
      </c>
      <c r="AO647" s="487" t="str">
        <f>+VLOOKUP($AJ647,Data_Validation!$A:$D,1,0)</f>
        <v>G43501</v>
      </c>
      <c r="AP647" s="487" t="str">
        <f>+VLOOKUP($AJ647,Data_Validation!$A:$D,3,0)</f>
        <v>Véhicules neufs</v>
      </c>
      <c r="AQ647" s="487" t="str">
        <f>+VLOOKUP($AJ647,Data_Validation!$A:$D,4,0)</f>
        <v>Camions electriques</v>
      </c>
      <c r="AR647" s="487" t="s">
        <v>299</v>
      </c>
      <c r="AS647" s="487" t="str">
        <f>+VLOOKUP($AJ647,Data_Validation!$A:$E,5,0)</f>
        <v>Oui</v>
      </c>
      <c r="AT647" s="904" t="str">
        <f t="shared" si="63"/>
        <v>G43501</v>
      </c>
      <c r="AU647" s="488" t="str">
        <f t="shared" si="64"/>
        <v>VTES - HUMMER EV SUV</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customHeight="1">
      <c r="A648" s="706" t="s">
        <v>1148</v>
      </c>
      <c r="B648" s="706">
        <v>2026</v>
      </c>
      <c r="C648" s="706" t="s">
        <v>2371</v>
      </c>
      <c r="D648" s="706" t="s">
        <v>2372</v>
      </c>
      <c r="E648" s="706" t="s">
        <v>1149</v>
      </c>
      <c r="F648" s="706" t="s">
        <v>1149</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G43520</v>
      </c>
      <c r="AK648" s="905" t="str">
        <f t="shared" si="61"/>
        <v>VTES-SSR             -LOC</v>
      </c>
      <c r="AL648" s="905">
        <f>IFERROR(INDEX(G648:R648,1,MATCH(Parametres!$B$3,G$1:R$1,0)-1)*IF(OR(F648="L",F648="S",F648="I"),-1,1),"")</f>
        <v>0</v>
      </c>
      <c r="AM648" s="905">
        <f t="shared" si="62"/>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t="str">
        <f t="shared" si="63"/>
        <v>G43520</v>
      </c>
      <c r="AU648" s="488" t="str">
        <f t="shared" si="64"/>
        <v>VTES-SSR             -LOC</v>
      </c>
      <c r="AV648" s="899">
        <f>IFERROR(INDEX(V648:AG648,1,MATCH(Parametres!$B$3,V$1:AG$1,0)-1)*IF(OR(C648="L",C648="S",C648="I"),-1,1),"")</f>
        <v>0</v>
      </c>
      <c r="AW648" s="899">
        <f t="shared" si="65"/>
        <v>0</v>
      </c>
      <c r="AX648" s="899">
        <f>INDEX(V648:AG648,1,MATCH(Parametres!$B$3,V$1:AG$1,0))*IF(OR(C648="L",C648="S",C648="I"),-1,1)</f>
        <v>0</v>
      </c>
      <c r="AY648" s="487" t="s">
        <v>337</v>
      </c>
      <c r="AZ648" s="487" t="e">
        <f>+VLOOKUP($AJ648,Data_Validation!$A:$E,5,0)</f>
        <v>#N/A</v>
      </c>
    </row>
    <row r="649" spans="1:52" ht="15" customHeight="1">
      <c r="A649" s="706" t="s">
        <v>1148</v>
      </c>
      <c r="B649" s="706">
        <v>2026</v>
      </c>
      <c r="C649" s="706" t="s">
        <v>2373</v>
      </c>
      <c r="D649" s="706" t="s">
        <v>2374</v>
      </c>
      <c r="E649" s="706" t="s">
        <v>1149</v>
      </c>
      <c r="F649" s="706" t="s">
        <v>1149</v>
      </c>
      <c r="G649" s="706">
        <v>40000</v>
      </c>
      <c r="H649" s="706">
        <v>72235</v>
      </c>
      <c r="I649" s="706">
        <v>72235</v>
      </c>
      <c r="J649" s="706">
        <v>72235</v>
      </c>
      <c r="K649" s="706">
        <v>109605.5</v>
      </c>
      <c r="L649" s="706">
        <v>109605.5</v>
      </c>
      <c r="M649" s="706">
        <v>109605.5</v>
      </c>
      <c r="N649" s="706">
        <v>0</v>
      </c>
      <c r="O649" s="706">
        <v>0</v>
      </c>
      <c r="P649" s="706">
        <v>0</v>
      </c>
      <c r="Q649" s="706">
        <v>0</v>
      </c>
      <c r="R649" s="706">
        <v>0</v>
      </c>
      <c r="S649" s="706">
        <v>18267.580000000002</v>
      </c>
      <c r="T649" s="706">
        <v>18267.580000000002</v>
      </c>
      <c r="U649" s="706">
        <v>0</v>
      </c>
      <c r="V649" s="706">
        <v>1</v>
      </c>
      <c r="W649" s="706">
        <v>2</v>
      </c>
      <c r="X649" s="706">
        <v>2</v>
      </c>
      <c r="Y649" s="706">
        <v>2</v>
      </c>
      <c r="Z649" s="706">
        <v>3</v>
      </c>
      <c r="AA649" s="706">
        <v>3</v>
      </c>
      <c r="AB649" s="706">
        <v>3</v>
      </c>
      <c r="AC649" s="706">
        <v>0</v>
      </c>
      <c r="AD649" s="706">
        <v>0</v>
      </c>
      <c r="AE649" s="706">
        <v>0</v>
      </c>
      <c r="AF649" s="706">
        <v>0</v>
      </c>
      <c r="AG649" s="706">
        <v>0</v>
      </c>
      <c r="AH649" s="706">
        <v>1</v>
      </c>
      <c r="AI649" s="706">
        <v>1</v>
      </c>
      <c r="AJ649" s="905" t="str">
        <f t="shared" si="60"/>
        <v>G43600</v>
      </c>
      <c r="AK649" s="905" t="str">
        <f t="shared" si="61"/>
        <v>VTES-TRAIL BLAZER</v>
      </c>
      <c r="AL649" s="905">
        <f>IFERROR(INDEX(G649:R649,1,MATCH(Parametres!$B$3,G$1:R$1,0)-1)*IF(OR(F649="L",F649="S",F649="I"),-1,1),"")</f>
        <v>-109605.5</v>
      </c>
      <c r="AM649" s="905">
        <f t="shared" si="62"/>
        <v>0</v>
      </c>
      <c r="AN649" s="905">
        <f>INDEX(G649:R649,1,MATCH(Parametres!$B$3,G$1:R$1,0))*IF(OR(F649="L",F649="S",F649="I"),-1,1)</f>
        <v>-109605.5</v>
      </c>
      <c r="AO649" s="487" t="str">
        <f>+VLOOKUP($AJ649,Data_Validation!$A:$D,1,0)</f>
        <v>G43600</v>
      </c>
      <c r="AP649" s="487" t="str">
        <f>+VLOOKUP($AJ649,Data_Validation!$A:$D,3,0)</f>
        <v>Véhicules neufs</v>
      </c>
      <c r="AQ649" s="487" t="str">
        <f>+VLOOKUP($AJ649,Data_Validation!$A:$D,4,0)</f>
        <v>Camions détail</v>
      </c>
      <c r="AR649" s="487" t="s">
        <v>299</v>
      </c>
      <c r="AS649" s="487" t="str">
        <f>+VLOOKUP($AJ649,Data_Validation!$A:$E,5,0)</f>
        <v>Oui</v>
      </c>
      <c r="AT649" s="904" t="str">
        <f t="shared" si="63"/>
        <v>G43600</v>
      </c>
      <c r="AU649" s="488" t="str">
        <f t="shared" si="64"/>
        <v>VTES-TRAIL BLAZER</v>
      </c>
      <c r="AV649" s="899">
        <f>IFERROR(INDEX(V649:AG649,1,MATCH(Parametres!$B$3,V$1:AG$1,0)-1)*IF(OR(C649="L",C649="S",C649="I"),-1,1),"")</f>
        <v>3</v>
      </c>
      <c r="AW649" s="899">
        <f t="shared" si="65"/>
        <v>0</v>
      </c>
      <c r="AX649" s="899">
        <f>INDEX(V649:AG649,1,MATCH(Parametres!$B$3,V$1:AG$1,0))*IF(OR(C649="L",C649="S",C649="I"),-1,1)</f>
        <v>3</v>
      </c>
      <c r="AY649" s="487" t="s">
        <v>337</v>
      </c>
      <c r="AZ649" s="487" t="str">
        <f>+VLOOKUP($AJ649,Data_Validation!$A:$E,5,0)</f>
        <v>Oui</v>
      </c>
    </row>
    <row r="650" spans="1:52" ht="15" customHeight="1">
      <c r="A650" s="706" t="s">
        <v>1148</v>
      </c>
      <c r="B650" s="706">
        <v>2026</v>
      </c>
      <c r="C650" s="706" t="s">
        <v>2375</v>
      </c>
      <c r="D650" s="706" t="s">
        <v>2376</v>
      </c>
      <c r="E650" s="706" t="s">
        <v>1149</v>
      </c>
      <c r="F650" s="706" t="s">
        <v>1149</v>
      </c>
      <c r="G650" s="706">
        <v>0</v>
      </c>
      <c r="H650" s="706">
        <v>0</v>
      </c>
      <c r="I650" s="706">
        <v>67438</v>
      </c>
      <c r="J650" s="706">
        <v>133438</v>
      </c>
      <c r="K650" s="706">
        <v>199872</v>
      </c>
      <c r="L650" s="706">
        <v>199872</v>
      </c>
      <c r="M650" s="706">
        <v>199872</v>
      </c>
      <c r="N650" s="706">
        <v>0</v>
      </c>
      <c r="O650" s="706">
        <v>0</v>
      </c>
      <c r="P650" s="706">
        <v>0</v>
      </c>
      <c r="Q650" s="706">
        <v>0</v>
      </c>
      <c r="R650" s="706">
        <v>0</v>
      </c>
      <c r="S650" s="706">
        <v>33312</v>
      </c>
      <c r="T650" s="706">
        <v>33312</v>
      </c>
      <c r="U650" s="706">
        <v>0</v>
      </c>
      <c r="V650" s="706">
        <v>0</v>
      </c>
      <c r="W650" s="706">
        <v>0</v>
      </c>
      <c r="X650" s="706">
        <v>1</v>
      </c>
      <c r="Y650" s="706">
        <v>2</v>
      </c>
      <c r="Z650" s="706">
        <v>3</v>
      </c>
      <c r="AA650" s="706">
        <v>3</v>
      </c>
      <c r="AB650" s="706">
        <v>3</v>
      </c>
      <c r="AC650" s="706">
        <v>0</v>
      </c>
      <c r="AD650" s="706">
        <v>0</v>
      </c>
      <c r="AE650" s="706">
        <v>0</v>
      </c>
      <c r="AF650" s="706">
        <v>0</v>
      </c>
      <c r="AG650" s="706">
        <v>0</v>
      </c>
      <c r="AH650" s="706">
        <v>1</v>
      </c>
      <c r="AI650" s="706">
        <v>1</v>
      </c>
      <c r="AJ650" s="905" t="str">
        <f t="shared" si="60"/>
        <v>G43602</v>
      </c>
      <c r="AK650" s="905" t="str">
        <f t="shared" si="61"/>
        <v>VENTES GMC ACADIA</v>
      </c>
      <c r="AL650" s="905">
        <f>IFERROR(INDEX(G650:R650,1,MATCH(Parametres!$B$3,G$1:R$1,0)-1)*IF(OR(F650="L",F650="S",F650="I"),-1,1),"")</f>
        <v>-199872</v>
      </c>
      <c r="AM650" s="905">
        <f t="shared" si="62"/>
        <v>0</v>
      </c>
      <c r="AN650" s="905">
        <f>INDEX(G650:R650,1,MATCH(Parametres!$B$3,G$1:R$1,0))*IF(OR(F650="L",F650="S",F650="I"),-1,1)</f>
        <v>-199872</v>
      </c>
      <c r="AO650" s="487" t="str">
        <f>+VLOOKUP($AJ650,Data_Validation!$A:$D,1,0)</f>
        <v>G43602</v>
      </c>
      <c r="AP650" s="487" t="str">
        <f>+VLOOKUP($AJ650,Data_Validation!$A:$D,3,0)</f>
        <v>Véhicules neufs</v>
      </c>
      <c r="AQ650" s="487" t="str">
        <f>+VLOOKUP($AJ650,Data_Validation!$A:$D,4,0)</f>
        <v>Camions détail</v>
      </c>
      <c r="AR650" s="487" t="s">
        <v>299</v>
      </c>
      <c r="AS650" s="487" t="str">
        <f>+VLOOKUP($AJ650,Data_Validation!$A:$E,5,0)</f>
        <v>Oui</v>
      </c>
      <c r="AT650" s="904" t="str">
        <f t="shared" si="63"/>
        <v>G43602</v>
      </c>
      <c r="AU650" s="488" t="str">
        <f t="shared" si="64"/>
        <v>VENTES GMC ACADIA</v>
      </c>
      <c r="AV650" s="899">
        <f>IFERROR(INDEX(V650:AG650,1,MATCH(Parametres!$B$3,V$1:AG$1,0)-1)*IF(OR(C650="L",C650="S",C650="I"),-1,1),"")</f>
        <v>3</v>
      </c>
      <c r="AW650" s="899">
        <f t="shared" si="65"/>
        <v>0</v>
      </c>
      <c r="AX650" s="899">
        <f>INDEX(V650:AG650,1,MATCH(Parametres!$B$3,V$1:AG$1,0))*IF(OR(C650="L",C650="S",C650="I"),-1,1)</f>
        <v>3</v>
      </c>
      <c r="AY650" s="487" t="s">
        <v>337</v>
      </c>
      <c r="AZ650" s="487" t="str">
        <f>+VLOOKUP($AJ650,Data_Validation!$A:$E,5,0)</f>
        <v>Oui</v>
      </c>
    </row>
    <row r="651" spans="1:52" ht="15" customHeight="1">
      <c r="A651" s="706" t="s">
        <v>1148</v>
      </c>
      <c r="B651" s="706">
        <v>2026</v>
      </c>
      <c r="C651" s="706" t="s">
        <v>2377</v>
      </c>
      <c r="D651" s="706" t="s">
        <v>2378</v>
      </c>
      <c r="E651" s="706" t="s">
        <v>1149</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G43800</v>
      </c>
      <c r="AK651" s="905" t="str">
        <f t="shared" si="61"/>
        <v>VTES-CHEV CAMION AUTRES</v>
      </c>
      <c r="AL651" s="905">
        <f>IFERROR(INDEX(G651:R651,1,MATCH(Parametres!$B$3,G$1:R$1,0)-1)*IF(OR(F651="L",F651="S",F651="I"),-1,1),"")</f>
        <v>0</v>
      </c>
      <c r="AM651" s="905">
        <f t="shared" si="62"/>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t="str">
        <f t="shared" si="63"/>
        <v>G43800</v>
      </c>
      <c r="AU651" s="488" t="str">
        <f t="shared" si="64"/>
        <v>VTES-CHEV CAMION AUTRES</v>
      </c>
      <c r="AV651" s="899">
        <f>IFERROR(INDEX(V651:AG651,1,MATCH(Parametres!$B$3,V$1:AG$1,0)-1)*IF(OR(C651="L",C651="S",C651="I"),-1,1),"")</f>
        <v>0</v>
      </c>
      <c r="AW651" s="899">
        <f t="shared" si="65"/>
        <v>0</v>
      </c>
      <c r="AX651" s="899">
        <f>INDEX(V651:AG651,1,MATCH(Parametres!$B$3,V$1:AG$1,0))*IF(OR(C651="L",C651="S",C651="I"),-1,1)</f>
        <v>0</v>
      </c>
      <c r="AY651" s="487" t="s">
        <v>337</v>
      </c>
      <c r="AZ651" s="487" t="e">
        <f>+VLOOKUP($AJ651,Data_Validation!$A:$E,5,0)</f>
        <v>#N/A</v>
      </c>
    </row>
    <row r="652" spans="1:52" ht="15" customHeight="1">
      <c r="A652" s="706" t="s">
        <v>1148</v>
      </c>
      <c r="B652" s="706">
        <v>2026</v>
      </c>
      <c r="C652" s="706" t="s">
        <v>2379</v>
      </c>
      <c r="D652" s="706" t="s">
        <v>2380</v>
      </c>
      <c r="E652" s="706" t="s">
        <v>1149</v>
      </c>
      <c r="F652" s="706" t="s">
        <v>1149</v>
      </c>
      <c r="G652" s="706">
        <v>0</v>
      </c>
      <c r="H652" s="706">
        <v>0</v>
      </c>
      <c r="I652" s="706">
        <v>0</v>
      </c>
      <c r="J652" s="706">
        <v>0</v>
      </c>
      <c r="K652" s="706">
        <v>0</v>
      </c>
      <c r="L652" s="706">
        <v>0</v>
      </c>
      <c r="M652" s="706">
        <v>0</v>
      </c>
      <c r="N652" s="706">
        <v>0</v>
      </c>
      <c r="O652" s="706">
        <v>0</v>
      </c>
      <c r="P652" s="706">
        <v>0</v>
      </c>
      <c r="Q652" s="706">
        <v>0</v>
      </c>
      <c r="R652" s="706">
        <v>0</v>
      </c>
      <c r="S652" s="706">
        <v>0</v>
      </c>
      <c r="T652" s="706">
        <v>0</v>
      </c>
      <c r="U652" s="706">
        <v>0</v>
      </c>
      <c r="V652" s="706">
        <v>0</v>
      </c>
      <c r="W652" s="706">
        <v>0</v>
      </c>
      <c r="X652" s="706">
        <v>0</v>
      </c>
      <c r="Y652" s="706">
        <v>0</v>
      </c>
      <c r="Z652" s="706">
        <v>0</v>
      </c>
      <c r="AA652" s="706">
        <v>0</v>
      </c>
      <c r="AB652" s="706">
        <v>0</v>
      </c>
      <c r="AC652" s="706">
        <v>0</v>
      </c>
      <c r="AD652" s="706">
        <v>0</v>
      </c>
      <c r="AE652" s="706">
        <v>0</v>
      </c>
      <c r="AF652" s="706">
        <v>0</v>
      </c>
      <c r="AG652" s="706">
        <v>0</v>
      </c>
      <c r="AH652" s="706">
        <v>0</v>
      </c>
      <c r="AI652" s="706">
        <v>0</v>
      </c>
      <c r="AJ652" s="905" t="str">
        <f t="shared" si="60"/>
        <v>G43820</v>
      </c>
      <c r="AK652" s="905" t="str">
        <f t="shared" si="61"/>
        <v>VTES-CHEV CAM AUTRE  -LOC</v>
      </c>
      <c r="AL652" s="905">
        <f>IFERROR(INDEX(G652:R652,1,MATCH(Parametres!$B$3,G$1:R$1,0)-1)*IF(OR(F652="L",F652="S",F652="I"),-1,1),"")</f>
        <v>0</v>
      </c>
      <c r="AM652" s="905">
        <f t="shared" si="62"/>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t="str">
        <f t="shared" si="63"/>
        <v>G43820</v>
      </c>
      <c r="AU652" s="488" t="str">
        <f t="shared" si="64"/>
        <v>VTES-CHEV CAM AUTRE  -LOC</v>
      </c>
      <c r="AV652" s="899">
        <f>IFERROR(INDEX(V652:AG652,1,MATCH(Parametres!$B$3,V$1:AG$1,0)-1)*IF(OR(C652="L",C652="S",C652="I"),-1,1),"")</f>
        <v>0</v>
      </c>
      <c r="AW652" s="899">
        <f t="shared" si="65"/>
        <v>0</v>
      </c>
      <c r="AX652" s="899">
        <f>INDEX(V652:AG652,1,MATCH(Parametres!$B$3,V$1:AG$1,0))*IF(OR(C652="L",C652="S",C652="I"),-1,1)</f>
        <v>0</v>
      </c>
      <c r="AY652" s="487" t="s">
        <v>337</v>
      </c>
      <c r="AZ652" s="487" t="e">
        <f>+VLOOKUP($AJ652,Data_Validation!$A:$E,5,0)</f>
        <v>#N/A</v>
      </c>
    </row>
    <row r="653" spans="1:52" ht="15" customHeight="1">
      <c r="A653" s="706" t="s">
        <v>1148</v>
      </c>
      <c r="B653" s="706">
        <v>2026</v>
      </c>
      <c r="C653" s="706" t="s">
        <v>2381</v>
      </c>
      <c r="D653" s="706" t="s">
        <v>2382</v>
      </c>
      <c r="E653" s="706" t="s">
        <v>1149</v>
      </c>
      <c r="F653" s="706" t="s">
        <v>1149</v>
      </c>
      <c r="G653" s="706">
        <v>7341393.8700000001</v>
      </c>
      <c r="H653" s="706">
        <v>16188705.73</v>
      </c>
      <c r="I653" s="706">
        <v>24057643.949999999</v>
      </c>
      <c r="J653" s="706">
        <v>35215377.390000001</v>
      </c>
      <c r="K653" s="706">
        <v>46698197.899999999</v>
      </c>
      <c r="L653" s="706">
        <v>55470148.740000002</v>
      </c>
      <c r="M653" s="706">
        <v>56137162.659999996</v>
      </c>
      <c r="N653" s="706">
        <v>0</v>
      </c>
      <c r="O653" s="706">
        <v>0</v>
      </c>
      <c r="P653" s="706">
        <v>0</v>
      </c>
      <c r="Q653" s="706">
        <v>0</v>
      </c>
      <c r="R653" s="706">
        <v>0</v>
      </c>
      <c r="S653" s="706">
        <v>9245024.7899999991</v>
      </c>
      <c r="T653" s="706">
        <v>9245024.7899999991</v>
      </c>
      <c r="U653" s="706">
        <v>0</v>
      </c>
      <c r="V653" s="706">
        <v>113</v>
      </c>
      <c r="W653" s="706">
        <v>259</v>
      </c>
      <c r="X653" s="706">
        <v>393</v>
      </c>
      <c r="Y653" s="706">
        <v>551</v>
      </c>
      <c r="Z653" s="706">
        <v>725</v>
      </c>
      <c r="AA653" s="706">
        <v>846</v>
      </c>
      <c r="AB653" s="706">
        <v>856</v>
      </c>
      <c r="AC653" s="706">
        <v>0</v>
      </c>
      <c r="AD653" s="706">
        <v>0</v>
      </c>
      <c r="AE653" s="706">
        <v>0</v>
      </c>
      <c r="AF653" s="706">
        <v>0</v>
      </c>
      <c r="AG653" s="706">
        <v>0</v>
      </c>
      <c r="AH653" s="706">
        <v>141</v>
      </c>
      <c r="AI653" s="706">
        <v>141</v>
      </c>
      <c r="AJ653" s="905" t="str">
        <f t="shared" si="60"/>
        <v>G44000</v>
      </c>
      <c r="AK653" s="905" t="str">
        <f t="shared" si="61"/>
        <v>VENTES PARCS CAMIONS</v>
      </c>
      <c r="AL653" s="905">
        <f>IFERROR(INDEX(G653:R653,1,MATCH(Parametres!$B$3,G$1:R$1,0)-1)*IF(OR(F653="L",F653="S",F653="I"),-1,1),"")</f>
        <v>-46698197.899999999</v>
      </c>
      <c r="AM653" s="905">
        <f t="shared" si="62"/>
        <v>-8771950.8400000036</v>
      </c>
      <c r="AN653" s="905">
        <f>INDEX(G653:R653,1,MATCH(Parametres!$B$3,G$1:R$1,0))*IF(OR(F653="L",F653="S",F653="I"),-1,1)</f>
        <v>-55470148.740000002</v>
      </c>
      <c r="AO653" s="487" t="str">
        <f>+VLOOKUP($AJ653,Data_Validation!$A:$D,1,0)</f>
        <v>G44000</v>
      </c>
      <c r="AP653" s="487" t="str">
        <f>+VLOOKUP($AJ653,Data_Validation!$A:$D,3,0)</f>
        <v>Véhicules neufs</v>
      </c>
      <c r="AQ653" s="487" t="str">
        <f>+VLOOKUP($AJ653,Data_Validation!$A:$D,4,0)</f>
        <v>Flottes</v>
      </c>
      <c r="AR653" s="487" t="s">
        <v>299</v>
      </c>
      <c r="AS653" s="487" t="str">
        <f>+VLOOKUP($AJ653,Data_Validation!$A:$E,5,0)</f>
        <v>Oui</v>
      </c>
      <c r="AT653" s="904" t="str">
        <f t="shared" si="63"/>
        <v>G44000</v>
      </c>
      <c r="AU653" s="488" t="str">
        <f t="shared" si="64"/>
        <v>VENTES PARCS CAMIONS</v>
      </c>
      <c r="AV653" s="899">
        <f>IFERROR(INDEX(V653:AG653,1,MATCH(Parametres!$B$3,V$1:AG$1,0)-1)*IF(OR(C653="L",C653="S",C653="I"),-1,1),"")</f>
        <v>725</v>
      </c>
      <c r="AW653" s="899">
        <f t="shared" si="65"/>
        <v>121</v>
      </c>
      <c r="AX653" s="899">
        <f>INDEX(V653:AG653,1,MATCH(Parametres!$B$3,V$1:AG$1,0))*IF(OR(C653="L",C653="S",C653="I"),-1,1)</f>
        <v>846</v>
      </c>
      <c r="AY653" s="487" t="s">
        <v>337</v>
      </c>
      <c r="AZ653" s="487" t="str">
        <f>+VLOOKUP($AJ653,Data_Validation!$A:$E,5,0)</f>
        <v>Oui</v>
      </c>
    </row>
    <row r="654" spans="1:52" ht="15" customHeight="1">
      <c r="A654" s="706" t="s">
        <v>1148</v>
      </c>
      <c r="B654" s="706">
        <v>2026</v>
      </c>
      <c r="C654" s="706" t="s">
        <v>2383</v>
      </c>
      <c r="D654" s="706" t="s">
        <v>2384</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G44100</v>
      </c>
      <c r="AK654" s="905" t="str">
        <f t="shared" si="61"/>
        <v>VTES-INTERNE CAMIONS</v>
      </c>
      <c r="AL654" s="905">
        <f>IFERROR(INDEX(G654:R654,1,MATCH(Parametres!$B$3,G$1:R$1,0)-1)*IF(OR(F654="L",F654="S",F654="I"),-1,1),"")</f>
        <v>0</v>
      </c>
      <c r="AM654" s="905">
        <f t="shared" si="62"/>
        <v>0</v>
      </c>
      <c r="AN654" s="905">
        <f>INDEX(G654:R654,1,MATCH(Parametres!$B$3,G$1:R$1,0))*IF(OR(F654="L",F654="S",F654="I"),-1,1)</f>
        <v>0</v>
      </c>
      <c r="AO654" s="487" t="str">
        <f>+VLOOKUP($AJ654,Data_Validation!$A:$D,1,0)</f>
        <v>G44100</v>
      </c>
      <c r="AP654" s="487" t="str">
        <f>+VLOOKUP($AJ654,Data_Validation!$A:$D,3,0)</f>
        <v>Véhicules neufs</v>
      </c>
      <c r="AQ654" s="487" t="str">
        <f>+VLOOKUP($AJ654,Data_Validation!$A:$D,4,0)</f>
        <v>Flottes</v>
      </c>
      <c r="AR654" s="487" t="s">
        <v>299</v>
      </c>
      <c r="AS654" s="487" t="str">
        <f>+VLOOKUP($AJ654,Data_Validation!$A:$E,5,0)</f>
        <v>Oui</v>
      </c>
      <c r="AT654" s="904" t="str">
        <f t="shared" si="63"/>
        <v>G44100</v>
      </c>
      <c r="AU654" s="488" t="str">
        <f t="shared" si="64"/>
        <v>VTES-INTERNE CAMIONS</v>
      </c>
      <c r="AV654" s="899">
        <f>IFERROR(INDEX(V654:AG654,1,MATCH(Parametres!$B$3,V$1:AG$1,0)-1)*IF(OR(C654="L",C654="S",C654="I"),-1,1),"")</f>
        <v>0</v>
      </c>
      <c r="AW654" s="899">
        <f t="shared" si="65"/>
        <v>0</v>
      </c>
      <c r="AX654" s="899">
        <f>INDEX(V654:AG654,1,MATCH(Parametres!$B$3,V$1:AG$1,0))*IF(OR(C654="L",C654="S",C654="I"),-1,1)</f>
        <v>0</v>
      </c>
      <c r="AY654" s="487" t="s">
        <v>337</v>
      </c>
      <c r="AZ654" s="487" t="str">
        <f>+VLOOKUP($AJ654,Data_Validation!$A:$E,5,0)</f>
        <v>Oui</v>
      </c>
    </row>
    <row r="655" spans="1:52" ht="15" customHeight="1">
      <c r="A655" s="706" t="s">
        <v>1148</v>
      </c>
      <c r="B655" s="706">
        <v>2026</v>
      </c>
      <c r="C655" s="706" t="s">
        <v>2385</v>
      </c>
      <c r="D655" s="706" t="s">
        <v>2386</v>
      </c>
      <c r="E655" s="706" t="s">
        <v>333</v>
      </c>
      <c r="F655" s="706" t="s">
        <v>1149</v>
      </c>
      <c r="G655" s="706">
        <v>61922.46</v>
      </c>
      <c r="H655" s="706">
        <v>99457.46</v>
      </c>
      <c r="I655" s="706">
        <v>156410.91</v>
      </c>
      <c r="J655" s="706">
        <v>273816.55</v>
      </c>
      <c r="K655" s="706">
        <v>330493.25</v>
      </c>
      <c r="L655" s="706">
        <v>384528.25</v>
      </c>
      <c r="M655" s="706">
        <v>391594.25</v>
      </c>
      <c r="N655" s="706">
        <v>0</v>
      </c>
      <c r="O655" s="706">
        <v>0</v>
      </c>
      <c r="P655" s="706">
        <v>0</v>
      </c>
      <c r="Q655" s="706">
        <v>0</v>
      </c>
      <c r="R655" s="706">
        <v>0</v>
      </c>
      <c r="S655" s="706">
        <v>64088.04</v>
      </c>
      <c r="T655" s="706">
        <v>64088.04</v>
      </c>
      <c r="U655" s="706">
        <v>0</v>
      </c>
      <c r="V655" s="706">
        <v>13</v>
      </c>
      <c r="W655" s="706">
        <v>24</v>
      </c>
      <c r="X655" s="706">
        <v>42</v>
      </c>
      <c r="Y655" s="706">
        <v>75</v>
      </c>
      <c r="Z655" s="706">
        <v>90</v>
      </c>
      <c r="AA655" s="706">
        <v>104</v>
      </c>
      <c r="AB655" s="706">
        <v>106</v>
      </c>
      <c r="AC655" s="706">
        <v>0</v>
      </c>
      <c r="AD655" s="706">
        <v>0</v>
      </c>
      <c r="AE655" s="706">
        <v>0</v>
      </c>
      <c r="AF655" s="706">
        <v>0</v>
      </c>
      <c r="AG655" s="706">
        <v>0</v>
      </c>
      <c r="AH655" s="706">
        <v>17</v>
      </c>
      <c r="AI655" s="706">
        <v>17</v>
      </c>
      <c r="AJ655" s="905" t="str">
        <f t="shared" si="60"/>
        <v>G44300</v>
      </c>
      <c r="AK655" s="905" t="str">
        <f t="shared" si="61"/>
        <v>VTES-PLAN PROTECTION</v>
      </c>
      <c r="AL655" s="905">
        <f>IFERROR(INDEX(G655:R655,1,MATCH(Parametres!$B$3,G$1:R$1,0)-1)*IF(OR(F655="L",F655="S",F655="I"),-1,1),"")</f>
        <v>-330493.25</v>
      </c>
      <c r="AM655" s="905">
        <f t="shared" si="62"/>
        <v>-54035</v>
      </c>
      <c r="AN655" s="905">
        <f>INDEX(G655:R655,1,MATCH(Parametres!$B$3,G$1:R$1,0))*IF(OR(F655="L",F655="S",F655="I"),-1,1)</f>
        <v>-384528.25</v>
      </c>
      <c r="AO655" s="487" t="str">
        <f>+VLOOKUP($AJ655,Data_Validation!$A:$D,1,0)</f>
        <v>G44300</v>
      </c>
      <c r="AP655" s="487" t="str">
        <f>+VLOOKUP($AJ655,Data_Validation!$A:$D,3,0)</f>
        <v>Véhicules neufs</v>
      </c>
      <c r="AQ655" s="487" t="str">
        <f>+VLOOKUP($AJ655,Data_Validation!$A:$D,4,0)</f>
        <v>Rev. Protections</v>
      </c>
      <c r="AR655" s="487" t="s">
        <v>299</v>
      </c>
      <c r="AS655" s="487" t="str">
        <f>+VLOOKUP($AJ655,Data_Validation!$A:$E,5,0)</f>
        <v>Oui</v>
      </c>
      <c r="AT655" s="904" t="str">
        <f t="shared" si="63"/>
        <v>G44300</v>
      </c>
      <c r="AU655" s="488" t="str">
        <f t="shared" si="64"/>
        <v>VTES-PLAN PROTECTION</v>
      </c>
      <c r="AV655" s="899">
        <f>IFERROR(INDEX(V655:AG655,1,MATCH(Parametres!$B$3,V$1:AG$1,0)-1)*IF(OR(C655="L",C655="S",C655="I"),-1,1),"")</f>
        <v>90</v>
      </c>
      <c r="AW655" s="899">
        <f t="shared" si="65"/>
        <v>14</v>
      </c>
      <c r="AX655" s="899">
        <f>INDEX(V655:AG655,1,MATCH(Parametres!$B$3,V$1:AG$1,0))*IF(OR(C655="L",C655="S",C655="I"),-1,1)</f>
        <v>104</v>
      </c>
      <c r="AY655" s="487" t="s">
        <v>337</v>
      </c>
      <c r="AZ655" s="487" t="str">
        <f>+VLOOKUP($AJ655,Data_Validation!$A:$E,5,0)</f>
        <v>Oui</v>
      </c>
    </row>
    <row r="656" spans="1:52" ht="15" customHeight="1">
      <c r="A656" s="706" t="s">
        <v>1148</v>
      </c>
      <c r="B656" s="706">
        <v>2026</v>
      </c>
      <c r="C656" s="706" t="s">
        <v>2387</v>
      </c>
      <c r="D656" s="706" t="s">
        <v>2388</v>
      </c>
      <c r="E656" s="706" t="s">
        <v>333</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G44400</v>
      </c>
      <c r="AK656" s="905" t="str">
        <f t="shared" si="61"/>
        <v>VENTE PROTECTION PLUS</v>
      </c>
      <c r="AL656" s="905">
        <f>IFERROR(INDEX(G656:R656,1,MATCH(Parametres!$B$3,G$1:R$1,0)-1)*IF(OR(F656="L",F656="S",F656="I"),-1,1),"")</f>
        <v>0</v>
      </c>
      <c r="AM656" s="905">
        <f t="shared" si="62"/>
        <v>0</v>
      </c>
      <c r="AN656" s="905">
        <f>INDEX(G656:R656,1,MATCH(Parametres!$B$3,G$1:R$1,0))*IF(OR(F656="L",F656="S",F656="I"),-1,1)</f>
        <v>0</v>
      </c>
      <c r="AO656" s="487" t="str">
        <f>+VLOOKUP($AJ656,Data_Validation!$A:$D,1,0)</f>
        <v>G44400</v>
      </c>
      <c r="AP656" s="487" t="str">
        <f>+VLOOKUP($AJ656,Data_Validation!$A:$D,3,0)</f>
        <v>Véhicules neufs</v>
      </c>
      <c r="AQ656" s="487" t="str">
        <f>+VLOOKUP($AJ656,Data_Validation!$A:$D,4,0)</f>
        <v>Rev. Protections</v>
      </c>
      <c r="AR656" s="487" t="s">
        <v>299</v>
      </c>
      <c r="AS656" s="487" t="str">
        <f>+VLOOKUP($AJ656,Data_Validation!$A:$E,5,0)</f>
        <v>Oui</v>
      </c>
      <c r="AT656" s="904" t="str">
        <f t="shared" si="63"/>
        <v>G44400</v>
      </c>
      <c r="AU656" s="488" t="str">
        <f t="shared" si="64"/>
        <v>VENTE PROTECTION PLUS</v>
      </c>
      <c r="AV656" s="899">
        <f>IFERROR(INDEX(V656:AG656,1,MATCH(Parametres!$B$3,V$1:AG$1,0)-1)*IF(OR(C656="L",C656="S",C656="I"),-1,1),"")</f>
        <v>0</v>
      </c>
      <c r="AW656" s="899">
        <f t="shared" si="65"/>
        <v>0</v>
      </c>
      <c r="AX656" s="899">
        <f>INDEX(V656:AG656,1,MATCH(Parametres!$B$3,V$1:AG$1,0))*IF(OR(C656="L",C656="S",C656="I"),-1,1)</f>
        <v>0</v>
      </c>
      <c r="AY656" s="487" t="s">
        <v>337</v>
      </c>
      <c r="AZ656" s="487" t="str">
        <f>+VLOOKUP($AJ656,Data_Validation!$A:$E,5,0)</f>
        <v>Oui</v>
      </c>
    </row>
    <row r="657" spans="1:52" ht="15" customHeight="1">
      <c r="A657" s="706" t="s">
        <v>1148</v>
      </c>
      <c r="B657" s="706">
        <v>2026</v>
      </c>
      <c r="C657" s="706" t="s">
        <v>2389</v>
      </c>
      <c r="D657" s="706" t="s">
        <v>2390</v>
      </c>
      <c r="E657" s="706" t="s">
        <v>333</v>
      </c>
      <c r="F657" s="706" t="s">
        <v>1149</v>
      </c>
      <c r="G657" s="706">
        <v>2298</v>
      </c>
      <c r="H657" s="706">
        <v>4623</v>
      </c>
      <c r="I657" s="706">
        <v>6521</v>
      </c>
      <c r="J657" s="706">
        <v>13070</v>
      </c>
      <c r="K657" s="706">
        <v>17998</v>
      </c>
      <c r="L657" s="706">
        <v>24187</v>
      </c>
      <c r="M657" s="706">
        <v>27187</v>
      </c>
      <c r="N657" s="706">
        <v>0</v>
      </c>
      <c r="O657" s="706">
        <v>0</v>
      </c>
      <c r="P657" s="706">
        <v>0</v>
      </c>
      <c r="Q657" s="706">
        <v>0</v>
      </c>
      <c r="R657" s="706">
        <v>0</v>
      </c>
      <c r="S657" s="706">
        <v>4031.17</v>
      </c>
      <c r="T657" s="706">
        <v>4031.17</v>
      </c>
      <c r="U657" s="706">
        <v>0</v>
      </c>
      <c r="V657" s="706">
        <v>2</v>
      </c>
      <c r="W657" s="706">
        <v>4</v>
      </c>
      <c r="X657" s="706">
        <v>6</v>
      </c>
      <c r="Y657" s="706">
        <v>12</v>
      </c>
      <c r="Z657" s="706">
        <v>16</v>
      </c>
      <c r="AA657" s="706">
        <v>21</v>
      </c>
      <c r="AB657" s="706">
        <v>23</v>
      </c>
      <c r="AC657" s="706">
        <v>0</v>
      </c>
      <c r="AD657" s="706">
        <v>0</v>
      </c>
      <c r="AE657" s="706">
        <v>0</v>
      </c>
      <c r="AF657" s="706">
        <v>0</v>
      </c>
      <c r="AG657" s="706">
        <v>0</v>
      </c>
      <c r="AH657" s="706">
        <v>4</v>
      </c>
      <c r="AI657" s="706">
        <v>4</v>
      </c>
      <c r="AJ657" s="905" t="str">
        <f t="shared" si="60"/>
        <v>G44501</v>
      </c>
      <c r="AK657" s="905" t="str">
        <f t="shared" si="61"/>
        <v>VTES-ANTIROUILLE</v>
      </c>
      <c r="AL657" s="905">
        <f>IFERROR(INDEX(G657:R657,1,MATCH(Parametres!$B$3,G$1:R$1,0)-1)*IF(OR(F657="L",F657="S",F657="I"),-1,1),"")</f>
        <v>-17998</v>
      </c>
      <c r="AM657" s="905">
        <f t="shared" si="62"/>
        <v>-6189</v>
      </c>
      <c r="AN657" s="905">
        <f>INDEX(G657:R657,1,MATCH(Parametres!$B$3,G$1:R$1,0))*IF(OR(F657="L",F657="S",F657="I"),-1,1)</f>
        <v>-24187</v>
      </c>
      <c r="AO657" s="487" t="str">
        <f>+VLOOKUP($AJ657,Data_Validation!$A:$D,1,0)</f>
        <v>G44501</v>
      </c>
      <c r="AP657" s="487" t="str">
        <f>+VLOOKUP($AJ657,Data_Validation!$A:$D,3,0)</f>
        <v>Véhicules neufs</v>
      </c>
      <c r="AQ657" s="487" t="str">
        <f>+VLOOKUP($AJ657,Data_Validation!$A:$D,4,0)</f>
        <v>Rev. Autres</v>
      </c>
      <c r="AR657" s="487" t="s">
        <v>299</v>
      </c>
      <c r="AS657" s="487" t="str">
        <f>+VLOOKUP($AJ657,Data_Validation!$A:$E,5,0)</f>
        <v>Oui</v>
      </c>
      <c r="AT657" s="904" t="str">
        <f t="shared" si="63"/>
        <v>G44501</v>
      </c>
      <c r="AU657" s="488" t="str">
        <f t="shared" si="64"/>
        <v>VTES-ANTIROUILLE</v>
      </c>
      <c r="AV657" s="899">
        <f>IFERROR(INDEX(V657:AG657,1,MATCH(Parametres!$B$3,V$1:AG$1,0)-1)*IF(OR(C657="L",C657="S",C657="I"),-1,1),"")</f>
        <v>16</v>
      </c>
      <c r="AW657" s="899">
        <f t="shared" si="65"/>
        <v>5</v>
      </c>
      <c r="AX657" s="899">
        <f>INDEX(V657:AG657,1,MATCH(Parametres!$B$3,V$1:AG$1,0))*IF(OR(C657="L",C657="S",C657="I"),-1,1)</f>
        <v>21</v>
      </c>
      <c r="AY657" s="487" t="s">
        <v>337</v>
      </c>
      <c r="AZ657" s="487" t="str">
        <f>+VLOOKUP($AJ657,Data_Validation!$A:$E,5,0)</f>
        <v>Oui</v>
      </c>
    </row>
    <row r="658" spans="1:52" ht="15" customHeight="1">
      <c r="A658" s="706" t="s">
        <v>1148</v>
      </c>
      <c r="B658" s="706">
        <v>2026</v>
      </c>
      <c r="C658" s="706" t="s">
        <v>2391</v>
      </c>
      <c r="D658" s="706" t="s">
        <v>2392</v>
      </c>
      <c r="E658" s="706" t="s">
        <v>333</v>
      </c>
      <c r="F658" s="706" t="s">
        <v>1149</v>
      </c>
      <c r="G658" s="706">
        <v>0</v>
      </c>
      <c r="H658" s="706">
        <v>1249</v>
      </c>
      <c r="I658" s="706">
        <v>3403</v>
      </c>
      <c r="J658" s="706">
        <v>8652</v>
      </c>
      <c r="K658" s="706">
        <v>11822</v>
      </c>
      <c r="L658" s="706">
        <v>13092</v>
      </c>
      <c r="M658" s="706">
        <v>14493</v>
      </c>
      <c r="N658" s="706">
        <v>0</v>
      </c>
      <c r="O658" s="706">
        <v>0</v>
      </c>
      <c r="P658" s="706">
        <v>0</v>
      </c>
      <c r="Q658" s="706">
        <v>0</v>
      </c>
      <c r="R658" s="706">
        <v>0</v>
      </c>
      <c r="S658" s="706">
        <v>2182</v>
      </c>
      <c r="T658" s="706">
        <v>2182</v>
      </c>
      <c r="U658" s="706">
        <v>0</v>
      </c>
      <c r="V658" s="706">
        <v>0</v>
      </c>
      <c r="W658" s="706">
        <v>2</v>
      </c>
      <c r="X658" s="706">
        <v>7</v>
      </c>
      <c r="Y658" s="706">
        <v>16</v>
      </c>
      <c r="Z658" s="706">
        <v>21</v>
      </c>
      <c r="AA658" s="706">
        <v>23</v>
      </c>
      <c r="AB658" s="706">
        <v>24</v>
      </c>
      <c r="AC658" s="706">
        <v>0</v>
      </c>
      <c r="AD658" s="706">
        <v>0</v>
      </c>
      <c r="AE658" s="706">
        <v>0</v>
      </c>
      <c r="AF658" s="706">
        <v>0</v>
      </c>
      <c r="AG658" s="706">
        <v>0</v>
      </c>
      <c r="AH658" s="706">
        <v>4</v>
      </c>
      <c r="AI658" s="706">
        <v>4</v>
      </c>
      <c r="AJ658" s="905" t="str">
        <f t="shared" si="60"/>
        <v>G44503</v>
      </c>
      <c r="AK658" s="905" t="str">
        <f t="shared" si="61"/>
        <v>V.TEINTÉE-PEINTURE-TISSUS</v>
      </c>
      <c r="AL658" s="905">
        <f>IFERROR(INDEX(G658:R658,1,MATCH(Parametres!$B$3,G$1:R$1,0)-1)*IF(OR(F658="L",F658="S",F658="I"),-1,1),"")</f>
        <v>-11822</v>
      </c>
      <c r="AM658" s="905">
        <f t="shared" si="62"/>
        <v>-1270</v>
      </c>
      <c r="AN658" s="905">
        <f>INDEX(G658:R658,1,MATCH(Parametres!$B$3,G$1:R$1,0))*IF(OR(F658="L",F658="S",F658="I"),-1,1)</f>
        <v>-13092</v>
      </c>
      <c r="AO658" s="487" t="str">
        <f>+VLOOKUP($AJ658,Data_Validation!$A:$D,1,0)</f>
        <v>G44503</v>
      </c>
      <c r="AP658" s="487" t="str">
        <f>+VLOOKUP($AJ658,Data_Validation!$A:$D,3,0)</f>
        <v>Véhicules neufs</v>
      </c>
      <c r="AQ658" s="487" t="str">
        <f>+VLOOKUP($AJ658,Data_Validation!$A:$D,4,0)</f>
        <v>Rev. Autres</v>
      </c>
      <c r="AR658" s="487" t="s">
        <v>299</v>
      </c>
      <c r="AS658" s="487" t="str">
        <f>+VLOOKUP($AJ658,Data_Validation!$A:$E,5,0)</f>
        <v>Oui</v>
      </c>
      <c r="AT658" s="904" t="str">
        <f t="shared" si="63"/>
        <v>G44503</v>
      </c>
      <c r="AU658" s="488" t="str">
        <f t="shared" si="64"/>
        <v>V.TEINTÉE-PEINTURE-TISSUS</v>
      </c>
      <c r="AV658" s="899">
        <f>IFERROR(INDEX(V658:AG658,1,MATCH(Parametres!$B$3,V$1:AG$1,0)-1)*IF(OR(C658="L",C658="S",C658="I"),-1,1),"")</f>
        <v>21</v>
      </c>
      <c r="AW658" s="899">
        <f t="shared" si="65"/>
        <v>2</v>
      </c>
      <c r="AX658" s="899">
        <f>INDEX(V658:AG658,1,MATCH(Parametres!$B$3,V$1:AG$1,0))*IF(OR(C658="L",C658="S",C658="I"),-1,1)</f>
        <v>23</v>
      </c>
      <c r="AY658" s="487" t="s">
        <v>337</v>
      </c>
      <c r="AZ658" s="487" t="str">
        <f>+VLOOKUP($AJ658,Data_Validation!$A:$E,5,0)</f>
        <v>Oui</v>
      </c>
    </row>
    <row r="659" spans="1:52" ht="15" customHeight="1">
      <c r="A659" s="706" t="s">
        <v>1148</v>
      </c>
      <c r="B659" s="706">
        <v>2026</v>
      </c>
      <c r="C659" s="706" t="s">
        <v>2393</v>
      </c>
      <c r="D659" s="706" t="s">
        <v>2394</v>
      </c>
      <c r="E659" s="706" t="s">
        <v>333</v>
      </c>
      <c r="F659" s="706" t="s">
        <v>1149</v>
      </c>
      <c r="G659" s="706">
        <v>0</v>
      </c>
      <c r="H659" s="706">
        <v>4605</v>
      </c>
      <c r="I659" s="706">
        <v>7706.34</v>
      </c>
      <c r="J659" s="706">
        <v>10823.34</v>
      </c>
      <c r="K659" s="706">
        <v>10823.34</v>
      </c>
      <c r="L659" s="706">
        <v>10823.34</v>
      </c>
      <c r="M659" s="706">
        <v>10823.34</v>
      </c>
      <c r="N659" s="706">
        <v>0</v>
      </c>
      <c r="O659" s="706">
        <v>0</v>
      </c>
      <c r="P659" s="706">
        <v>0</v>
      </c>
      <c r="Q659" s="706">
        <v>0</v>
      </c>
      <c r="R659" s="706">
        <v>0</v>
      </c>
      <c r="S659" s="706">
        <v>1803.89</v>
      </c>
      <c r="T659" s="706">
        <v>1803.89</v>
      </c>
      <c r="U659" s="706">
        <v>0</v>
      </c>
      <c r="V659" s="706">
        <v>0</v>
      </c>
      <c r="W659" s="706">
        <v>2</v>
      </c>
      <c r="X659" s="706">
        <v>4</v>
      </c>
      <c r="Y659" s="706">
        <v>5</v>
      </c>
      <c r="Z659" s="706">
        <v>5</v>
      </c>
      <c r="AA659" s="706">
        <v>5</v>
      </c>
      <c r="AB659" s="706">
        <v>5</v>
      </c>
      <c r="AC659" s="706">
        <v>0</v>
      </c>
      <c r="AD659" s="706">
        <v>0</v>
      </c>
      <c r="AE659" s="706">
        <v>0</v>
      </c>
      <c r="AF659" s="706">
        <v>0</v>
      </c>
      <c r="AG659" s="706">
        <v>0</v>
      </c>
      <c r="AH659" s="706">
        <v>1</v>
      </c>
      <c r="AI659" s="706">
        <v>1</v>
      </c>
      <c r="AJ659" s="905" t="str">
        <f t="shared" ref="AJ659:AJ722" si="66">C659</f>
        <v>G44504</v>
      </c>
      <c r="AK659" s="905" t="str">
        <f t="shared" ref="AK659:AK722" si="67">D659</f>
        <v>VTES-ASS. VALEUR REMPL</v>
      </c>
      <c r="AL659" s="905">
        <f>IFERROR(INDEX(G659:R659,1,MATCH(Parametres!$B$3,G$1:R$1,0)-1)*IF(OR(F659="L",F659="S",F659="I"),-1,1),"")</f>
        <v>-10823.34</v>
      </c>
      <c r="AM659" s="905">
        <f t="shared" si="62"/>
        <v>0</v>
      </c>
      <c r="AN659" s="905">
        <f>INDEX(G659:R659,1,MATCH(Parametres!$B$3,G$1:R$1,0))*IF(OR(F659="L",F659="S",F659="I"),-1,1)</f>
        <v>-10823.34</v>
      </c>
      <c r="AO659" s="487" t="str">
        <f>+VLOOKUP($AJ659,Data_Validation!$A:$D,1,0)</f>
        <v>G44504</v>
      </c>
      <c r="AP659" s="487" t="str">
        <f>+VLOOKUP($AJ659,Data_Validation!$A:$D,3,0)</f>
        <v>Véhicules neufs</v>
      </c>
      <c r="AQ659" s="487" t="str">
        <f>+VLOOKUP($AJ659,Data_Validation!$A:$D,4,0)</f>
        <v>Rev. Protections</v>
      </c>
      <c r="AR659" s="487" t="s">
        <v>299</v>
      </c>
      <c r="AS659" s="487" t="str">
        <f>+VLOOKUP($AJ659,Data_Validation!$A:$E,5,0)</f>
        <v>Oui</v>
      </c>
      <c r="AT659" s="904" t="str">
        <f t="shared" si="63"/>
        <v>G44504</v>
      </c>
      <c r="AU659" s="488" t="str">
        <f t="shared" si="64"/>
        <v>VTES-ASS. VALEUR REMPL</v>
      </c>
      <c r="AV659" s="899">
        <f>IFERROR(INDEX(V659:AG659,1,MATCH(Parametres!$B$3,V$1:AG$1,0)-1)*IF(OR(C659="L",C659="S",C659="I"),-1,1),"")</f>
        <v>5</v>
      </c>
      <c r="AW659" s="899">
        <f t="shared" si="65"/>
        <v>0</v>
      </c>
      <c r="AX659" s="899">
        <f>INDEX(V659:AG659,1,MATCH(Parametres!$B$3,V$1:AG$1,0))*IF(OR(C659="L",C659="S",C659="I"),-1,1)</f>
        <v>5</v>
      </c>
      <c r="AY659" s="487" t="s">
        <v>337</v>
      </c>
      <c r="AZ659" s="487" t="str">
        <f>+VLOOKUP($AJ659,Data_Validation!$A:$E,5,0)</f>
        <v>Oui</v>
      </c>
    </row>
    <row r="660" spans="1:52" ht="15" customHeight="1">
      <c r="A660" s="706" t="s">
        <v>1148</v>
      </c>
      <c r="B660" s="706">
        <v>2026</v>
      </c>
      <c r="C660" s="706" t="s">
        <v>2395</v>
      </c>
      <c r="D660" s="706" t="s">
        <v>2396</v>
      </c>
      <c r="E660" s="706" t="s">
        <v>333</v>
      </c>
      <c r="F660" s="706" t="s">
        <v>1149</v>
      </c>
      <c r="G660" s="706">
        <v>3025</v>
      </c>
      <c r="H660" s="706">
        <v>6180</v>
      </c>
      <c r="I660" s="706">
        <v>10433</v>
      </c>
      <c r="J660" s="706">
        <v>14488</v>
      </c>
      <c r="K660" s="706">
        <v>16883</v>
      </c>
      <c r="L660" s="706">
        <v>18779</v>
      </c>
      <c r="M660" s="706">
        <v>18779</v>
      </c>
      <c r="N660" s="706">
        <v>0</v>
      </c>
      <c r="O660" s="706">
        <v>0</v>
      </c>
      <c r="P660" s="706">
        <v>0</v>
      </c>
      <c r="Q660" s="706">
        <v>0</v>
      </c>
      <c r="R660" s="706">
        <v>0</v>
      </c>
      <c r="S660" s="706">
        <v>3129.83</v>
      </c>
      <c r="T660" s="706">
        <v>3129.83</v>
      </c>
      <c r="U660" s="706">
        <v>0</v>
      </c>
      <c r="V660" s="706">
        <v>6</v>
      </c>
      <c r="W660" s="706">
        <v>13</v>
      </c>
      <c r="X660" s="706">
        <v>22</v>
      </c>
      <c r="Y660" s="706">
        <v>29</v>
      </c>
      <c r="Z660" s="706">
        <v>34</v>
      </c>
      <c r="AA660" s="706">
        <v>38</v>
      </c>
      <c r="AB660" s="706">
        <v>38</v>
      </c>
      <c r="AC660" s="706">
        <v>0</v>
      </c>
      <c r="AD660" s="706">
        <v>0</v>
      </c>
      <c r="AE660" s="706">
        <v>0</v>
      </c>
      <c r="AF660" s="706">
        <v>0</v>
      </c>
      <c r="AG660" s="706">
        <v>0</v>
      </c>
      <c r="AH660" s="706">
        <v>6</v>
      </c>
      <c r="AI660" s="706">
        <v>6</v>
      </c>
      <c r="AJ660" s="905" t="str">
        <f t="shared" si="66"/>
        <v>G44505</v>
      </c>
      <c r="AK660" s="905" t="str">
        <f t="shared" si="67"/>
        <v>VENTES-ANTIVOL &amp; TAG</v>
      </c>
      <c r="AL660" s="905">
        <f>IFERROR(INDEX(G660:R660,1,MATCH(Parametres!$B$3,G$1:R$1,0)-1)*IF(OR(F660="L",F660="S",F660="I"),-1,1),"")</f>
        <v>-16883</v>
      </c>
      <c r="AM660" s="905">
        <f t="shared" si="62"/>
        <v>-1896</v>
      </c>
      <c r="AN660" s="905">
        <f>INDEX(G660:R660,1,MATCH(Parametres!$B$3,G$1:R$1,0))*IF(OR(F660="L",F660="S",F660="I"),-1,1)</f>
        <v>-18779</v>
      </c>
      <c r="AO660" s="487" t="str">
        <f>+VLOOKUP($AJ660,Data_Validation!$A:$D,1,0)</f>
        <v>G44505</v>
      </c>
      <c r="AP660" s="487" t="str">
        <f>+VLOOKUP($AJ660,Data_Validation!$A:$D,3,0)</f>
        <v>Véhicules neufs</v>
      </c>
      <c r="AQ660" s="487" t="str">
        <f>+VLOOKUP($AJ660,Data_Validation!$A:$D,4,0)</f>
        <v>Rev. Autres</v>
      </c>
      <c r="AR660" s="487" t="s">
        <v>299</v>
      </c>
      <c r="AS660" s="487" t="str">
        <f>+VLOOKUP($AJ660,Data_Validation!$A:$E,5,0)</f>
        <v>Oui</v>
      </c>
      <c r="AT660" s="904" t="str">
        <f t="shared" si="63"/>
        <v>G44505</v>
      </c>
      <c r="AU660" s="488" t="str">
        <f t="shared" si="64"/>
        <v>VENTES-ANTIVOL &amp; TAG</v>
      </c>
      <c r="AV660" s="899">
        <f>IFERROR(INDEX(V660:AG660,1,MATCH(Parametres!$B$3,V$1:AG$1,0)-1)*IF(OR(C660="L",C660="S",C660="I"),-1,1),"")</f>
        <v>34</v>
      </c>
      <c r="AW660" s="899">
        <f t="shared" si="65"/>
        <v>4</v>
      </c>
      <c r="AX660" s="899">
        <f>INDEX(V660:AG660,1,MATCH(Parametres!$B$3,V$1:AG$1,0))*IF(OR(C660="L",C660="S",C660="I"),-1,1)</f>
        <v>38</v>
      </c>
      <c r="AY660" s="487" t="s">
        <v>337</v>
      </c>
      <c r="AZ660" s="487" t="str">
        <f>+VLOOKUP($AJ660,Data_Validation!$A:$E,5,0)</f>
        <v>Oui</v>
      </c>
    </row>
    <row r="661" spans="1:52" ht="15" customHeight="1">
      <c r="A661" s="706" t="s">
        <v>1148</v>
      </c>
      <c r="B661" s="706">
        <v>2026</v>
      </c>
      <c r="C661" s="706" t="s">
        <v>2397</v>
      </c>
      <c r="D661" s="706" t="s">
        <v>2398</v>
      </c>
      <c r="E661" s="706" t="s">
        <v>1149</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G44600</v>
      </c>
      <c r="AK661" s="905" t="str">
        <f t="shared" si="67"/>
        <v>VTES-AUTOS OCC. DET.OPT.</v>
      </c>
      <c r="AL661" s="905">
        <f>IFERROR(INDEX(G661:R661,1,MATCH(Parametres!$B$3,G$1:R$1,0)-1)*IF(OR(F661="L",F661="S",F661="I"),-1,1),"")</f>
        <v>0</v>
      </c>
      <c r="AM661" s="905">
        <f t="shared" si="62"/>
        <v>0</v>
      </c>
      <c r="AN661" s="905">
        <f>INDEX(G661:R661,1,MATCH(Parametres!$B$3,G$1:R$1,0))*IF(OR(F661="L",F661="S",F661="I"),-1,1)</f>
        <v>0</v>
      </c>
      <c r="AO661" s="487" t="str">
        <f>+VLOOKUP($AJ661,Data_Validation!$A:$D,1,0)</f>
        <v>G44600</v>
      </c>
      <c r="AP661" s="487" t="str">
        <f>+VLOOKUP($AJ661,Data_Validation!$A:$D,3,0)</f>
        <v>Véhicules usagés</v>
      </c>
      <c r="AQ661" s="487" t="str">
        <f>+VLOOKUP($AJ661,Data_Validation!$A:$D,4,0)</f>
        <v>Certifié</v>
      </c>
      <c r="AR661" s="487" t="s">
        <v>299</v>
      </c>
      <c r="AS661" s="487" t="str">
        <f>+VLOOKUP($AJ661,Data_Validation!$A:$E,5,0)</f>
        <v>Oui</v>
      </c>
      <c r="AT661" s="904" t="str">
        <f t="shared" si="63"/>
        <v>G44600</v>
      </c>
      <c r="AU661" s="488" t="str">
        <f t="shared" si="64"/>
        <v>VTES-AUTOS OCC. DET.OPT.</v>
      </c>
      <c r="AV661" s="899">
        <f>IFERROR(INDEX(V661:AG661,1,MATCH(Parametres!$B$3,V$1:AG$1,0)-1)*IF(OR(C661="L",C661="S",C661="I"),-1,1),"")</f>
        <v>0</v>
      </c>
      <c r="AW661" s="899">
        <f t="shared" si="65"/>
        <v>0</v>
      </c>
      <c r="AX661" s="899">
        <f>INDEX(V661:AG661,1,MATCH(Parametres!$B$3,V$1:AG$1,0))*IF(OR(C661="L",C661="S",C661="I"),-1,1)</f>
        <v>0</v>
      </c>
      <c r="AY661" s="487" t="s">
        <v>337</v>
      </c>
      <c r="AZ661" s="487" t="str">
        <f>+VLOOKUP($AJ661,Data_Validation!$A:$E,5,0)</f>
        <v>Oui</v>
      </c>
    </row>
    <row r="662" spans="1:52" ht="15" customHeight="1">
      <c r="A662" s="706" t="s">
        <v>1148</v>
      </c>
      <c r="B662" s="706">
        <v>2026</v>
      </c>
      <c r="C662" s="706" t="s">
        <v>2399</v>
      </c>
      <c r="D662" s="706" t="s">
        <v>3309</v>
      </c>
      <c r="E662" s="706" t="s">
        <v>1149</v>
      </c>
      <c r="F662" s="706" t="s">
        <v>1149</v>
      </c>
      <c r="G662" s="706">
        <v>94496</v>
      </c>
      <c r="H662" s="706">
        <v>154194</v>
      </c>
      <c r="I662" s="706">
        <v>200681</v>
      </c>
      <c r="J662" s="706">
        <v>304926</v>
      </c>
      <c r="K662" s="706">
        <v>408239.48</v>
      </c>
      <c r="L662" s="706">
        <v>495214.48</v>
      </c>
      <c r="M662" s="706">
        <v>508714.48</v>
      </c>
      <c r="N662" s="706">
        <v>0</v>
      </c>
      <c r="O662" s="706">
        <v>0</v>
      </c>
      <c r="P662" s="706">
        <v>0</v>
      </c>
      <c r="Q662" s="706">
        <v>0</v>
      </c>
      <c r="R662" s="706">
        <v>0</v>
      </c>
      <c r="S662" s="706">
        <v>82535.75</v>
      </c>
      <c r="T662" s="706">
        <v>82535.75</v>
      </c>
      <c r="U662" s="706">
        <v>0</v>
      </c>
      <c r="V662" s="706">
        <v>2</v>
      </c>
      <c r="W662" s="706">
        <v>4</v>
      </c>
      <c r="X662" s="706">
        <v>6</v>
      </c>
      <c r="Y662" s="706">
        <v>8</v>
      </c>
      <c r="Z662" s="706">
        <v>14</v>
      </c>
      <c r="AA662" s="706">
        <v>15</v>
      </c>
      <c r="AB662" s="706">
        <v>16</v>
      </c>
      <c r="AC662" s="706">
        <v>0</v>
      </c>
      <c r="AD662" s="706">
        <v>0</v>
      </c>
      <c r="AE662" s="706">
        <v>0</v>
      </c>
      <c r="AF662" s="706">
        <v>0</v>
      </c>
      <c r="AG662" s="706">
        <v>0</v>
      </c>
      <c r="AH662" s="706">
        <v>3</v>
      </c>
      <c r="AI662" s="706">
        <v>3</v>
      </c>
      <c r="AJ662" s="905" t="str">
        <f t="shared" si="66"/>
        <v>G44601</v>
      </c>
      <c r="AK662" s="905" t="str">
        <f t="shared" si="67"/>
        <v>VTES-VOIT.OCC.GM N-CERT</v>
      </c>
      <c r="AL662" s="905">
        <f>IFERROR(INDEX(G662:R662,1,MATCH(Parametres!$B$3,G$1:R$1,0)-1)*IF(OR(F662="L",F662="S",F662="I"),-1,1),"")</f>
        <v>-408239.48</v>
      </c>
      <c r="AM662" s="1047">
        <f t="shared" si="62"/>
        <v>-86975</v>
      </c>
      <c r="AN662" s="905">
        <f>INDEX(G662:R662,1,MATCH(Parametres!$B$3,G$1:R$1,0))*IF(OR(F662="L",F662="S",F662="I"),-1,1)</f>
        <v>-495214.48</v>
      </c>
      <c r="AO662" s="487" t="str">
        <f>+VLOOKUP($AJ662,Data_Validation!$A:$D,1,0)</f>
        <v>G44601</v>
      </c>
      <c r="AP662" s="487" t="str">
        <f>+VLOOKUP($AJ662,Data_Validation!$A:$D,3,0)</f>
        <v>Véhicules usagés</v>
      </c>
      <c r="AQ662" s="487" t="str">
        <f>+VLOOKUP($AJ662,Data_Validation!$A:$D,4,0)</f>
        <v>Non Certifié</v>
      </c>
      <c r="AR662" s="487" t="s">
        <v>299</v>
      </c>
      <c r="AS662" s="487" t="str">
        <f>+VLOOKUP($AJ662,Data_Validation!$A:$E,5,0)</f>
        <v>Oui</v>
      </c>
      <c r="AT662" s="904" t="str">
        <f t="shared" si="63"/>
        <v>G44601</v>
      </c>
      <c r="AU662" s="488" t="str">
        <f t="shared" si="64"/>
        <v>VTES-VOIT.OCC.GM N-CERT</v>
      </c>
      <c r="AV662" s="899">
        <f>IFERROR(INDEX(V662:AG662,1,MATCH(Parametres!$B$3,V$1:AG$1,0)-1)*IF(OR(C662="L",C662="S",C662="I"),-1,1),"")</f>
        <v>14</v>
      </c>
      <c r="AW662" s="899">
        <f t="shared" si="65"/>
        <v>1</v>
      </c>
      <c r="AX662" s="899">
        <f>INDEX(V662:AG662,1,MATCH(Parametres!$B$3,V$1:AG$1,0))*IF(OR(C662="L",C662="S",C662="I"),-1,1)</f>
        <v>15</v>
      </c>
      <c r="AY662" s="487" t="s">
        <v>337</v>
      </c>
      <c r="AZ662" s="487" t="str">
        <f>+VLOOKUP($AJ662,Data_Validation!$A:$E,5,0)</f>
        <v>Oui</v>
      </c>
    </row>
    <row r="663" spans="1:52" ht="15" customHeight="1">
      <c r="A663" s="706" t="s">
        <v>1148</v>
      </c>
      <c r="B663" s="706">
        <v>2026</v>
      </c>
      <c r="C663" s="706" t="s">
        <v>3166</v>
      </c>
      <c r="D663" s="706" t="s">
        <v>3167</v>
      </c>
      <c r="E663" s="706" t="s">
        <v>1149</v>
      </c>
      <c r="F663" s="706" t="s">
        <v>1149</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G44602</v>
      </c>
      <c r="AK663" s="905" t="str">
        <f t="shared" si="67"/>
        <v>VTES-AUTO AUTRE MARQ</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G44602</v>
      </c>
      <c r="AU663" s="488" t="str">
        <f t="shared" si="64"/>
        <v>VTES-AUTO AUTRE MARQ</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2026</v>
      </c>
      <c r="C664" s="706" t="s">
        <v>3168</v>
      </c>
      <c r="D664" s="706" t="s">
        <v>3169</v>
      </c>
      <c r="E664" s="706" t="s">
        <v>1149</v>
      </c>
      <c r="F664" s="706" t="s">
        <v>1149</v>
      </c>
      <c r="G664" s="706">
        <v>0</v>
      </c>
      <c r="H664" s="706">
        <v>0</v>
      </c>
      <c r="I664" s="706">
        <v>0</v>
      </c>
      <c r="J664" s="706">
        <v>0</v>
      </c>
      <c r="K664" s="706">
        <v>0</v>
      </c>
      <c r="L664" s="706">
        <v>7217.34</v>
      </c>
      <c r="M664" s="706">
        <v>7217.34</v>
      </c>
      <c r="N664" s="706">
        <v>0</v>
      </c>
      <c r="O664" s="706">
        <v>0</v>
      </c>
      <c r="P664" s="706">
        <v>0</v>
      </c>
      <c r="Q664" s="706">
        <v>0</v>
      </c>
      <c r="R664" s="706">
        <v>0</v>
      </c>
      <c r="S664" s="706">
        <v>1202.8900000000001</v>
      </c>
      <c r="T664" s="706">
        <v>1202.8900000000001</v>
      </c>
      <c r="U664" s="706">
        <v>0</v>
      </c>
      <c r="V664" s="706">
        <v>0</v>
      </c>
      <c r="W664" s="706">
        <v>0</v>
      </c>
      <c r="X664" s="706">
        <v>0</v>
      </c>
      <c r="Y664" s="706">
        <v>0</v>
      </c>
      <c r="Z664" s="706">
        <v>0</v>
      </c>
      <c r="AA664" s="706">
        <v>1</v>
      </c>
      <c r="AB664" s="706">
        <v>1</v>
      </c>
      <c r="AC664" s="706">
        <v>0</v>
      </c>
      <c r="AD664" s="706">
        <v>0</v>
      </c>
      <c r="AE664" s="706">
        <v>0</v>
      </c>
      <c r="AF664" s="706">
        <v>0</v>
      </c>
      <c r="AG664" s="706">
        <v>0</v>
      </c>
      <c r="AH664" s="706">
        <v>0</v>
      </c>
      <c r="AI664" s="706">
        <v>0</v>
      </c>
      <c r="AJ664" s="905" t="str">
        <f t="shared" si="66"/>
        <v>G44603</v>
      </c>
      <c r="AK664" s="905" t="str">
        <f t="shared" si="67"/>
        <v>VTES-RACHAT BAIL AUTO</v>
      </c>
      <c r="AL664" s="905">
        <f>IFERROR(INDEX(G664:R664,1,MATCH(Parametres!$B$3,G$1:R$1,0)-1)*IF(OR(F664="L",F664="S",F664="I"),-1,1),"")</f>
        <v>0</v>
      </c>
      <c r="AM664" s="905">
        <f t="shared" si="62"/>
        <v>-7217.34</v>
      </c>
      <c r="AN664" s="905">
        <f>INDEX(G664:R664,1,MATCH(Parametres!$B$3,G$1:R$1,0))*IF(OR(F664="L",F664="S",F664="I"),-1,1)</f>
        <v>-7217.34</v>
      </c>
      <c r="AO664" s="487" t="str">
        <f>+VLOOKUP($AJ664,Data_Validation!$A:$D,1,0)</f>
        <v>G44603</v>
      </c>
      <c r="AP664" s="487" t="str">
        <f>+VLOOKUP($AJ664,Data_Validation!$A:$D,3,0)</f>
        <v>Véhicules usagés</v>
      </c>
      <c r="AQ664" s="487" t="str">
        <f>+VLOOKUP($AJ664,Data_Validation!$A:$D,4,0)</f>
        <v>Rachat bail</v>
      </c>
      <c r="AR664" s="487" t="s">
        <v>299</v>
      </c>
      <c r="AS664" s="487">
        <f>+VLOOKUP($AJ664,Data_Validation!$A:$E,5,0)</f>
        <v>0</v>
      </c>
      <c r="AT664" s="904" t="str">
        <f t="shared" si="63"/>
        <v>G44603</v>
      </c>
      <c r="AU664" s="488" t="str">
        <f t="shared" si="64"/>
        <v>VTES-RACHAT BAIL AUTO</v>
      </c>
      <c r="AV664" s="899">
        <f>IFERROR(INDEX(V664:AG664,1,MATCH(Parametres!$B$3,V$1:AG$1,0)-1)*IF(OR(C664="L",C664="S",C664="I"),-1,1),"")</f>
        <v>0</v>
      </c>
      <c r="AW664" s="899">
        <f t="shared" si="65"/>
        <v>1</v>
      </c>
      <c r="AX664" s="899">
        <f>INDEX(V664:AG664,1,MATCH(Parametres!$B$3,V$1:AG$1,0))*IF(OR(C664="L",C664="S",C664="I"),-1,1)</f>
        <v>1</v>
      </c>
      <c r="AY664" s="487" t="s">
        <v>337</v>
      </c>
      <c r="AZ664" s="487">
        <f>+VLOOKUP($AJ664,Data_Validation!$A:$E,5,0)</f>
        <v>0</v>
      </c>
    </row>
    <row r="665" spans="1:52" ht="15" customHeight="1">
      <c r="A665" s="706" t="s">
        <v>1148</v>
      </c>
      <c r="B665" s="706">
        <v>2026</v>
      </c>
      <c r="C665" s="706" t="s">
        <v>2401</v>
      </c>
      <c r="D665" s="706" t="s">
        <v>2402</v>
      </c>
      <c r="E665" s="706" t="s">
        <v>1149</v>
      </c>
      <c r="F665" s="706" t="s">
        <v>1149</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G44620</v>
      </c>
      <c r="AK665" s="905" t="str">
        <f t="shared" si="67"/>
        <v>VTES-LOC AUTOS USAGE OPT.</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G44620</v>
      </c>
      <c r="AU665" s="488" t="str">
        <f t="shared" si="64"/>
        <v>VTES-LOC AUTOS USAGE OPT.</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2026</v>
      </c>
      <c r="C666" s="706" t="s">
        <v>2403</v>
      </c>
      <c r="D666" s="706" t="s">
        <v>2404</v>
      </c>
      <c r="E666" s="706" t="s">
        <v>333</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G44700</v>
      </c>
      <c r="AK666" s="905" t="str">
        <f t="shared" si="67"/>
        <v>*REM.NEUF VOITURE DET.OPT</v>
      </c>
      <c r="AL666" s="905">
        <f>IFERROR(INDEX(G666:R666,1,MATCH(Parametres!$B$3,G$1:R$1,0)-1)*IF(OR(F666="L",F666="S",F666="I"),-1,1),"")</f>
        <v>0</v>
      </c>
      <c r="AM666" s="905">
        <f t="shared" si="62"/>
        <v>0</v>
      </c>
      <c r="AN666" s="905">
        <f>INDEX(G666:R666,1,MATCH(Parametres!$B$3,G$1:R$1,0))*IF(OR(F666="L",F666="S",F666="I"),-1,1)</f>
        <v>0</v>
      </c>
      <c r="AO666" s="487" t="str">
        <f>+VLOOKUP($AJ666,Data_Validation!$A:$D,1,0)</f>
        <v>G44700</v>
      </c>
      <c r="AP666" s="487">
        <f>+VLOOKUP($AJ666,Data_Validation!$A:$D,3,0)</f>
        <v>0</v>
      </c>
      <c r="AQ666" s="487">
        <f>+VLOOKUP($AJ666,Data_Validation!$A:$D,4,0)</f>
        <v>0</v>
      </c>
      <c r="AR666" s="487" t="s">
        <v>299</v>
      </c>
      <c r="AS666" s="487">
        <f>+VLOOKUP($AJ666,Data_Validation!$A:$E,5,0)</f>
        <v>0</v>
      </c>
      <c r="AT666" s="904" t="str">
        <f t="shared" si="63"/>
        <v>G44700</v>
      </c>
      <c r="AU666" s="488" t="str">
        <f t="shared" si="64"/>
        <v>*REM.NEUF VOITURE DET.OPT</v>
      </c>
      <c r="AV666" s="899">
        <f>IFERROR(INDEX(V666:AG666,1,MATCH(Parametres!$B$3,V$1:AG$1,0)-1)*IF(OR(C666="L",C666="S",C666="I"),-1,1),"")</f>
        <v>0</v>
      </c>
      <c r="AW666" s="899">
        <f t="shared" si="65"/>
        <v>0</v>
      </c>
      <c r="AX666" s="899">
        <f>INDEX(V666:AG666,1,MATCH(Parametres!$B$3,V$1:AG$1,0))*IF(OR(C666="L",C666="S",C666="I"),-1,1)</f>
        <v>0</v>
      </c>
      <c r="AY666" s="487" t="s">
        <v>337</v>
      </c>
      <c r="AZ666" s="487">
        <f>+VLOOKUP($AJ666,Data_Validation!$A:$E,5,0)</f>
        <v>0</v>
      </c>
    </row>
    <row r="667" spans="1:52" ht="15" customHeight="1">
      <c r="A667" s="706" t="s">
        <v>1148</v>
      </c>
      <c r="B667" s="706">
        <v>2026</v>
      </c>
      <c r="C667" s="706" t="s">
        <v>2405</v>
      </c>
      <c r="D667" s="706" t="s">
        <v>2406</v>
      </c>
      <c r="E667" s="706" t="s">
        <v>333</v>
      </c>
      <c r="F667" s="706" t="s">
        <v>1149</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G44701</v>
      </c>
      <c r="AK667" s="905" t="str">
        <f t="shared" si="67"/>
        <v>*REM.NEUF VOIT.DET.AUTRES</v>
      </c>
      <c r="AL667" s="905">
        <f>IFERROR(INDEX(G667:R667,1,MATCH(Parametres!$B$3,G$1:R$1,0)-1)*IF(OR(F667="L",F667="S",F667="I"),-1,1),"")</f>
        <v>0</v>
      </c>
      <c r="AM667" s="905">
        <f t="shared" si="62"/>
        <v>0</v>
      </c>
      <c r="AN667" s="905">
        <f>INDEX(G667:R667,1,MATCH(Parametres!$B$3,G$1:R$1,0))*IF(OR(F667="L",F667="S",F667="I"),-1,1)</f>
        <v>0</v>
      </c>
      <c r="AO667" s="487" t="str">
        <f>+VLOOKUP($AJ667,Data_Validation!$A:$D,1,0)</f>
        <v>G44701</v>
      </c>
      <c r="AP667" s="487">
        <f>+VLOOKUP($AJ667,Data_Validation!$A:$D,3,0)</f>
        <v>0</v>
      </c>
      <c r="AQ667" s="487">
        <f>+VLOOKUP($AJ667,Data_Validation!$A:$D,4,0)</f>
        <v>0</v>
      </c>
      <c r="AR667" s="487" t="s">
        <v>299</v>
      </c>
      <c r="AS667" s="487">
        <f>+VLOOKUP($AJ667,Data_Validation!$A:$E,5,0)</f>
        <v>0</v>
      </c>
      <c r="AT667" s="904" t="str">
        <f t="shared" si="63"/>
        <v>G44701</v>
      </c>
      <c r="AU667" s="488" t="str">
        <f t="shared" si="64"/>
        <v>*REM.NEUF VOIT.DET.AUTRES</v>
      </c>
      <c r="AV667" s="899">
        <f>IFERROR(INDEX(V667:AG667,1,MATCH(Parametres!$B$3,V$1:AG$1,0)-1)*IF(OR(C667="L",C667="S",C667="I"),-1,1),"")</f>
        <v>0</v>
      </c>
      <c r="AW667" s="899">
        <f t="shared" si="65"/>
        <v>0</v>
      </c>
      <c r="AX667" s="899">
        <f>INDEX(V667:AG667,1,MATCH(Parametres!$B$3,V$1:AG$1,0))*IF(OR(C667="L",C667="S",C667="I"),-1,1)</f>
        <v>0</v>
      </c>
      <c r="AY667" s="487" t="s">
        <v>337</v>
      </c>
      <c r="AZ667" s="487">
        <f>+VLOOKUP($AJ667,Data_Validation!$A:$E,5,0)</f>
        <v>0</v>
      </c>
    </row>
    <row r="668" spans="1:52" ht="15" customHeight="1">
      <c r="A668" s="706" t="s">
        <v>1148</v>
      </c>
      <c r="B668" s="706">
        <v>2026</v>
      </c>
      <c r="C668" s="706" t="s">
        <v>2407</v>
      </c>
      <c r="D668" s="706" t="s">
        <v>2408</v>
      </c>
      <c r="E668" s="706" t="s">
        <v>333</v>
      </c>
      <c r="F668" s="706" t="s">
        <v>1149</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G44720</v>
      </c>
      <c r="AK668" s="905" t="str">
        <f t="shared" si="67"/>
        <v>*REM.NEUF LOC.AUTO DET.OP</v>
      </c>
      <c r="AL668" s="905">
        <f>IFERROR(INDEX(G668:R668,1,MATCH(Parametres!$B$3,G$1:R$1,0)-1)*IF(OR(F668="L",F668="S",F668="I"),-1,1),"")</f>
        <v>0</v>
      </c>
      <c r="AM668" s="905">
        <f t="shared" si="62"/>
        <v>0</v>
      </c>
      <c r="AN668" s="905">
        <f>INDEX(G668:R668,1,MATCH(Parametres!$B$3,G$1:R$1,0))*IF(OR(F668="L",F668="S",F668="I"),-1,1)</f>
        <v>0</v>
      </c>
      <c r="AO668" s="487" t="str">
        <f>+VLOOKUP($AJ668,Data_Validation!$A:$D,1,0)</f>
        <v>G44720</v>
      </c>
      <c r="AP668" s="487">
        <f>+VLOOKUP($AJ668,Data_Validation!$A:$D,3,0)</f>
        <v>0</v>
      </c>
      <c r="AQ668" s="487">
        <f>+VLOOKUP($AJ668,Data_Validation!$A:$D,4,0)</f>
        <v>0</v>
      </c>
      <c r="AR668" s="487" t="s">
        <v>299</v>
      </c>
      <c r="AS668" s="487">
        <f>+VLOOKUP($AJ668,Data_Validation!$A:$E,5,0)</f>
        <v>0</v>
      </c>
      <c r="AT668" s="904" t="str">
        <f t="shared" si="63"/>
        <v>G44720</v>
      </c>
      <c r="AU668" s="488" t="str">
        <f t="shared" si="64"/>
        <v>*REM.NEUF LOC.AUTO DET.OP</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2026</v>
      </c>
      <c r="C669" s="706" t="s">
        <v>2409</v>
      </c>
      <c r="D669" s="706" t="s">
        <v>2410</v>
      </c>
      <c r="E669" s="706" t="s">
        <v>1149</v>
      </c>
      <c r="F669" s="706" t="s">
        <v>1149</v>
      </c>
      <c r="G669" s="706">
        <v>7950</v>
      </c>
      <c r="H669" s="706">
        <v>123560</v>
      </c>
      <c r="I669" s="706">
        <v>323591</v>
      </c>
      <c r="J669" s="706">
        <v>421541</v>
      </c>
      <c r="K669" s="706">
        <v>370508</v>
      </c>
      <c r="L669" s="706">
        <v>464008</v>
      </c>
      <c r="M669" s="706">
        <v>481458</v>
      </c>
      <c r="N669" s="706">
        <v>0</v>
      </c>
      <c r="O669" s="706">
        <v>0</v>
      </c>
      <c r="P669" s="706">
        <v>0</v>
      </c>
      <c r="Q669" s="706">
        <v>0</v>
      </c>
      <c r="R669" s="706">
        <v>0</v>
      </c>
      <c r="S669" s="706">
        <v>77334.67</v>
      </c>
      <c r="T669" s="706">
        <v>77334.67</v>
      </c>
      <c r="U669" s="706">
        <v>0</v>
      </c>
      <c r="V669" s="706">
        <v>2</v>
      </c>
      <c r="W669" s="706">
        <v>9</v>
      </c>
      <c r="X669" s="706">
        <v>19</v>
      </c>
      <c r="Y669" s="706">
        <v>30</v>
      </c>
      <c r="Z669" s="706">
        <v>27</v>
      </c>
      <c r="AA669" s="706">
        <v>33</v>
      </c>
      <c r="AB669" s="706">
        <v>36</v>
      </c>
      <c r="AC669" s="706">
        <v>0</v>
      </c>
      <c r="AD669" s="706">
        <v>0</v>
      </c>
      <c r="AE669" s="706">
        <v>0</v>
      </c>
      <c r="AF669" s="706">
        <v>0</v>
      </c>
      <c r="AG669" s="706">
        <v>0</v>
      </c>
      <c r="AH669" s="706">
        <v>6</v>
      </c>
      <c r="AI669" s="706">
        <v>6</v>
      </c>
      <c r="AJ669" s="905" t="str">
        <f t="shared" si="66"/>
        <v>G44800</v>
      </c>
      <c r="AK669" s="905" t="str">
        <f t="shared" si="67"/>
        <v>VTES-VOIT.OCC.EN GROS-DET</v>
      </c>
      <c r="AL669" s="905">
        <f>IFERROR(INDEX(G669:R669,1,MATCH(Parametres!$B$3,G$1:R$1,0)-1)*IF(OR(F669="L",F669="S",F669="I"),-1,1),"")</f>
        <v>-370508</v>
      </c>
      <c r="AM669" s="905">
        <f t="shared" si="62"/>
        <v>-93500</v>
      </c>
      <c r="AN669" s="905">
        <f>INDEX(G669:R669,1,MATCH(Parametres!$B$3,G$1:R$1,0))*IF(OR(F669="L",F669="S",F669="I"),-1,1)</f>
        <v>-464008</v>
      </c>
      <c r="AO669" s="487" t="str">
        <f>+VLOOKUP($AJ669,Data_Validation!$A:$D,1,0)</f>
        <v>G44800</v>
      </c>
      <c r="AP669" s="487" t="str">
        <f>+VLOOKUP($AJ669,Data_Validation!$A:$D,3,0)</f>
        <v>Véhicules usagés</v>
      </c>
      <c r="AQ669" s="487" t="str">
        <f>+VLOOKUP($AJ669,Data_Validation!$A:$D,4,0)</f>
        <v>Ventes au Gros</v>
      </c>
      <c r="AR669" s="487" t="s">
        <v>299</v>
      </c>
      <c r="AS669" s="487" t="str">
        <f>+VLOOKUP($AJ669,Data_Validation!$A:$E,5,0)</f>
        <v>Oui</v>
      </c>
      <c r="AT669" s="904" t="str">
        <f t="shared" si="63"/>
        <v>G44800</v>
      </c>
      <c r="AU669" s="488" t="str">
        <f t="shared" si="64"/>
        <v>VTES-VOIT.OCC.EN GROS-DET</v>
      </c>
      <c r="AV669" s="899">
        <f>IFERROR(INDEX(V669:AG669,1,MATCH(Parametres!$B$3,V$1:AG$1,0)-1)*IF(OR(C669="L",C669="S",C669="I"),-1,1),"")</f>
        <v>27</v>
      </c>
      <c r="AW669" s="899">
        <f t="shared" si="65"/>
        <v>6</v>
      </c>
      <c r="AX669" s="899">
        <f>INDEX(V669:AG669,1,MATCH(Parametres!$B$3,V$1:AG$1,0))*IF(OR(C669="L",C669="S",C669="I"),-1,1)</f>
        <v>33</v>
      </c>
      <c r="AY669" s="487" t="s">
        <v>337</v>
      </c>
      <c r="AZ669" s="487" t="str">
        <f>+VLOOKUP($AJ669,Data_Validation!$A:$E,5,0)</f>
        <v>Oui</v>
      </c>
    </row>
    <row r="670" spans="1:52" ht="15" customHeight="1">
      <c r="A670" s="706" t="s">
        <v>1148</v>
      </c>
      <c r="B670" s="706">
        <v>2026</v>
      </c>
      <c r="C670" s="706" t="s">
        <v>2411</v>
      </c>
      <c r="D670" s="706" t="s">
        <v>2412</v>
      </c>
      <c r="E670" s="706" t="s">
        <v>333</v>
      </c>
      <c r="F670" s="706" t="s">
        <v>1149</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G44900</v>
      </c>
      <c r="AK670" s="905" t="str">
        <f t="shared" si="67"/>
        <v>*RECTIFICATION STOCK AUTO</v>
      </c>
      <c r="AL670" s="905">
        <f>IFERROR(INDEX(G670:R670,1,MATCH(Parametres!$B$3,G$1:R$1,0)-1)*IF(OR(F670="L",F670="S",F670="I"),-1,1),"")</f>
        <v>0</v>
      </c>
      <c r="AM670" s="905">
        <f t="shared" si="62"/>
        <v>0</v>
      </c>
      <c r="AN670" s="905">
        <f>INDEX(G670:R670,1,MATCH(Parametres!$B$3,G$1:R$1,0))*IF(OR(F670="L",F670="S",F670="I"),-1,1)</f>
        <v>0</v>
      </c>
      <c r="AO670" s="487" t="str">
        <f>+VLOOKUP($AJ670,Data_Validation!$A:$D,1,0)</f>
        <v>G44900</v>
      </c>
      <c r="AP670" s="487">
        <f>+VLOOKUP($AJ670,Data_Validation!$A:$D,3,0)</f>
        <v>0</v>
      </c>
      <c r="AQ670" s="487">
        <f>+VLOOKUP($AJ670,Data_Validation!$A:$D,4,0)</f>
        <v>0</v>
      </c>
      <c r="AR670" s="487" t="s">
        <v>299</v>
      </c>
      <c r="AS670" s="487">
        <f>+VLOOKUP($AJ670,Data_Validation!$A:$E,5,0)</f>
        <v>0</v>
      </c>
      <c r="AT670" s="904" t="str">
        <f t="shared" si="63"/>
        <v>G44900</v>
      </c>
      <c r="AU670" s="488" t="str">
        <f t="shared" si="64"/>
        <v>*RECTIFICATION STOCK AUTO</v>
      </c>
      <c r="AV670" s="899">
        <f>IFERROR(INDEX(V670:AG670,1,MATCH(Parametres!$B$3,V$1:AG$1,0)-1)*IF(OR(C670="L",C670="S",C670="I"),-1,1),"")</f>
        <v>0</v>
      </c>
      <c r="AW670" s="899">
        <f t="shared" si="65"/>
        <v>0</v>
      </c>
      <c r="AX670" s="899">
        <f>INDEX(V670:AG670,1,MATCH(Parametres!$B$3,V$1:AG$1,0))*IF(OR(C670="L",C670="S",C670="I"),-1,1)</f>
        <v>0</v>
      </c>
      <c r="AY670" s="487" t="s">
        <v>337</v>
      </c>
      <c r="AZ670" s="487">
        <f>+VLOOKUP($AJ670,Data_Validation!$A:$E,5,0)</f>
        <v>0</v>
      </c>
    </row>
    <row r="671" spans="1:52" ht="15" customHeight="1">
      <c r="A671" s="706" t="s">
        <v>1148</v>
      </c>
      <c r="B671" s="706">
        <v>2026</v>
      </c>
      <c r="C671" s="706" t="s">
        <v>2413</v>
      </c>
      <c r="D671" s="706" t="s">
        <v>3310</v>
      </c>
      <c r="E671" s="706" t="s">
        <v>1149</v>
      </c>
      <c r="F671" s="706" t="s">
        <v>1149</v>
      </c>
      <c r="G671" s="706">
        <v>41059.599999999999</v>
      </c>
      <c r="H671" s="706">
        <v>355959.6</v>
      </c>
      <c r="I671" s="706">
        <v>1255785.6000000001</v>
      </c>
      <c r="J671" s="706">
        <v>2107096.6</v>
      </c>
      <c r="K671" s="706">
        <v>0</v>
      </c>
      <c r="L671" s="706">
        <v>0</v>
      </c>
      <c r="M671" s="706">
        <v>0</v>
      </c>
      <c r="N671" s="706">
        <v>0</v>
      </c>
      <c r="O671" s="706">
        <v>0</v>
      </c>
      <c r="P671" s="706">
        <v>0</v>
      </c>
      <c r="Q671" s="706">
        <v>0</v>
      </c>
      <c r="R671" s="706">
        <v>0</v>
      </c>
      <c r="S671" s="706">
        <v>0</v>
      </c>
      <c r="T671" s="706">
        <v>0</v>
      </c>
      <c r="U671" s="706">
        <v>0</v>
      </c>
      <c r="V671" s="706">
        <v>1</v>
      </c>
      <c r="W671" s="706">
        <v>8</v>
      </c>
      <c r="X671" s="706">
        <v>30</v>
      </c>
      <c r="Y671" s="706">
        <v>47</v>
      </c>
      <c r="Z671" s="706">
        <v>0</v>
      </c>
      <c r="AA671" s="706">
        <v>0</v>
      </c>
      <c r="AB671" s="706">
        <v>0</v>
      </c>
      <c r="AC671" s="706">
        <v>0</v>
      </c>
      <c r="AD671" s="706">
        <v>0</v>
      </c>
      <c r="AE671" s="706">
        <v>0</v>
      </c>
      <c r="AF671" s="706">
        <v>0</v>
      </c>
      <c r="AG671" s="706">
        <v>0</v>
      </c>
      <c r="AH671" s="706">
        <v>0</v>
      </c>
      <c r="AI671" s="706">
        <v>0</v>
      </c>
      <c r="AJ671" s="905" t="str">
        <f t="shared" si="66"/>
        <v>G45000</v>
      </c>
      <c r="AK671" s="905" t="str">
        <f t="shared" si="67"/>
        <v>VTES - CAMION DET CERTIFI</v>
      </c>
      <c r="AL671" s="905">
        <f>IFERROR(INDEX(G671:R671,1,MATCH(Parametres!$B$3,G$1:R$1,0)-1)*IF(OR(F671="L",F671="S",F671="I"),-1,1),"")</f>
        <v>0</v>
      </c>
      <c r="AM671" s="905">
        <f t="shared" si="62"/>
        <v>0</v>
      </c>
      <c r="AN671" s="905">
        <f>INDEX(G671:R671,1,MATCH(Parametres!$B$3,G$1:R$1,0))*IF(OR(F671="L",F671="S",F671="I"),-1,1)</f>
        <v>0</v>
      </c>
      <c r="AO671" s="487" t="str">
        <f>+VLOOKUP($AJ671,Data_Validation!$A:$D,1,0)</f>
        <v>G45000</v>
      </c>
      <c r="AP671" s="487" t="str">
        <f>+VLOOKUP($AJ671,Data_Validation!$A:$D,3,0)</f>
        <v>Véhicules usagés</v>
      </c>
      <c r="AQ671" s="487" t="str">
        <f>+VLOOKUP($AJ671,Data_Validation!$A:$D,4,0)</f>
        <v>Ventes au Gros</v>
      </c>
      <c r="AR671" s="487" t="s">
        <v>299</v>
      </c>
      <c r="AS671" s="487" t="str">
        <f>+VLOOKUP($AJ671,Data_Validation!$A:$E,5,0)</f>
        <v>Oui</v>
      </c>
      <c r="AT671" s="904" t="str">
        <f t="shared" si="63"/>
        <v>G45000</v>
      </c>
      <c r="AU671" s="488" t="str">
        <f t="shared" si="64"/>
        <v>VTES - CAMION DET CERTIFI</v>
      </c>
      <c r="AV671" s="899">
        <f>IFERROR(INDEX(V671:AG671,1,MATCH(Parametres!$B$3,V$1:AG$1,0)-1)*IF(OR(C671="L",C671="S",C671="I"),-1,1),"")</f>
        <v>0</v>
      </c>
      <c r="AW671" s="899">
        <f t="shared" si="65"/>
        <v>0</v>
      </c>
      <c r="AX671" s="899">
        <f>INDEX(V671:AG671,1,MATCH(Parametres!$B$3,V$1:AG$1,0))*IF(OR(C671="L",C671="S",C671="I"),-1,1)</f>
        <v>0</v>
      </c>
      <c r="AY671" s="487" t="s">
        <v>337</v>
      </c>
      <c r="AZ671" s="487" t="str">
        <f>+VLOOKUP($AJ671,Data_Validation!$A:$E,5,0)</f>
        <v>Oui</v>
      </c>
    </row>
    <row r="672" spans="1:52" ht="15" customHeight="1">
      <c r="A672" s="706" t="s">
        <v>1148</v>
      </c>
      <c r="B672" s="706">
        <v>2026</v>
      </c>
      <c r="C672" s="706" t="s">
        <v>2415</v>
      </c>
      <c r="D672" s="706" t="s">
        <v>3311</v>
      </c>
      <c r="E672" s="706" t="s">
        <v>1149</v>
      </c>
      <c r="F672" s="706" t="s">
        <v>1149</v>
      </c>
      <c r="G672" s="706">
        <v>464168.65</v>
      </c>
      <c r="H672" s="706">
        <v>724146.28</v>
      </c>
      <c r="I672" s="706">
        <v>1278286.0900000001</v>
      </c>
      <c r="J672" s="706">
        <v>2169663.9700000002</v>
      </c>
      <c r="K672" s="706">
        <v>3106730.33</v>
      </c>
      <c r="L672" s="706">
        <v>3751111.74</v>
      </c>
      <c r="M672" s="706">
        <v>3822710.74</v>
      </c>
      <c r="N672" s="706">
        <v>0</v>
      </c>
      <c r="O672" s="706">
        <v>0</v>
      </c>
      <c r="P672" s="706">
        <v>0</v>
      </c>
      <c r="Q672" s="706">
        <v>0</v>
      </c>
      <c r="R672" s="706">
        <v>0</v>
      </c>
      <c r="S672" s="706">
        <v>625185.29</v>
      </c>
      <c r="T672" s="706">
        <v>625185.29</v>
      </c>
      <c r="U672" s="706">
        <v>0</v>
      </c>
      <c r="V672" s="706">
        <v>15</v>
      </c>
      <c r="W672" s="706">
        <v>22</v>
      </c>
      <c r="X672" s="706">
        <v>40</v>
      </c>
      <c r="Y672" s="706">
        <v>63</v>
      </c>
      <c r="Z672" s="706">
        <v>91</v>
      </c>
      <c r="AA672" s="706">
        <v>109</v>
      </c>
      <c r="AB672" s="706">
        <v>111</v>
      </c>
      <c r="AC672" s="706">
        <v>0</v>
      </c>
      <c r="AD672" s="706">
        <v>0</v>
      </c>
      <c r="AE672" s="706">
        <v>0</v>
      </c>
      <c r="AF672" s="706">
        <v>0</v>
      </c>
      <c r="AG672" s="706">
        <v>0</v>
      </c>
      <c r="AH672" s="706">
        <v>18</v>
      </c>
      <c r="AI672" s="706">
        <v>18</v>
      </c>
      <c r="AJ672" s="905" t="str">
        <f t="shared" si="66"/>
        <v>G45001</v>
      </c>
      <c r="AK672" s="905" t="str">
        <f t="shared" si="67"/>
        <v>VTES-CAM OCC. GM N-CERT</v>
      </c>
      <c r="AL672" s="905">
        <f>IFERROR(INDEX(G672:R672,1,MATCH(Parametres!$B$3,G$1:R$1,0)-1)*IF(OR(F672="L",F672="S",F672="I"),-1,1),"")</f>
        <v>-3106730.33</v>
      </c>
      <c r="AM672" s="905">
        <f t="shared" si="62"/>
        <v>-644381.41000000015</v>
      </c>
      <c r="AN672" s="905">
        <f>INDEX(G672:R672,1,MATCH(Parametres!$B$3,G$1:R$1,0))*IF(OR(F672="L",F672="S",F672="I"),-1,1)</f>
        <v>-3751111.74</v>
      </c>
      <c r="AO672" s="487" t="str">
        <f>+VLOOKUP($AJ672,Data_Validation!$A:$D,1,0)</f>
        <v>G45001</v>
      </c>
      <c r="AP672" s="487" t="str">
        <f>+VLOOKUP($AJ672,Data_Validation!$A:$D,3,0)</f>
        <v>Véhicules usagés</v>
      </c>
      <c r="AQ672" s="487" t="str">
        <f>+VLOOKUP($AJ672,Data_Validation!$A:$D,4,0)</f>
        <v>Non Certifié</v>
      </c>
      <c r="AR672" s="487" t="s">
        <v>299</v>
      </c>
      <c r="AS672" s="487" t="str">
        <f>+VLOOKUP($AJ672,Data_Validation!$A:$E,5,0)</f>
        <v>Oui</v>
      </c>
      <c r="AT672" s="904" t="str">
        <f t="shared" si="63"/>
        <v>G45001</v>
      </c>
      <c r="AU672" s="488" t="str">
        <f t="shared" si="64"/>
        <v>VTES-CAM OCC. GM N-CERT</v>
      </c>
      <c r="AV672" s="899">
        <f>IFERROR(INDEX(V672:AG672,1,MATCH(Parametres!$B$3,V$1:AG$1,0)-1)*IF(OR(C672="L",C672="S",C672="I"),-1,1),"")</f>
        <v>91</v>
      </c>
      <c r="AW672" s="899">
        <f t="shared" si="65"/>
        <v>18</v>
      </c>
      <c r="AX672" s="899">
        <f>INDEX(V672:AG672,1,MATCH(Parametres!$B$3,V$1:AG$1,0))*IF(OR(C672="L",C672="S",C672="I"),-1,1)</f>
        <v>109</v>
      </c>
      <c r="AY672" s="487" t="s">
        <v>337</v>
      </c>
      <c r="AZ672" s="487" t="str">
        <f>+VLOOKUP($AJ672,Data_Validation!$A:$E,5,0)</f>
        <v>Oui</v>
      </c>
    </row>
    <row r="673" spans="1:52" ht="15" customHeight="1">
      <c r="A673" s="706" t="s">
        <v>1148</v>
      </c>
      <c r="B673" s="706">
        <v>2026</v>
      </c>
      <c r="C673" s="706" t="s">
        <v>3170</v>
      </c>
      <c r="D673" s="706" t="s">
        <v>3171</v>
      </c>
      <c r="E673" s="706" t="s">
        <v>1149</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G45002</v>
      </c>
      <c r="AK673" s="905" t="str">
        <f t="shared" si="67"/>
        <v>VTES- CAMION AUTRE MARQ</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G45002</v>
      </c>
      <c r="AU673" s="488" t="str">
        <f t="shared" si="64"/>
        <v>VTES- CAMION AUTRE MARQ</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2026</v>
      </c>
      <c r="C674" s="706" t="s">
        <v>3172</v>
      </c>
      <c r="D674" s="706" t="s">
        <v>3173</v>
      </c>
      <c r="E674" s="706" t="s">
        <v>1149</v>
      </c>
      <c r="F674" s="706" t="s">
        <v>1149</v>
      </c>
      <c r="G674" s="706">
        <v>0</v>
      </c>
      <c r="H674" s="706">
        <v>0</v>
      </c>
      <c r="I674" s="706">
        <v>0</v>
      </c>
      <c r="J674" s="706">
        <v>0</v>
      </c>
      <c r="K674" s="706">
        <v>0</v>
      </c>
      <c r="L674" s="706">
        <v>0</v>
      </c>
      <c r="M674" s="706">
        <v>42234.64</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1</v>
      </c>
      <c r="AC674" s="706">
        <v>0</v>
      </c>
      <c r="AD674" s="706">
        <v>0</v>
      </c>
      <c r="AE674" s="706">
        <v>0</v>
      </c>
      <c r="AF674" s="706">
        <v>0</v>
      </c>
      <c r="AG674" s="706">
        <v>0</v>
      </c>
      <c r="AH674" s="706">
        <v>0</v>
      </c>
      <c r="AI674" s="706">
        <v>0</v>
      </c>
      <c r="AJ674" s="905" t="str">
        <f t="shared" si="66"/>
        <v>G45003</v>
      </c>
      <c r="AK674" s="905" t="str">
        <f t="shared" si="67"/>
        <v>VTES-RACHAT BAIL CAMION</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G45003</v>
      </c>
      <c r="AU674" s="488" t="str">
        <f t="shared" si="64"/>
        <v>VTES-RACHAT BAIL CAMION</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2026</v>
      </c>
      <c r="C675" s="706" t="s">
        <v>2417</v>
      </c>
      <c r="D675" s="706" t="s">
        <v>2418</v>
      </c>
      <c r="E675" s="706" t="s">
        <v>1149</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G45020</v>
      </c>
      <c r="AK675" s="905" t="str">
        <f t="shared" si="67"/>
        <v>VTES-CAM USAGE OPT. -LOC.</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G45020</v>
      </c>
      <c r="AU675" s="488" t="str">
        <f t="shared" si="64"/>
        <v>VTES-CAM USAGE OPT. -LOC.</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2026</v>
      </c>
      <c r="C676" s="706" t="s">
        <v>2419</v>
      </c>
      <c r="D676" s="706" t="s">
        <v>2420</v>
      </c>
      <c r="E676" s="706" t="s">
        <v>333</v>
      </c>
      <c r="F676" s="706" t="s">
        <v>1149</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G45100</v>
      </c>
      <c r="AK676" s="905" t="str">
        <f t="shared" si="67"/>
        <v>*REM.NEUF CAM DET. OPT.</v>
      </c>
      <c r="AL676" s="905">
        <f>IFERROR(INDEX(G676:R676,1,MATCH(Parametres!$B$3,G$1:R$1,0)-1)*IF(OR(F676="L",F676="S",F676="I"),-1,1),"")</f>
        <v>0</v>
      </c>
      <c r="AM676" s="905">
        <f t="shared" si="62"/>
        <v>0</v>
      </c>
      <c r="AN676" s="905">
        <f>INDEX(G676:R676,1,MATCH(Parametres!$B$3,G$1:R$1,0))*IF(OR(F676="L",F676="S",F676="I"),-1,1)</f>
        <v>0</v>
      </c>
      <c r="AO676" s="487" t="str">
        <f>+VLOOKUP($AJ676,Data_Validation!$A:$D,1,0)</f>
        <v>G45100</v>
      </c>
      <c r="AP676" s="487">
        <f>+VLOOKUP($AJ676,Data_Validation!$A:$D,3,0)</f>
        <v>0</v>
      </c>
      <c r="AQ676" s="487">
        <f>+VLOOKUP($AJ676,Data_Validation!$A:$D,4,0)</f>
        <v>0</v>
      </c>
      <c r="AR676" s="487" t="s">
        <v>299</v>
      </c>
      <c r="AS676" s="487">
        <f>+VLOOKUP($AJ676,Data_Validation!$A:$E,5,0)</f>
        <v>0</v>
      </c>
      <c r="AT676" s="904" t="str">
        <f t="shared" si="63"/>
        <v>G45100</v>
      </c>
      <c r="AU676" s="488" t="str">
        <f t="shared" si="64"/>
        <v>*REM.NEUF CAM DET. OPT.</v>
      </c>
      <c r="AV676" s="899">
        <f>IFERROR(INDEX(V676:AG676,1,MATCH(Parametres!$B$3,V$1:AG$1,0)-1)*IF(OR(C676="L",C676="S",C676="I"),-1,1),"")</f>
        <v>0</v>
      </c>
      <c r="AW676" s="899">
        <f t="shared" si="65"/>
        <v>0</v>
      </c>
      <c r="AX676" s="899">
        <f>INDEX(V676:AG676,1,MATCH(Parametres!$B$3,V$1:AG$1,0))*IF(OR(C676="L",C676="S",C676="I"),-1,1)</f>
        <v>0</v>
      </c>
      <c r="AY676" s="487" t="s">
        <v>337</v>
      </c>
      <c r="AZ676" s="487">
        <f>+VLOOKUP($AJ676,Data_Validation!$A:$E,5,0)</f>
        <v>0</v>
      </c>
    </row>
    <row r="677" spans="1:52" ht="15" customHeight="1">
      <c r="A677" s="706" t="s">
        <v>1148</v>
      </c>
      <c r="B677" s="706">
        <v>2026</v>
      </c>
      <c r="C677" s="706" t="s">
        <v>2421</v>
      </c>
      <c r="D677" s="706" t="s">
        <v>2422</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G45101</v>
      </c>
      <c r="AK677" s="905" t="str">
        <f t="shared" si="67"/>
        <v>*REM.NEUF CAM DET.AUTRES</v>
      </c>
      <c r="AL677" s="905">
        <f>IFERROR(INDEX(G677:R677,1,MATCH(Parametres!$B$3,G$1:R$1,0)-1)*IF(OR(F677="L",F677="S",F677="I"),-1,1),"")</f>
        <v>0</v>
      </c>
      <c r="AM677" s="905">
        <f t="shared" si="62"/>
        <v>0</v>
      </c>
      <c r="AN677" s="905">
        <f>INDEX(G677:R677,1,MATCH(Parametres!$B$3,G$1:R$1,0))*IF(OR(F677="L",F677="S",F677="I"),-1,1)</f>
        <v>0</v>
      </c>
      <c r="AO677" s="487" t="str">
        <f>+VLOOKUP($AJ677,Data_Validation!$A:$D,1,0)</f>
        <v>G45101</v>
      </c>
      <c r="AP677" s="487">
        <f>+VLOOKUP($AJ677,Data_Validation!$A:$D,3,0)</f>
        <v>0</v>
      </c>
      <c r="AQ677" s="487">
        <f>+VLOOKUP($AJ677,Data_Validation!$A:$D,4,0)</f>
        <v>0</v>
      </c>
      <c r="AR677" s="487" t="s">
        <v>299</v>
      </c>
      <c r="AS677" s="487">
        <f>+VLOOKUP($AJ677,Data_Validation!$A:$E,5,0)</f>
        <v>0</v>
      </c>
      <c r="AT677" s="904" t="str">
        <f t="shared" si="63"/>
        <v>G45101</v>
      </c>
      <c r="AU677" s="488" t="str">
        <f t="shared" si="64"/>
        <v>*REM.NEUF CAM DET.AUTRES</v>
      </c>
      <c r="AV677" s="899">
        <f>IFERROR(INDEX(V677:AG677,1,MATCH(Parametres!$B$3,V$1:AG$1,0)-1)*IF(OR(C677="L",C677="S",C677="I"),-1,1),"")</f>
        <v>0</v>
      </c>
      <c r="AW677" s="899">
        <f t="shared" si="65"/>
        <v>0</v>
      </c>
      <c r="AX677" s="899">
        <f>INDEX(V677:AG677,1,MATCH(Parametres!$B$3,V$1:AG$1,0))*IF(OR(C677="L",C677="S",C677="I"),-1,1)</f>
        <v>0</v>
      </c>
      <c r="AY677" s="487" t="s">
        <v>337</v>
      </c>
      <c r="AZ677" s="487">
        <f>+VLOOKUP($AJ677,Data_Validation!$A:$E,5,0)</f>
        <v>0</v>
      </c>
    </row>
    <row r="678" spans="1:52" ht="15" customHeight="1">
      <c r="A678" s="706" t="s">
        <v>1148</v>
      </c>
      <c r="B678" s="706">
        <v>2026</v>
      </c>
      <c r="C678" s="706" t="s">
        <v>2423</v>
      </c>
      <c r="D678" s="706" t="s">
        <v>2424</v>
      </c>
      <c r="E678" s="706" t="s">
        <v>333</v>
      </c>
      <c r="F678" s="706" t="s">
        <v>1149</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G45120</v>
      </c>
      <c r="AK678" s="905" t="str">
        <f t="shared" si="67"/>
        <v>*REM.NEUF LOC.CAM.DET.OPT</v>
      </c>
      <c r="AL678" s="905">
        <f>IFERROR(INDEX(G678:R678,1,MATCH(Parametres!$B$3,G$1:R$1,0)-1)*IF(OR(F678="L",F678="S",F678="I"),-1,1),"")</f>
        <v>0</v>
      </c>
      <c r="AM678" s="905">
        <f t="shared" si="62"/>
        <v>0</v>
      </c>
      <c r="AN678" s="905">
        <f>INDEX(G678:R678,1,MATCH(Parametres!$B$3,G$1:R$1,0))*IF(OR(F678="L",F678="S",F678="I"),-1,1)</f>
        <v>0</v>
      </c>
      <c r="AO678" s="487" t="str">
        <f>+VLOOKUP($AJ678,Data_Validation!$A:$D,1,0)</f>
        <v>G45120</v>
      </c>
      <c r="AP678" s="487">
        <f>+VLOOKUP($AJ678,Data_Validation!$A:$D,3,0)</f>
        <v>0</v>
      </c>
      <c r="AQ678" s="487">
        <f>+VLOOKUP($AJ678,Data_Validation!$A:$D,4,0)</f>
        <v>0</v>
      </c>
      <c r="AR678" s="487" t="s">
        <v>299</v>
      </c>
      <c r="AS678" s="487">
        <f>+VLOOKUP($AJ678,Data_Validation!$A:$E,5,0)</f>
        <v>0</v>
      </c>
      <c r="AT678" s="904" t="str">
        <f t="shared" si="63"/>
        <v>G45120</v>
      </c>
      <c r="AU678" s="488" t="str">
        <f t="shared" si="64"/>
        <v>*REM.NEUF LOC.CAM.DET.OPT</v>
      </c>
      <c r="AV678" s="899">
        <f>IFERROR(INDEX(V678:AG678,1,MATCH(Parametres!$B$3,V$1:AG$1,0)-1)*IF(OR(C678="L",C678="S",C678="I"),-1,1),"")</f>
        <v>0</v>
      </c>
      <c r="AW678" s="899">
        <f t="shared" si="65"/>
        <v>0</v>
      </c>
      <c r="AX678" s="899">
        <f>INDEX(V678:AG678,1,MATCH(Parametres!$B$3,V$1:AG$1,0))*IF(OR(C678="L",C678="S",C678="I"),-1,1)</f>
        <v>0</v>
      </c>
      <c r="AY678" s="487" t="s">
        <v>337</v>
      </c>
      <c r="AZ678" s="487">
        <f>+VLOOKUP($AJ678,Data_Validation!$A:$E,5,0)</f>
        <v>0</v>
      </c>
    </row>
    <row r="679" spans="1:52" ht="15" customHeight="1">
      <c r="A679" s="706" t="s">
        <v>1148</v>
      </c>
      <c r="B679" s="706">
        <v>2026</v>
      </c>
      <c r="C679" s="706" t="s">
        <v>2425</v>
      </c>
      <c r="D679" s="706" t="s">
        <v>2426</v>
      </c>
      <c r="E679" s="706" t="s">
        <v>1149</v>
      </c>
      <c r="F679" s="706" t="s">
        <v>1149</v>
      </c>
      <c r="G679" s="706">
        <v>2100379.8199999998</v>
      </c>
      <c r="H679" s="706">
        <v>3762756.44</v>
      </c>
      <c r="I679" s="706">
        <v>6990224.5099999998</v>
      </c>
      <c r="J679" s="706">
        <v>9896233.2899999991</v>
      </c>
      <c r="K679" s="706">
        <v>4745727.26</v>
      </c>
      <c r="L679" s="706">
        <v>5406103.9400000004</v>
      </c>
      <c r="M679" s="706">
        <v>5434473.9400000004</v>
      </c>
      <c r="N679" s="706">
        <v>0</v>
      </c>
      <c r="O679" s="706">
        <v>0</v>
      </c>
      <c r="P679" s="706">
        <v>0</v>
      </c>
      <c r="Q679" s="706">
        <v>0</v>
      </c>
      <c r="R679" s="706">
        <v>0</v>
      </c>
      <c r="S679" s="706">
        <v>901017.32</v>
      </c>
      <c r="T679" s="706">
        <v>901017.32</v>
      </c>
      <c r="U679" s="706">
        <v>0</v>
      </c>
      <c r="V679" s="706">
        <v>58</v>
      </c>
      <c r="W679" s="706">
        <v>107</v>
      </c>
      <c r="X679" s="706">
        <v>197</v>
      </c>
      <c r="Y679" s="706">
        <v>277</v>
      </c>
      <c r="Z679" s="706">
        <v>116</v>
      </c>
      <c r="AA679" s="706">
        <v>140</v>
      </c>
      <c r="AB679" s="706">
        <v>141</v>
      </c>
      <c r="AC679" s="706">
        <v>0</v>
      </c>
      <c r="AD679" s="706">
        <v>0</v>
      </c>
      <c r="AE679" s="706">
        <v>0</v>
      </c>
      <c r="AF679" s="706">
        <v>0</v>
      </c>
      <c r="AG679" s="706">
        <v>0</v>
      </c>
      <c r="AH679" s="706">
        <v>23</v>
      </c>
      <c r="AI679" s="706">
        <v>23</v>
      </c>
      <c r="AJ679" s="905" t="str">
        <f t="shared" si="66"/>
        <v>G45200</v>
      </c>
      <c r="AK679" s="905" t="str">
        <f t="shared" si="67"/>
        <v>VTES-CAMIONS OCC EN GROS</v>
      </c>
      <c r="AL679" s="905">
        <f>IFERROR(INDEX(G679:R679,1,MATCH(Parametres!$B$3,G$1:R$1,0)-1)*IF(OR(F679="L",F679="S",F679="I"),-1,1),"")</f>
        <v>-4745727.26</v>
      </c>
      <c r="AM679" s="905">
        <f t="shared" si="62"/>
        <v>-660376.68000000063</v>
      </c>
      <c r="AN679" s="905">
        <f>INDEX(G679:R679,1,MATCH(Parametres!$B$3,G$1:R$1,0))*IF(OR(F679="L",F679="S",F679="I"),-1,1)</f>
        <v>-5406103.9400000004</v>
      </c>
      <c r="AO679" s="487" t="str">
        <f>+VLOOKUP($AJ679,Data_Validation!$A:$D,1,0)</f>
        <v>G45200</v>
      </c>
      <c r="AP679" s="487" t="str">
        <f>+VLOOKUP($AJ679,Data_Validation!$A:$D,3,0)</f>
        <v>Véhicules usagés</v>
      </c>
      <c r="AQ679" s="487" t="str">
        <f>+VLOOKUP($AJ679,Data_Validation!$A:$D,4,0)</f>
        <v>Ventes au Gros</v>
      </c>
      <c r="AR679" s="487" t="s">
        <v>299</v>
      </c>
      <c r="AS679" s="487" t="str">
        <f>+VLOOKUP($AJ679,Data_Validation!$A:$E,5,0)</f>
        <v>Oui</v>
      </c>
      <c r="AT679" s="904" t="str">
        <f t="shared" si="63"/>
        <v>G45200</v>
      </c>
      <c r="AU679" s="488" t="str">
        <f t="shared" si="64"/>
        <v>VTES-CAMIONS OCC EN GROS</v>
      </c>
      <c r="AV679" s="899">
        <f>IFERROR(INDEX(V679:AG679,1,MATCH(Parametres!$B$3,V$1:AG$1,0)-1)*IF(OR(C679="L",C679="S",C679="I"),-1,1),"")</f>
        <v>116</v>
      </c>
      <c r="AW679" s="899">
        <f t="shared" si="65"/>
        <v>24</v>
      </c>
      <c r="AX679" s="899">
        <f>INDEX(V679:AG679,1,MATCH(Parametres!$B$3,V$1:AG$1,0))*IF(OR(C679="L",C679="S",C679="I"),-1,1)</f>
        <v>140</v>
      </c>
      <c r="AY679" s="487" t="s">
        <v>337</v>
      </c>
      <c r="AZ679" s="487" t="str">
        <f>+VLOOKUP($AJ679,Data_Validation!$A:$E,5,0)</f>
        <v>Oui</v>
      </c>
    </row>
    <row r="680" spans="1:52" ht="15" customHeight="1">
      <c r="A680" s="706" t="s">
        <v>1148</v>
      </c>
      <c r="B680" s="706">
        <v>2026</v>
      </c>
      <c r="C680" s="706" t="s">
        <v>2427</v>
      </c>
      <c r="D680" s="706" t="s">
        <v>2428</v>
      </c>
      <c r="E680" s="706" t="s">
        <v>1149</v>
      </c>
      <c r="F680" s="706" t="s">
        <v>1149</v>
      </c>
      <c r="G680" s="706">
        <v>6844500</v>
      </c>
      <c r="H680" s="706">
        <v>7395000</v>
      </c>
      <c r="I680" s="706">
        <v>10383950</v>
      </c>
      <c r="J680" s="706">
        <v>16296150</v>
      </c>
      <c r="K680" s="706">
        <v>18243450</v>
      </c>
      <c r="L680" s="706">
        <v>20028350</v>
      </c>
      <c r="M680" s="706">
        <v>21127350</v>
      </c>
      <c r="N680" s="706">
        <v>0</v>
      </c>
      <c r="O680" s="706">
        <v>0</v>
      </c>
      <c r="P680" s="706">
        <v>0</v>
      </c>
      <c r="Q680" s="706">
        <v>0</v>
      </c>
      <c r="R680" s="706">
        <v>0</v>
      </c>
      <c r="S680" s="706">
        <v>3338058.33</v>
      </c>
      <c r="T680" s="706">
        <v>3338058.33</v>
      </c>
      <c r="U680" s="706">
        <v>0</v>
      </c>
      <c r="V680" s="706">
        <v>41</v>
      </c>
      <c r="W680" s="706">
        <v>44</v>
      </c>
      <c r="X680" s="706">
        <v>76</v>
      </c>
      <c r="Y680" s="706">
        <v>139</v>
      </c>
      <c r="Z680" s="706">
        <v>157</v>
      </c>
      <c r="AA680" s="706">
        <v>177</v>
      </c>
      <c r="AB680" s="706">
        <v>185</v>
      </c>
      <c r="AC680" s="706">
        <v>0</v>
      </c>
      <c r="AD680" s="706">
        <v>0</v>
      </c>
      <c r="AE680" s="706">
        <v>0</v>
      </c>
      <c r="AF680" s="706">
        <v>0</v>
      </c>
      <c r="AG680" s="706">
        <v>0</v>
      </c>
      <c r="AH680" s="706">
        <v>30</v>
      </c>
      <c r="AI680" s="706">
        <v>30</v>
      </c>
      <c r="AJ680" s="905" t="str">
        <f t="shared" si="66"/>
        <v>G45201</v>
      </c>
      <c r="AK680" s="905" t="str">
        <f t="shared" si="67"/>
        <v>VTES - WHOLESALE W</v>
      </c>
      <c r="AL680" s="905">
        <f>IFERROR(INDEX(G680:R680,1,MATCH(Parametres!$B$3,G$1:R$1,0)-1)*IF(OR(F680="L",F680="S",F680="I"),-1,1),"")</f>
        <v>-18243450</v>
      </c>
      <c r="AM680" s="905">
        <f t="shared" si="62"/>
        <v>-1784900</v>
      </c>
      <c r="AN680" s="905">
        <f>INDEX(G680:R680,1,MATCH(Parametres!$B$3,G$1:R$1,0))*IF(OR(F680="L",F680="S",F680="I"),-1,1)</f>
        <v>-20028350</v>
      </c>
      <c r="AO680" s="487" t="str">
        <f>+VLOOKUP($AJ680,Data_Validation!$A:$D,1,0)</f>
        <v>G45201</v>
      </c>
      <c r="AP680" s="487" t="str">
        <f>+VLOOKUP($AJ680,Data_Validation!$A:$D,3,0)</f>
        <v>Wholesale autres</v>
      </c>
      <c r="AQ680" s="487" t="str">
        <f>+VLOOKUP($AJ680,Data_Validation!$A:$D,4,0)</f>
        <v>Wholesale Luxueux</v>
      </c>
      <c r="AR680" s="487" t="s">
        <v>299</v>
      </c>
      <c r="AS680" s="487" t="str">
        <f>+VLOOKUP($AJ680,Data_Validation!$A:$E,5,0)</f>
        <v>Oui</v>
      </c>
      <c r="AT680" s="904" t="str">
        <f t="shared" si="63"/>
        <v>G45201</v>
      </c>
      <c r="AU680" s="488" t="str">
        <f t="shared" si="64"/>
        <v>VTES - WHOLESALE W</v>
      </c>
      <c r="AV680" s="899">
        <f>IFERROR(INDEX(V680:AG680,1,MATCH(Parametres!$B$3,V$1:AG$1,0)-1)*IF(OR(C680="L",C680="S",C680="I"),-1,1),"")</f>
        <v>157</v>
      </c>
      <c r="AW680" s="899">
        <f t="shared" si="65"/>
        <v>20</v>
      </c>
      <c r="AX680" s="899">
        <f>INDEX(V680:AG680,1,MATCH(Parametres!$B$3,V$1:AG$1,0))*IF(OR(C680="L",C680="S",C680="I"),-1,1)</f>
        <v>177</v>
      </c>
      <c r="AY680" s="487" t="s">
        <v>337</v>
      </c>
      <c r="AZ680" s="487" t="str">
        <f>+VLOOKUP($AJ680,Data_Validation!$A:$E,5,0)</f>
        <v>Oui</v>
      </c>
    </row>
    <row r="681" spans="1:52" ht="15" customHeight="1">
      <c r="A681" s="706" t="s">
        <v>1148</v>
      </c>
      <c r="B681" s="706">
        <v>2026</v>
      </c>
      <c r="C681" s="706" t="s">
        <v>3193</v>
      </c>
      <c r="D681" s="706" t="s">
        <v>3194</v>
      </c>
      <c r="E681" s="706" t="s">
        <v>1149</v>
      </c>
      <c r="F681" s="706" t="s">
        <v>1149</v>
      </c>
      <c r="G681" s="706">
        <v>0</v>
      </c>
      <c r="H681" s="706">
        <v>0</v>
      </c>
      <c r="I681" s="706">
        <v>0</v>
      </c>
      <c r="J681" s="706">
        <v>0</v>
      </c>
      <c r="K681" s="706">
        <v>1503300</v>
      </c>
      <c r="L681" s="706">
        <v>2100300</v>
      </c>
      <c r="M681" s="706">
        <v>2100300</v>
      </c>
      <c r="N681" s="706">
        <v>0</v>
      </c>
      <c r="O681" s="706">
        <v>0</v>
      </c>
      <c r="P681" s="706">
        <v>0</v>
      </c>
      <c r="Q681" s="706">
        <v>0</v>
      </c>
      <c r="R681" s="706">
        <v>0</v>
      </c>
      <c r="S681" s="706">
        <v>350050</v>
      </c>
      <c r="T681" s="706">
        <v>350050</v>
      </c>
      <c r="U681" s="706">
        <v>0</v>
      </c>
      <c r="V681" s="706">
        <v>0</v>
      </c>
      <c r="W681" s="706">
        <v>0</v>
      </c>
      <c r="X681" s="706">
        <v>0</v>
      </c>
      <c r="Y681" s="706">
        <v>0</v>
      </c>
      <c r="Z681" s="706">
        <v>4</v>
      </c>
      <c r="AA681" s="706">
        <v>5</v>
      </c>
      <c r="AB681" s="706">
        <v>5</v>
      </c>
      <c r="AC681" s="706">
        <v>0</v>
      </c>
      <c r="AD681" s="706">
        <v>0</v>
      </c>
      <c r="AE681" s="706">
        <v>0</v>
      </c>
      <c r="AF681" s="706">
        <v>0</v>
      </c>
      <c r="AG681" s="706">
        <v>0</v>
      </c>
      <c r="AH681" s="706">
        <v>1</v>
      </c>
      <c r="AI681" s="706">
        <v>1</v>
      </c>
      <c r="AJ681" s="905" t="str">
        <f t="shared" si="66"/>
        <v>G45202</v>
      </c>
      <c r="AK681" s="905" t="str">
        <f t="shared" si="67"/>
        <v>VTES- WHOLESALES M</v>
      </c>
      <c r="AL681" s="905">
        <f>IFERROR(INDEX(G681:R681,1,MATCH(Parametres!$B$3,G$1:R$1,0)-1)*IF(OR(F681="L",F681="S",F681="I"),-1,1),"")</f>
        <v>-1503300</v>
      </c>
      <c r="AM681" s="905">
        <f t="shared" si="62"/>
        <v>-597000</v>
      </c>
      <c r="AN681" s="905">
        <f>INDEX(G681:R681,1,MATCH(Parametres!$B$3,G$1:R$1,0))*IF(OR(F681="L",F681="S",F681="I"),-1,1)</f>
        <v>-2100300</v>
      </c>
      <c r="AO681" s="487" t="str">
        <f>+VLOOKUP($AJ681,Data_Validation!$A:$D,1,0)</f>
        <v>G45202</v>
      </c>
      <c r="AP681" s="487" t="str">
        <f>+VLOOKUP($AJ681,Data_Validation!$A:$D,3,0)</f>
        <v>Wholesale autres</v>
      </c>
      <c r="AQ681" s="487" t="str">
        <f>+VLOOKUP($AJ681,Data_Validation!$A:$D,4,0)</f>
        <v>Wholesale Luxueux</v>
      </c>
      <c r="AR681" s="487" t="s">
        <v>299</v>
      </c>
      <c r="AS681" s="487" t="str">
        <f>+VLOOKUP($AJ681,Data_Validation!$A:$E,5,0)</f>
        <v>Oui</v>
      </c>
      <c r="AT681" s="904" t="str">
        <f t="shared" si="63"/>
        <v>G45202</v>
      </c>
      <c r="AU681" s="488" t="str">
        <f t="shared" si="64"/>
        <v>VTES- WHOLESALES M</v>
      </c>
      <c r="AV681" s="899">
        <f>IFERROR(INDEX(V681:AG681,1,MATCH(Parametres!$B$3,V$1:AG$1,0)-1)*IF(OR(C681="L",C681="S",C681="I"),-1,1),"")</f>
        <v>4</v>
      </c>
      <c r="AW681" s="899">
        <f t="shared" si="65"/>
        <v>1</v>
      </c>
      <c r="AX681" s="899">
        <f>INDEX(V681:AG681,1,MATCH(Parametres!$B$3,V$1:AG$1,0))*IF(OR(C681="L",C681="S",C681="I"),-1,1)</f>
        <v>5</v>
      </c>
      <c r="AY681" s="487" t="s">
        <v>337</v>
      </c>
      <c r="AZ681" s="487" t="str">
        <f>+VLOOKUP($AJ681,Data_Validation!$A:$E,5,0)</f>
        <v>Oui</v>
      </c>
    </row>
    <row r="682" spans="1:52" ht="15" customHeight="1">
      <c r="A682" s="706" t="s">
        <v>1148</v>
      </c>
      <c r="B682" s="706">
        <v>2026</v>
      </c>
      <c r="C682" s="706" t="s">
        <v>2429</v>
      </c>
      <c r="D682" s="706" t="s">
        <v>2430</v>
      </c>
      <c r="E682" s="706" t="s">
        <v>333</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G45300</v>
      </c>
      <c r="AK682" s="905" t="str">
        <f t="shared" si="67"/>
        <v>*RECTIFICATION/STOK/TRUCK</v>
      </c>
      <c r="AL682" s="905">
        <f>IFERROR(INDEX(G682:R682,1,MATCH(Parametres!$B$3,G$1:R$1,0)-1)*IF(OR(F682="L",F682="S",F682="I"),-1,1),"")</f>
        <v>0</v>
      </c>
      <c r="AM682" s="905">
        <f t="shared" si="62"/>
        <v>0</v>
      </c>
      <c r="AN682" s="905">
        <f>INDEX(G682:R682,1,MATCH(Parametres!$B$3,G$1:R$1,0))*IF(OR(F682="L",F682="S",F682="I"),-1,1)</f>
        <v>0</v>
      </c>
      <c r="AO682" s="487" t="str">
        <f>+VLOOKUP($AJ682,Data_Validation!$A:$D,1,0)</f>
        <v>G45300</v>
      </c>
      <c r="AP682" s="487">
        <f>+VLOOKUP($AJ682,Data_Validation!$A:$D,3,0)</f>
        <v>0</v>
      </c>
      <c r="AQ682" s="487">
        <f>+VLOOKUP($AJ682,Data_Validation!$A:$D,4,0)</f>
        <v>0</v>
      </c>
      <c r="AR682" s="487" t="s">
        <v>299</v>
      </c>
      <c r="AS682" s="487">
        <f>+VLOOKUP($AJ682,Data_Validation!$A:$E,5,0)</f>
        <v>0</v>
      </c>
      <c r="AT682" s="904" t="str">
        <f t="shared" si="63"/>
        <v>G45300</v>
      </c>
      <c r="AU682" s="488" t="str">
        <f t="shared" si="64"/>
        <v>*RECTIFICATION/STOK/TRUCK</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customHeight="1">
      <c r="A683" s="706" t="s">
        <v>1148</v>
      </c>
      <c r="B683" s="706">
        <v>2026</v>
      </c>
      <c r="C683" s="706" t="s">
        <v>2431</v>
      </c>
      <c r="D683" s="706" t="s">
        <v>2432</v>
      </c>
      <c r="E683" s="706" t="s">
        <v>333</v>
      </c>
      <c r="F683" s="706" t="s">
        <v>1149</v>
      </c>
      <c r="G683" s="706">
        <v>32386.73</v>
      </c>
      <c r="H683" s="706">
        <v>41911.730000000003</v>
      </c>
      <c r="I683" s="706">
        <v>60622.73</v>
      </c>
      <c r="J683" s="706">
        <v>95459.73</v>
      </c>
      <c r="K683" s="706">
        <v>126732.73</v>
      </c>
      <c r="L683" s="706">
        <v>155831.73000000001</v>
      </c>
      <c r="M683" s="706">
        <v>155831.73000000001</v>
      </c>
      <c r="N683" s="706">
        <v>0</v>
      </c>
      <c r="O683" s="706">
        <v>0</v>
      </c>
      <c r="P683" s="706">
        <v>0</v>
      </c>
      <c r="Q683" s="706">
        <v>0</v>
      </c>
      <c r="R683" s="706">
        <v>0</v>
      </c>
      <c r="S683" s="706">
        <v>25971.96</v>
      </c>
      <c r="T683" s="706">
        <v>25971.96</v>
      </c>
      <c r="U683" s="706">
        <v>0</v>
      </c>
      <c r="V683" s="706">
        <v>9</v>
      </c>
      <c r="W683" s="706">
        <v>12</v>
      </c>
      <c r="X683" s="706">
        <v>17</v>
      </c>
      <c r="Y683" s="706">
        <v>26</v>
      </c>
      <c r="Z683" s="706">
        <v>35</v>
      </c>
      <c r="AA683" s="706">
        <v>43</v>
      </c>
      <c r="AB683" s="706">
        <v>43</v>
      </c>
      <c r="AC683" s="706">
        <v>0</v>
      </c>
      <c r="AD683" s="706">
        <v>0</v>
      </c>
      <c r="AE683" s="706">
        <v>0</v>
      </c>
      <c r="AF683" s="706">
        <v>0</v>
      </c>
      <c r="AG683" s="706">
        <v>0</v>
      </c>
      <c r="AH683" s="706">
        <v>7</v>
      </c>
      <c r="AI683" s="706">
        <v>7</v>
      </c>
      <c r="AJ683" s="905" t="str">
        <f t="shared" si="66"/>
        <v>G45400</v>
      </c>
      <c r="AK683" s="905" t="str">
        <f t="shared" si="67"/>
        <v>VTES-PLAN PROTECTION USAG</v>
      </c>
      <c r="AL683" s="905">
        <f>IFERROR(INDEX(G683:R683,1,MATCH(Parametres!$B$3,G$1:R$1,0)-1)*IF(OR(F683="L",F683="S",F683="I"),-1,1),"")</f>
        <v>-126732.73</v>
      </c>
      <c r="AM683" s="905">
        <f t="shared" si="62"/>
        <v>-29099.000000000015</v>
      </c>
      <c r="AN683" s="905">
        <f>INDEX(G683:R683,1,MATCH(Parametres!$B$3,G$1:R$1,0))*IF(OR(F683="L",F683="S",F683="I"),-1,1)</f>
        <v>-155831.73000000001</v>
      </c>
      <c r="AO683" s="487" t="str">
        <f>+VLOOKUP($AJ683,Data_Validation!$A:$D,1,0)</f>
        <v>G45400</v>
      </c>
      <c r="AP683" s="487" t="str">
        <f>+VLOOKUP($AJ683,Data_Validation!$A:$D,3,0)</f>
        <v>Véhicules usagés</v>
      </c>
      <c r="AQ683" s="487" t="str">
        <f>+VLOOKUP($AJ683,Data_Validation!$A:$D,4,0)</f>
        <v>Rev. Protections</v>
      </c>
      <c r="AR683" s="487" t="s">
        <v>299</v>
      </c>
      <c r="AS683" s="487" t="str">
        <f>+VLOOKUP($AJ683,Data_Validation!$A:$E,5,0)</f>
        <v>Oui</v>
      </c>
      <c r="AT683" s="904" t="str">
        <f t="shared" si="63"/>
        <v>G45400</v>
      </c>
      <c r="AU683" s="488" t="str">
        <f t="shared" si="64"/>
        <v>VTES-PLAN PROTECTION USAG</v>
      </c>
      <c r="AV683" s="899">
        <f>IFERROR(INDEX(V683:AG683,1,MATCH(Parametres!$B$3,V$1:AG$1,0)-1)*IF(OR(C683="L",C683="S",C683="I"),-1,1),"")</f>
        <v>35</v>
      </c>
      <c r="AW683" s="899">
        <f t="shared" si="65"/>
        <v>8</v>
      </c>
      <c r="AX683" s="899">
        <f>INDEX(V683:AG683,1,MATCH(Parametres!$B$3,V$1:AG$1,0))*IF(OR(C683="L",C683="S",C683="I"),-1,1)</f>
        <v>43</v>
      </c>
      <c r="AY683" s="487" t="s">
        <v>337</v>
      </c>
      <c r="AZ683" s="487" t="str">
        <f>+VLOOKUP($AJ683,Data_Validation!$A:$E,5,0)</f>
        <v>Oui</v>
      </c>
    </row>
    <row r="684" spans="1:52" ht="15" customHeight="1">
      <c r="A684" s="706" t="s">
        <v>1148</v>
      </c>
      <c r="B684" s="706">
        <v>2026</v>
      </c>
      <c r="C684" s="706" t="s">
        <v>3346</v>
      </c>
      <c r="D684" s="706" t="s">
        <v>3347</v>
      </c>
      <c r="E684" s="706" t="s">
        <v>333</v>
      </c>
      <c r="F684" s="706" t="s">
        <v>1149</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G45401</v>
      </c>
      <c r="AK684" s="905" t="str">
        <f t="shared" si="67"/>
        <v>VTES ANTIROUILLE USAGE</v>
      </c>
      <c r="AL684" s="905">
        <f>IFERROR(INDEX(G684:R684,1,MATCH(Parametres!$B$3,G$1:R$1,0)-1)*IF(OR(F684="L",F684="S",F684="I"),-1,1),"")</f>
        <v>0</v>
      </c>
      <c r="AM684" s="905">
        <f t="shared" si="62"/>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t="str">
        <f t="shared" si="63"/>
        <v>G45401</v>
      </c>
      <c r="AU684" s="488" t="str">
        <f t="shared" si="64"/>
        <v>VTES ANTIROUILLE USAGE</v>
      </c>
      <c r="AV684" s="899">
        <f>IFERROR(INDEX(V684:AG684,1,MATCH(Parametres!$B$3,V$1:AG$1,0)-1)*IF(OR(C684="L",C684="S",C684="I"),-1,1),"")</f>
        <v>0</v>
      </c>
      <c r="AW684" s="899">
        <f t="shared" si="65"/>
        <v>0</v>
      </c>
      <c r="AX684" s="899">
        <f>INDEX(V684:AG684,1,MATCH(Parametres!$B$3,V$1:AG$1,0))*IF(OR(C684="L",C684="S",C684="I"),-1,1)</f>
        <v>0</v>
      </c>
      <c r="AY684" s="487" t="s">
        <v>337</v>
      </c>
      <c r="AZ684" s="487" t="e">
        <f>+VLOOKUP($AJ684,Data_Validation!$A:$E,5,0)</f>
        <v>#N/A</v>
      </c>
    </row>
    <row r="685" spans="1:52" ht="15" customHeight="1">
      <c r="A685" s="706" t="s">
        <v>1148</v>
      </c>
      <c r="B685" s="706">
        <v>2026</v>
      </c>
      <c r="C685" s="706" t="s">
        <v>3348</v>
      </c>
      <c r="D685" s="706" t="s">
        <v>3349</v>
      </c>
      <c r="E685" s="706" t="s">
        <v>333</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G45403</v>
      </c>
      <c r="AK685" s="905" t="str">
        <f t="shared" si="67"/>
        <v>VTE VITRE-PEINT-TISS- US</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G45403</v>
      </c>
      <c r="AU685" s="488" t="str">
        <f t="shared" si="64"/>
        <v>VTE VITRE-PEINT-TISS- US</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2026</v>
      </c>
      <c r="C686" s="706" t="s">
        <v>3350</v>
      </c>
      <c r="D686" s="706" t="s">
        <v>3351</v>
      </c>
      <c r="E686" s="706" t="s">
        <v>333</v>
      </c>
      <c r="F686" s="706" t="s">
        <v>1149</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G45405</v>
      </c>
      <c r="AK686" s="905" t="str">
        <f t="shared" si="67"/>
        <v>VTES ANTIVOL-TAG - US</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G45405</v>
      </c>
      <c r="AU686" s="488" t="str">
        <f t="shared" si="64"/>
        <v>VTES ANTIVOL-TAG - US</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2026</v>
      </c>
      <c r="C687" s="706" t="s">
        <v>2433</v>
      </c>
      <c r="D687" s="706" t="s">
        <v>2434</v>
      </c>
      <c r="E687" s="706" t="s">
        <v>1149</v>
      </c>
      <c r="F687" s="706" t="s">
        <v>1149</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G45500</v>
      </c>
      <c r="AK687" s="905" t="str">
        <f t="shared" si="67"/>
        <v>RETOUR DE LOCATION-VENTE</v>
      </c>
      <c r="AL687" s="905">
        <f>IFERROR(INDEX(G687:R687,1,MATCH(Parametres!$B$3,G$1:R$1,0)-1)*IF(OR(F687="L",F687="S",F687="I"),-1,1),"")</f>
        <v>0</v>
      </c>
      <c r="AM687" s="905">
        <f t="shared" si="62"/>
        <v>0</v>
      </c>
      <c r="AN687" s="905">
        <f>INDEX(G687:R687,1,MATCH(Parametres!$B$3,G$1:R$1,0))*IF(OR(F687="L",F687="S",F687="I"),-1,1)</f>
        <v>0</v>
      </c>
      <c r="AO687" s="487" t="str">
        <f>+VLOOKUP($AJ687,Data_Validation!$A:$D,1,0)</f>
        <v>G45500</v>
      </c>
      <c r="AP687" s="487" t="str">
        <f>+VLOOKUP($AJ687,Data_Validation!$A:$D,3,0)</f>
        <v>Véhicules usagés</v>
      </c>
      <c r="AQ687" s="487" t="str">
        <f>+VLOOKUP($AJ687,Data_Validation!$A:$D,4,0)</f>
        <v>Rev. Protections</v>
      </c>
      <c r="AR687" s="487" t="s">
        <v>299</v>
      </c>
      <c r="AS687" s="487" t="str">
        <f>+VLOOKUP($AJ687,Data_Validation!$A:$E,5,0)</f>
        <v>Oui</v>
      </c>
      <c r="AT687" s="904" t="str">
        <f t="shared" si="63"/>
        <v>G45500</v>
      </c>
      <c r="AU687" s="488" t="str">
        <f t="shared" si="64"/>
        <v>RETOUR DE LOCATION-VENTE</v>
      </c>
      <c r="AV687" s="899">
        <f>IFERROR(INDEX(V687:AG687,1,MATCH(Parametres!$B$3,V$1:AG$1,0)-1)*IF(OR(C687="L",C687="S",C687="I"),-1,1),"")</f>
        <v>0</v>
      </c>
      <c r="AW687" s="899">
        <f t="shared" si="65"/>
        <v>0</v>
      </c>
      <c r="AX687" s="899">
        <f>INDEX(V687:AG687,1,MATCH(Parametres!$B$3,V$1:AG$1,0))*IF(OR(C687="L",C687="S",C687="I"),-1,1)</f>
        <v>0</v>
      </c>
      <c r="AY687" s="487" t="s">
        <v>337</v>
      </c>
      <c r="AZ687" s="487" t="str">
        <f>+VLOOKUP($AJ687,Data_Validation!$A:$E,5,0)</f>
        <v>Oui</v>
      </c>
    </row>
    <row r="688" spans="1:52" ht="15" customHeight="1">
      <c r="A688" s="706" t="s">
        <v>1148</v>
      </c>
      <c r="B688" s="706">
        <v>2026</v>
      </c>
      <c r="C688" s="706" t="s">
        <v>2435</v>
      </c>
      <c r="D688" s="706" t="s">
        <v>2436</v>
      </c>
      <c r="E688" s="706" t="s">
        <v>333</v>
      </c>
      <c r="F688" s="706" t="s">
        <v>1149</v>
      </c>
      <c r="G688" s="706">
        <v>2177</v>
      </c>
      <c r="H688" s="706">
        <v>2177</v>
      </c>
      <c r="I688" s="706">
        <v>3534</v>
      </c>
      <c r="J688" s="706">
        <v>3534</v>
      </c>
      <c r="K688" s="706">
        <v>3534</v>
      </c>
      <c r="L688" s="706">
        <v>3534</v>
      </c>
      <c r="M688" s="706">
        <v>3534</v>
      </c>
      <c r="N688" s="706">
        <v>0</v>
      </c>
      <c r="O688" s="706">
        <v>0</v>
      </c>
      <c r="P688" s="706">
        <v>0</v>
      </c>
      <c r="Q688" s="706">
        <v>0</v>
      </c>
      <c r="R688" s="706">
        <v>0</v>
      </c>
      <c r="S688" s="706">
        <v>589</v>
      </c>
      <c r="T688" s="706">
        <v>589</v>
      </c>
      <c r="U688" s="706">
        <v>0</v>
      </c>
      <c r="V688" s="706">
        <v>1</v>
      </c>
      <c r="W688" s="706">
        <v>1</v>
      </c>
      <c r="X688" s="706">
        <v>2</v>
      </c>
      <c r="Y688" s="706">
        <v>2</v>
      </c>
      <c r="Z688" s="706">
        <v>2</v>
      </c>
      <c r="AA688" s="706">
        <v>2</v>
      </c>
      <c r="AB688" s="706">
        <v>2</v>
      </c>
      <c r="AC688" s="706">
        <v>0</v>
      </c>
      <c r="AD688" s="706">
        <v>0</v>
      </c>
      <c r="AE688" s="706">
        <v>0</v>
      </c>
      <c r="AF688" s="706">
        <v>0</v>
      </c>
      <c r="AG688" s="706">
        <v>0</v>
      </c>
      <c r="AH688" s="706">
        <v>0</v>
      </c>
      <c r="AI688" s="706">
        <v>0</v>
      </c>
      <c r="AJ688" s="905" t="str">
        <f t="shared" si="66"/>
        <v>G45600</v>
      </c>
      <c r="AK688" s="905" t="str">
        <f t="shared" si="67"/>
        <v>VALEUR REMPL. USAGES</v>
      </c>
      <c r="AL688" s="905">
        <f>IFERROR(INDEX(G688:R688,1,MATCH(Parametres!$B$3,G$1:R$1,0)-1)*IF(OR(F688="L",F688="S",F688="I"),-1,1),"")</f>
        <v>-3534</v>
      </c>
      <c r="AM688" s="905">
        <f t="shared" si="62"/>
        <v>0</v>
      </c>
      <c r="AN688" s="905">
        <f>INDEX(G688:R688,1,MATCH(Parametres!$B$3,G$1:R$1,0))*IF(OR(F688="L",F688="S",F688="I"),-1,1)</f>
        <v>-3534</v>
      </c>
      <c r="AO688" s="487" t="str">
        <f>+VLOOKUP($AJ688,Data_Validation!$A:$D,1,0)</f>
        <v>G45600</v>
      </c>
      <c r="AP688" s="487" t="str">
        <f>+VLOOKUP($AJ688,Data_Validation!$A:$D,3,0)</f>
        <v>Véhicules usagés</v>
      </c>
      <c r="AQ688" s="487" t="str">
        <f>+VLOOKUP($AJ688,Data_Validation!$A:$D,4,0)</f>
        <v>Rev. Protections</v>
      </c>
      <c r="AR688" s="487" t="s">
        <v>299</v>
      </c>
      <c r="AS688" s="487" t="str">
        <f>+VLOOKUP($AJ688,Data_Validation!$A:$E,5,0)</f>
        <v>Oui</v>
      </c>
      <c r="AT688" s="904" t="str">
        <f t="shared" si="63"/>
        <v>G45600</v>
      </c>
      <c r="AU688" s="488" t="str">
        <f t="shared" si="64"/>
        <v>VALEUR REMPL. USAGES</v>
      </c>
      <c r="AV688" s="899">
        <f>IFERROR(INDEX(V688:AG688,1,MATCH(Parametres!$B$3,V$1:AG$1,0)-1)*IF(OR(C688="L",C688="S",C688="I"),-1,1),"")</f>
        <v>2</v>
      </c>
      <c r="AW688" s="899">
        <f t="shared" si="65"/>
        <v>0</v>
      </c>
      <c r="AX688" s="899">
        <f>INDEX(V688:AG688,1,MATCH(Parametres!$B$3,V$1:AG$1,0))*IF(OR(C688="L",C688="S",C688="I"),-1,1)</f>
        <v>2</v>
      </c>
      <c r="AY688" s="487" t="s">
        <v>337</v>
      </c>
      <c r="AZ688" s="487" t="str">
        <f>+VLOOKUP($AJ688,Data_Validation!$A:$E,5,0)</f>
        <v>Oui</v>
      </c>
    </row>
    <row r="689" spans="1:52" ht="15" customHeight="1">
      <c r="A689" s="706" t="s">
        <v>1148</v>
      </c>
      <c r="B689" s="706">
        <v>2026</v>
      </c>
      <c r="C689" s="706" t="s">
        <v>2437</v>
      </c>
      <c r="D689" s="706" t="s">
        <v>2438</v>
      </c>
      <c r="E689" s="706" t="s">
        <v>1149</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G45601</v>
      </c>
      <c r="AK689" s="905" t="str">
        <f t="shared" si="67"/>
        <v>REV VEHICULES U.S.A</v>
      </c>
      <c r="AL689" s="905">
        <f>IFERROR(INDEX(G689:R689,1,MATCH(Parametres!$B$3,G$1:R$1,0)-1)*IF(OR(F689="L",F689="S",F689="I"),-1,1),"")</f>
        <v>0</v>
      </c>
      <c r="AM689" s="905">
        <f t="shared" si="62"/>
        <v>0</v>
      </c>
      <c r="AN689" s="905">
        <f>INDEX(G689:R689,1,MATCH(Parametres!$B$3,G$1:R$1,0))*IF(OR(F689="L",F689="S",F689="I"),-1,1)</f>
        <v>0</v>
      </c>
      <c r="AO689" s="487" t="str">
        <f>+VLOOKUP($AJ689,Data_Validation!$A:$D,1,0)</f>
        <v>G45601</v>
      </c>
      <c r="AP689" s="487" t="str">
        <f>+VLOOKUP($AJ689,Data_Validation!$A:$D,3,0)</f>
        <v>Wholesale autres</v>
      </c>
      <c r="AQ689" s="487" t="str">
        <f>+VLOOKUP($AJ689,Data_Validation!$A:$D,4,0)</f>
        <v>Wholesale USA</v>
      </c>
      <c r="AR689" s="487" t="s">
        <v>299</v>
      </c>
      <c r="AS689" s="487" t="str">
        <f>+VLOOKUP($AJ689,Data_Validation!$A:$E,5,0)</f>
        <v>Oui</v>
      </c>
      <c r="AT689" s="904" t="str">
        <f t="shared" si="63"/>
        <v>G45601</v>
      </c>
      <c r="AU689" s="488" t="str">
        <f t="shared" si="64"/>
        <v>REV VEHICULES U.S.A</v>
      </c>
      <c r="AV689" s="899">
        <f>IFERROR(INDEX(V689:AG689,1,MATCH(Parametres!$B$3,V$1:AG$1,0)-1)*IF(OR(C689="L",C689="S",C689="I"),-1,1),"")</f>
        <v>0</v>
      </c>
      <c r="AW689" s="899">
        <f t="shared" si="65"/>
        <v>0</v>
      </c>
      <c r="AX689" s="899">
        <f>INDEX(V689:AG689,1,MATCH(Parametres!$B$3,V$1:AG$1,0))*IF(OR(C689="L",C689="S",C689="I"),-1,1)</f>
        <v>0</v>
      </c>
      <c r="AY689" s="487" t="s">
        <v>337</v>
      </c>
      <c r="AZ689" s="487" t="str">
        <f>+VLOOKUP($AJ689,Data_Validation!$A:$E,5,0)</f>
        <v>Oui</v>
      </c>
    </row>
    <row r="690" spans="1:52" ht="15" customHeight="1">
      <c r="A690" s="706" t="s">
        <v>1148</v>
      </c>
      <c r="B690" s="706">
        <v>2026</v>
      </c>
      <c r="C690" s="706" t="s">
        <v>2439</v>
      </c>
      <c r="D690" s="706" t="s">
        <v>2440</v>
      </c>
      <c r="E690" s="706" t="s">
        <v>333</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G45602</v>
      </c>
      <c r="AK690" s="905" t="str">
        <f t="shared" si="67"/>
        <v>VENTE USA -AJUSTMENT</v>
      </c>
      <c r="AL690" s="905">
        <f>IFERROR(INDEX(G690:R690,1,MATCH(Parametres!$B$3,G$1:R$1,0)-1)*IF(OR(F690="L",F690="S",F690="I"),-1,1),"")</f>
        <v>0</v>
      </c>
      <c r="AM690" s="905">
        <f t="shared" si="62"/>
        <v>0</v>
      </c>
      <c r="AN690" s="905">
        <f>INDEX(G690:R690,1,MATCH(Parametres!$B$3,G$1:R$1,0))*IF(OR(F690="L",F690="S",F690="I"),-1,1)</f>
        <v>0</v>
      </c>
      <c r="AO690" s="487" t="str">
        <f>+VLOOKUP($AJ690,Data_Validation!$A:$D,1,0)</f>
        <v>G45602</v>
      </c>
      <c r="AP690" s="487" t="str">
        <f>+VLOOKUP($AJ690,Data_Validation!$A:$D,3,0)</f>
        <v>Wholesale autres</v>
      </c>
      <c r="AQ690" s="487" t="str">
        <f>+VLOOKUP($AJ690,Data_Validation!$A:$D,4,0)</f>
        <v>Wholesale USA</v>
      </c>
      <c r="AR690" s="487" t="s">
        <v>299</v>
      </c>
      <c r="AS690" s="487" t="str">
        <f>+VLOOKUP($AJ690,Data_Validation!$A:$E,5,0)</f>
        <v>Oui</v>
      </c>
      <c r="AT690" s="904" t="str">
        <f t="shared" si="63"/>
        <v>G45602</v>
      </c>
      <c r="AU690" s="488" t="str">
        <f t="shared" si="64"/>
        <v>VENTE USA -AJUSTMENT</v>
      </c>
      <c r="AV690" s="899">
        <f>IFERROR(INDEX(V690:AG690,1,MATCH(Parametres!$B$3,V$1:AG$1,0)-1)*IF(OR(C690="L",C690="S",C690="I"),-1,1),"")</f>
        <v>0</v>
      </c>
      <c r="AW690" s="899">
        <f t="shared" si="65"/>
        <v>0</v>
      </c>
      <c r="AX690" s="899">
        <f>INDEX(V690:AG690,1,MATCH(Parametres!$B$3,V$1:AG$1,0))*IF(OR(C690="L",C690="S",C690="I"),-1,1)</f>
        <v>0</v>
      </c>
      <c r="AY690" s="487" t="s">
        <v>337</v>
      </c>
      <c r="AZ690" s="487" t="str">
        <f>+VLOOKUP($AJ690,Data_Validation!$A:$E,5,0)</f>
        <v>Oui</v>
      </c>
    </row>
    <row r="691" spans="1:52" ht="15" customHeight="1">
      <c r="A691" s="706" t="s">
        <v>1148</v>
      </c>
      <c r="B691" s="706">
        <v>2026</v>
      </c>
      <c r="C691" s="706" t="s">
        <v>2441</v>
      </c>
      <c r="D691" s="706" t="s">
        <v>3312</v>
      </c>
      <c r="E691" s="706" t="s">
        <v>1149</v>
      </c>
      <c r="F691" s="706" t="s">
        <v>1149</v>
      </c>
      <c r="G691" s="706">
        <v>1865674.77</v>
      </c>
      <c r="H691" s="706">
        <v>3739642.83</v>
      </c>
      <c r="I691" s="706">
        <v>7577610.2699999996</v>
      </c>
      <c r="J691" s="706">
        <v>11976681.210000001</v>
      </c>
      <c r="K691" s="706">
        <v>15277728.66</v>
      </c>
      <c r="L691" s="706">
        <v>18289428.579999998</v>
      </c>
      <c r="M691" s="706">
        <v>18491597.879999999</v>
      </c>
      <c r="N691" s="706">
        <v>0</v>
      </c>
      <c r="O691" s="706">
        <v>0</v>
      </c>
      <c r="P691" s="706">
        <v>0</v>
      </c>
      <c r="Q691" s="706">
        <v>0</v>
      </c>
      <c r="R691" s="706">
        <v>0</v>
      </c>
      <c r="S691" s="706">
        <v>3048238.1</v>
      </c>
      <c r="T691" s="706">
        <v>3048238.1</v>
      </c>
      <c r="U691" s="706">
        <v>0</v>
      </c>
      <c r="V691" s="706">
        <v>40</v>
      </c>
      <c r="W691" s="706">
        <v>82</v>
      </c>
      <c r="X691" s="706">
        <v>165</v>
      </c>
      <c r="Y691" s="706">
        <v>257</v>
      </c>
      <c r="Z691" s="706">
        <v>334</v>
      </c>
      <c r="AA691" s="706">
        <v>396</v>
      </c>
      <c r="AB691" s="706">
        <v>400</v>
      </c>
      <c r="AC691" s="706">
        <v>0</v>
      </c>
      <c r="AD691" s="706">
        <v>0</v>
      </c>
      <c r="AE691" s="706">
        <v>0</v>
      </c>
      <c r="AF691" s="706">
        <v>0</v>
      </c>
      <c r="AG691" s="706">
        <v>0</v>
      </c>
      <c r="AH691" s="706">
        <v>66</v>
      </c>
      <c r="AI691" s="706">
        <v>66</v>
      </c>
      <c r="AJ691" s="905" t="str">
        <f t="shared" si="66"/>
        <v>G45603</v>
      </c>
      <c r="AK691" s="905" t="str">
        <f t="shared" si="67"/>
        <v>VENTES USA</v>
      </c>
      <c r="AL691" s="905">
        <f>IFERROR(INDEX(G691:R691,1,MATCH(Parametres!$B$3,G$1:R$1,0)-1)*IF(OR(F691="L",F691="S",F691="I"),-1,1),"")</f>
        <v>-15277728.66</v>
      </c>
      <c r="AM691" s="905">
        <f t="shared" si="62"/>
        <v>-3011699.9199999981</v>
      </c>
      <c r="AN691" s="905">
        <f>INDEX(G691:R691,1,MATCH(Parametres!$B$3,G$1:R$1,0))*IF(OR(F691="L",F691="S",F691="I"),-1,1)</f>
        <v>-18289428.579999998</v>
      </c>
      <c r="AO691" s="487" t="str">
        <f>+VLOOKUP($AJ691,Data_Validation!$A:$D,1,0)</f>
        <v>G45603</v>
      </c>
      <c r="AP691" s="487" t="str">
        <f>+VLOOKUP($AJ691,Data_Validation!$A:$D,3,0)</f>
        <v>Wholesale autres</v>
      </c>
      <c r="AQ691" s="487" t="str">
        <f>+VLOOKUP($AJ691,Data_Validation!$A:$D,4,0)</f>
        <v>Wholesale USA</v>
      </c>
      <c r="AR691" s="487" t="s">
        <v>299</v>
      </c>
      <c r="AS691" s="487" t="str">
        <f>+VLOOKUP($AJ691,Data_Validation!$A:$E,5,0)</f>
        <v>Oui</v>
      </c>
      <c r="AT691" s="904" t="str">
        <f t="shared" si="63"/>
        <v>G45603</v>
      </c>
      <c r="AU691" s="488" t="str">
        <f t="shared" si="64"/>
        <v>VENTES USA</v>
      </c>
      <c r="AV691" s="899">
        <f>IFERROR(INDEX(V691:AG691,1,MATCH(Parametres!$B$3,V$1:AG$1,0)-1)*IF(OR(C691="L",C691="S",C691="I"),-1,1),"")</f>
        <v>334</v>
      </c>
      <c r="AW691" s="899">
        <f t="shared" si="65"/>
        <v>62</v>
      </c>
      <c r="AX691" s="899">
        <f>INDEX(V691:AG691,1,MATCH(Parametres!$B$3,V$1:AG$1,0))*IF(OR(C691="L",C691="S",C691="I"),-1,1)</f>
        <v>396</v>
      </c>
      <c r="AY691" s="487" t="s">
        <v>337</v>
      </c>
      <c r="AZ691" s="487" t="str">
        <f>+VLOOKUP($AJ691,Data_Validation!$A:$E,5,0)</f>
        <v>Oui</v>
      </c>
    </row>
    <row r="692" spans="1:52" ht="15" customHeight="1">
      <c r="A692" s="706" t="s">
        <v>1148</v>
      </c>
      <c r="B692" s="706">
        <v>2026</v>
      </c>
      <c r="C692" s="706" t="s">
        <v>2443</v>
      </c>
      <c r="D692" s="706" t="s">
        <v>2444</v>
      </c>
      <c r="E692" s="706" t="s">
        <v>1149</v>
      </c>
      <c r="F692" s="706" t="s">
        <v>1149</v>
      </c>
      <c r="G692" s="706">
        <v>0</v>
      </c>
      <c r="H692" s="706">
        <v>0</v>
      </c>
      <c r="I692" s="706">
        <v>0</v>
      </c>
      <c r="J692" s="706">
        <v>0</v>
      </c>
      <c r="K692" s="706">
        <v>3688515.75</v>
      </c>
      <c r="L692" s="706">
        <v>5629910.8300000001</v>
      </c>
      <c r="M692" s="706">
        <v>5871160.3300000001</v>
      </c>
      <c r="N692" s="706">
        <v>0</v>
      </c>
      <c r="O692" s="706">
        <v>0</v>
      </c>
      <c r="P692" s="706">
        <v>0</v>
      </c>
      <c r="Q692" s="706">
        <v>0</v>
      </c>
      <c r="R692" s="706">
        <v>0</v>
      </c>
      <c r="S692" s="706">
        <v>938318.47</v>
      </c>
      <c r="T692" s="706">
        <v>938318.47</v>
      </c>
      <c r="U692" s="706">
        <v>0</v>
      </c>
      <c r="V692" s="706">
        <v>0</v>
      </c>
      <c r="W692" s="706">
        <v>0</v>
      </c>
      <c r="X692" s="706">
        <v>0</v>
      </c>
      <c r="Y692" s="706">
        <v>0</v>
      </c>
      <c r="Z692" s="706">
        <v>66</v>
      </c>
      <c r="AA692" s="706">
        <v>102</v>
      </c>
      <c r="AB692" s="706">
        <v>106</v>
      </c>
      <c r="AC692" s="706">
        <v>0</v>
      </c>
      <c r="AD692" s="706">
        <v>0</v>
      </c>
      <c r="AE692" s="706">
        <v>0</v>
      </c>
      <c r="AF692" s="706">
        <v>0</v>
      </c>
      <c r="AG692" s="706">
        <v>0</v>
      </c>
      <c r="AH692" s="706">
        <v>17</v>
      </c>
      <c r="AI692" s="706">
        <v>17</v>
      </c>
      <c r="AJ692" s="905" t="str">
        <f t="shared" si="66"/>
        <v>G456031</v>
      </c>
      <c r="AK692" s="905" t="str">
        <f t="shared" si="67"/>
        <v>VENTES INTERCO USA</v>
      </c>
      <c r="AL692" s="905">
        <f>IFERROR(INDEX(G692:R692,1,MATCH(Parametres!$B$3,G$1:R$1,0)-1)*IF(OR(F692="L",F692="S",F692="I"),-1,1),"")</f>
        <v>-3688515.75</v>
      </c>
      <c r="AM692" s="905">
        <f t="shared" si="62"/>
        <v>-1941395.08</v>
      </c>
      <c r="AN692" s="905">
        <f>INDEX(G692:R692,1,MATCH(Parametres!$B$3,G$1:R$1,0))*IF(OR(F692="L",F692="S",F692="I"),-1,1)</f>
        <v>-5629910.8300000001</v>
      </c>
      <c r="AO692" s="487" t="str">
        <f>+VLOOKUP($AJ692,Data_Validation!$A:$D,1,0)</f>
        <v>G456031</v>
      </c>
      <c r="AP692" s="487">
        <f>+VLOOKUP($AJ692,Data_Validation!$A:$D,3,0)</f>
        <v>0</v>
      </c>
      <c r="AQ692" s="487">
        <f>+VLOOKUP($AJ692,Data_Validation!$A:$D,4,0)</f>
        <v>0</v>
      </c>
      <c r="AR692" s="487" t="s">
        <v>299</v>
      </c>
      <c r="AS692" s="487">
        <f>+VLOOKUP($AJ692,Data_Validation!$A:$E,5,0)</f>
        <v>0</v>
      </c>
      <c r="AT692" s="904" t="str">
        <f t="shared" si="63"/>
        <v>G456031</v>
      </c>
      <c r="AU692" s="488" t="str">
        <f t="shared" si="64"/>
        <v>VENTES INTERCO USA</v>
      </c>
      <c r="AV692" s="899">
        <f>IFERROR(INDEX(V692:AG692,1,MATCH(Parametres!$B$3,V$1:AG$1,0)-1)*IF(OR(C692="L",C692="S",C692="I"),-1,1),"")</f>
        <v>66</v>
      </c>
      <c r="AW692" s="899">
        <f t="shared" si="65"/>
        <v>36</v>
      </c>
      <c r="AX692" s="899">
        <f>INDEX(V692:AG692,1,MATCH(Parametres!$B$3,V$1:AG$1,0))*IF(OR(C692="L",C692="S",C692="I"),-1,1)</f>
        <v>102</v>
      </c>
      <c r="AY692" s="487" t="s">
        <v>337</v>
      </c>
      <c r="AZ692" s="487">
        <f>+VLOOKUP($AJ692,Data_Validation!$A:$E,5,0)</f>
        <v>0</v>
      </c>
    </row>
    <row r="693" spans="1:52" ht="15" customHeight="1">
      <c r="A693" s="706" t="s">
        <v>1148</v>
      </c>
      <c r="B693" s="706">
        <v>2026</v>
      </c>
      <c r="C693" s="706" t="s">
        <v>2445</v>
      </c>
      <c r="D693" s="706" t="s">
        <v>2446</v>
      </c>
      <c r="E693" s="706" t="s">
        <v>1149</v>
      </c>
      <c r="F693" s="706" t="s">
        <v>1149</v>
      </c>
      <c r="G693" s="706">
        <v>0</v>
      </c>
      <c r="H693" s="706">
        <v>0</v>
      </c>
      <c r="I693" s="706">
        <v>0</v>
      </c>
      <c r="J693" s="706">
        <v>0</v>
      </c>
      <c r="K693" s="706">
        <v>7860774.2599999998</v>
      </c>
      <c r="L693" s="706">
        <v>8498277.2599999998</v>
      </c>
      <c r="M693" s="706">
        <v>8936719.2599999998</v>
      </c>
      <c r="N693" s="706">
        <v>0</v>
      </c>
      <c r="O693" s="706">
        <v>0</v>
      </c>
      <c r="P693" s="706">
        <v>0</v>
      </c>
      <c r="Q693" s="706">
        <v>0</v>
      </c>
      <c r="R693" s="706">
        <v>0</v>
      </c>
      <c r="S693" s="706">
        <v>1416379.54</v>
      </c>
      <c r="T693" s="706">
        <v>1416379.54</v>
      </c>
      <c r="U693" s="706">
        <v>0</v>
      </c>
      <c r="V693" s="706">
        <v>0</v>
      </c>
      <c r="W693" s="706">
        <v>0</v>
      </c>
      <c r="X693" s="706">
        <v>0</v>
      </c>
      <c r="Y693" s="706">
        <v>0</v>
      </c>
      <c r="Z693" s="706">
        <v>246</v>
      </c>
      <c r="AA693" s="706">
        <v>262</v>
      </c>
      <c r="AB693" s="706">
        <v>273</v>
      </c>
      <c r="AC693" s="706">
        <v>0</v>
      </c>
      <c r="AD693" s="706">
        <v>0</v>
      </c>
      <c r="AE693" s="706">
        <v>0</v>
      </c>
      <c r="AF693" s="706">
        <v>0</v>
      </c>
      <c r="AG693" s="706">
        <v>0</v>
      </c>
      <c r="AH693" s="706">
        <v>44</v>
      </c>
      <c r="AI693" s="706">
        <v>44</v>
      </c>
      <c r="AJ693" s="905" t="str">
        <f t="shared" si="66"/>
        <v>G45605</v>
      </c>
      <c r="AK693" s="905" t="str">
        <f t="shared" si="67"/>
        <v>VENTE WHL CANADA</v>
      </c>
      <c r="AL693" s="905">
        <f>IFERROR(INDEX(G693:R693,1,MATCH(Parametres!$B$3,G$1:R$1,0)-1)*IF(OR(F693="L",F693="S",F693="I"),-1,1),"")</f>
        <v>-7860774.2599999998</v>
      </c>
      <c r="AM693" s="905">
        <f t="shared" si="62"/>
        <v>-637503</v>
      </c>
      <c r="AN693" s="905">
        <f>INDEX(G693:R693,1,MATCH(Parametres!$B$3,G$1:R$1,0))*IF(OR(F693="L",F693="S",F693="I"),-1,1)</f>
        <v>-8498277.2599999998</v>
      </c>
      <c r="AO693" s="487" t="str">
        <f>+VLOOKUP($AJ693,Data_Validation!$A:$D,1,0)</f>
        <v>G45605</v>
      </c>
      <c r="AP693" s="487" t="str">
        <f>+VLOOKUP($AJ693,Data_Validation!$A:$D,3,0)</f>
        <v>Wholesale autres</v>
      </c>
      <c r="AQ693" s="487" t="str">
        <f>+VLOOKUP($AJ693,Data_Validation!$A:$D,4,0)</f>
        <v>Wholesale Canada</v>
      </c>
      <c r="AR693" s="487" t="s">
        <v>299</v>
      </c>
      <c r="AS693" s="487" t="str">
        <f>+VLOOKUP($AJ693,Data_Validation!$A:$E,5,0)</f>
        <v>Oui</v>
      </c>
      <c r="AT693" s="904" t="str">
        <f t="shared" si="63"/>
        <v>G45605</v>
      </c>
      <c r="AU693" s="488" t="str">
        <f t="shared" si="64"/>
        <v>VENTE WHL CANADA</v>
      </c>
      <c r="AV693" s="899">
        <f>IFERROR(INDEX(V693:AG693,1,MATCH(Parametres!$B$3,V$1:AG$1,0)-1)*IF(OR(C693="L",C693="S",C693="I"),-1,1),"")</f>
        <v>246</v>
      </c>
      <c r="AW693" s="899">
        <f t="shared" si="65"/>
        <v>16</v>
      </c>
      <c r="AX693" s="899">
        <f>INDEX(V693:AG693,1,MATCH(Parametres!$B$3,V$1:AG$1,0))*IF(OR(C693="L",C693="S",C693="I"),-1,1)</f>
        <v>262</v>
      </c>
      <c r="AY693" s="487" t="s">
        <v>337</v>
      </c>
      <c r="AZ693" s="487" t="str">
        <f>+VLOOKUP($AJ693,Data_Validation!$A:$E,5,0)</f>
        <v>Oui</v>
      </c>
    </row>
    <row r="694" spans="1:52" ht="15" customHeight="1">
      <c r="A694" s="706" t="s">
        <v>1148</v>
      </c>
      <c r="B694" s="706">
        <v>2026</v>
      </c>
      <c r="C694" s="706" t="s">
        <v>2447</v>
      </c>
      <c r="D694" s="706" t="s">
        <v>2448</v>
      </c>
      <c r="E694" s="706" t="s">
        <v>1151</v>
      </c>
      <c r="F694" s="706" t="s">
        <v>1149</v>
      </c>
      <c r="G694" s="706">
        <v>57649.56</v>
      </c>
      <c r="H694" s="706">
        <v>133321.16</v>
      </c>
      <c r="I694" s="706">
        <v>208755.74</v>
      </c>
      <c r="J694" s="706">
        <v>280763.65000000002</v>
      </c>
      <c r="K694" s="706">
        <v>315937.68</v>
      </c>
      <c r="L694" s="706">
        <v>370066.6</v>
      </c>
      <c r="M694" s="706">
        <v>397486</v>
      </c>
      <c r="N694" s="706">
        <v>0</v>
      </c>
      <c r="O694" s="706">
        <v>0</v>
      </c>
      <c r="P694" s="706">
        <v>0</v>
      </c>
      <c r="Q694" s="706">
        <v>0</v>
      </c>
      <c r="R694" s="706">
        <v>0</v>
      </c>
      <c r="S694" s="706">
        <v>61677.77</v>
      </c>
      <c r="T694" s="706">
        <v>61677.77</v>
      </c>
      <c r="U694" s="706">
        <v>0</v>
      </c>
      <c r="V694" s="706">
        <v>157</v>
      </c>
      <c r="W694" s="706">
        <v>314</v>
      </c>
      <c r="X694" s="706">
        <v>529</v>
      </c>
      <c r="Y694" s="706">
        <v>844</v>
      </c>
      <c r="Z694" s="706">
        <v>1056</v>
      </c>
      <c r="AA694" s="706">
        <v>1280</v>
      </c>
      <c r="AB694" s="706">
        <v>1401</v>
      </c>
      <c r="AC694" s="706">
        <v>0</v>
      </c>
      <c r="AD694" s="706">
        <v>0</v>
      </c>
      <c r="AE694" s="706">
        <v>0</v>
      </c>
      <c r="AF694" s="706">
        <v>0</v>
      </c>
      <c r="AG694" s="706">
        <v>0</v>
      </c>
      <c r="AH694" s="706">
        <v>213</v>
      </c>
      <c r="AI694" s="706">
        <v>213</v>
      </c>
      <c r="AJ694" s="905" t="str">
        <f t="shared" si="66"/>
        <v>G46010</v>
      </c>
      <c r="AK694" s="905" t="str">
        <f t="shared" si="67"/>
        <v>M-D'O CLIENT VOIT-CAM.LEG</v>
      </c>
      <c r="AL694" s="905">
        <f>IFERROR(INDEX(G694:R694,1,MATCH(Parametres!$B$3,G$1:R$1,0)-1)*IF(OR(F694="L",F694="S",F694="I"),-1,1),"")</f>
        <v>-315937.68</v>
      </c>
      <c r="AM694" s="905">
        <f t="shared" si="62"/>
        <v>-54128.919999999984</v>
      </c>
      <c r="AN694" s="905">
        <f>INDEX(G694:R694,1,MATCH(Parametres!$B$3,G$1:R$1,0))*IF(OR(F694="L",F694="S",F694="I"),-1,1)</f>
        <v>-370066.6</v>
      </c>
      <c r="AO694" s="487" t="str">
        <f>+VLOOKUP($AJ694,Data_Validation!$A:$D,1,0)</f>
        <v>G46010</v>
      </c>
      <c r="AP694" s="487" t="str">
        <f>+VLOOKUP($AJ694,Data_Validation!$A:$D,3,0)</f>
        <v>Service</v>
      </c>
      <c r="AQ694" s="487" t="str">
        <f>+VLOOKUP($AJ694,Data_Validation!$A:$D,4,0)</f>
        <v>M/O Client</v>
      </c>
      <c r="AR694" s="487" t="s">
        <v>299</v>
      </c>
      <c r="AS694" s="487" t="str">
        <f>+VLOOKUP($AJ694,Data_Validation!$A:$E,5,0)</f>
        <v>Oui</v>
      </c>
      <c r="AT694" s="904" t="str">
        <f t="shared" si="63"/>
        <v>G46010</v>
      </c>
      <c r="AU694" s="488" t="str">
        <f t="shared" si="64"/>
        <v>M-D'O CLIENT VOIT-CAM.LEG</v>
      </c>
      <c r="AV694" s="899">
        <f>IFERROR(INDEX(V694:AG694,1,MATCH(Parametres!$B$3,V$1:AG$1,0)-1)*IF(OR(C694="L",C694="S",C694="I"),-1,1),"")</f>
        <v>1056</v>
      </c>
      <c r="AW694" s="899">
        <f t="shared" si="65"/>
        <v>224</v>
      </c>
      <c r="AX694" s="899">
        <f>INDEX(V694:AG694,1,MATCH(Parametres!$B$3,V$1:AG$1,0))*IF(OR(C694="L",C694="S",C694="I"),-1,1)</f>
        <v>1280</v>
      </c>
      <c r="AY694" s="487" t="s">
        <v>337</v>
      </c>
      <c r="AZ694" s="487" t="str">
        <f>+VLOOKUP($AJ694,Data_Validation!$A:$E,5,0)</f>
        <v>Oui</v>
      </c>
    </row>
    <row r="695" spans="1:52" ht="15" customHeight="1">
      <c r="A695" s="706" t="s">
        <v>1148</v>
      </c>
      <c r="B695" s="706">
        <v>2026</v>
      </c>
      <c r="C695" s="706" t="s">
        <v>3313</v>
      </c>
      <c r="D695" s="706" t="s">
        <v>3314</v>
      </c>
      <c r="E695" s="706" t="s">
        <v>1151</v>
      </c>
      <c r="F695" s="706" t="s">
        <v>1149</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G46015</v>
      </c>
      <c r="AK695" s="905" t="str">
        <f t="shared" si="67"/>
        <v>VTE ESTHETIQUE CLIENT</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G46015</v>
      </c>
      <c r="AU695" s="488" t="str">
        <f t="shared" si="64"/>
        <v>VTE ESTHETIQUE CLIENT</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customHeight="1">
      <c r="A696" s="706" t="s">
        <v>1148</v>
      </c>
      <c r="B696" s="706">
        <v>2026</v>
      </c>
      <c r="C696" s="706" t="s">
        <v>2449</v>
      </c>
      <c r="D696" s="706" t="s">
        <v>2450</v>
      </c>
      <c r="E696" s="706" t="s">
        <v>1151</v>
      </c>
      <c r="F696" s="706" t="s">
        <v>1149</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1</v>
      </c>
      <c r="AA696" s="706">
        <v>1</v>
      </c>
      <c r="AB696" s="706">
        <v>1</v>
      </c>
      <c r="AC696" s="706">
        <v>0</v>
      </c>
      <c r="AD696" s="706">
        <v>0</v>
      </c>
      <c r="AE696" s="706">
        <v>0</v>
      </c>
      <c r="AF696" s="706">
        <v>0</v>
      </c>
      <c r="AG696" s="706">
        <v>0</v>
      </c>
      <c r="AH696" s="706">
        <v>0</v>
      </c>
      <c r="AI696" s="706">
        <v>0</v>
      </c>
      <c r="AJ696" s="905" t="str">
        <f t="shared" si="66"/>
        <v>G46020</v>
      </c>
      <c r="AK696" s="905" t="str">
        <f t="shared" si="67"/>
        <v>CONT.SER-VOIT &amp; CAM.LEGER</v>
      </c>
      <c r="AL696" s="905">
        <f>IFERROR(INDEX(G696:R696,1,MATCH(Parametres!$B$3,G$1:R$1,0)-1)*IF(OR(F696="L",F696="S",F696="I"),-1,1),"")</f>
        <v>0</v>
      </c>
      <c r="AM696" s="905">
        <f t="shared" si="62"/>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t="str">
        <f t="shared" si="63"/>
        <v>G46020</v>
      </c>
      <c r="AU696" s="488" t="str">
        <f t="shared" si="64"/>
        <v>CONT.SER-VOIT &amp; CAM.LEGER</v>
      </c>
      <c r="AV696" s="899">
        <f>IFERROR(INDEX(V696:AG696,1,MATCH(Parametres!$B$3,V$1:AG$1,0)-1)*IF(OR(C696="L",C696="S",C696="I"),-1,1),"")</f>
        <v>1</v>
      </c>
      <c r="AW696" s="899">
        <f t="shared" si="65"/>
        <v>0</v>
      </c>
      <c r="AX696" s="899">
        <f>INDEX(V696:AG696,1,MATCH(Parametres!$B$3,V$1:AG$1,0))*IF(OR(C696="L",C696="S",C696="I"),-1,1)</f>
        <v>1</v>
      </c>
      <c r="AY696" s="487" t="s">
        <v>337</v>
      </c>
      <c r="AZ696" s="487" t="e">
        <f>+VLOOKUP($AJ696,Data_Validation!$A:$E,5,0)</f>
        <v>#N/A</v>
      </c>
    </row>
    <row r="697" spans="1:52" ht="15" customHeight="1">
      <c r="A697" s="706" t="s">
        <v>1148</v>
      </c>
      <c r="B697" s="706">
        <v>2026</v>
      </c>
      <c r="C697" s="706" t="s">
        <v>2451</v>
      </c>
      <c r="D697" s="706" t="s">
        <v>2452</v>
      </c>
      <c r="E697" s="706" t="s">
        <v>1151</v>
      </c>
      <c r="F697" s="706" t="s">
        <v>1149</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G46030</v>
      </c>
      <c r="AK697" s="905" t="str">
        <f t="shared" si="67"/>
        <v>VTES-M.D.PL.PROT.AUT.AUTO</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G46030</v>
      </c>
      <c r="AU697" s="488" t="str">
        <f t="shared" si="64"/>
        <v>VTES-M.D.PL.PROT.AUT.AUTO</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2026</v>
      </c>
      <c r="C698" s="706" t="s">
        <v>2453</v>
      </c>
      <c r="D698" s="706" t="s">
        <v>2454</v>
      </c>
      <c r="E698" s="706" t="s">
        <v>1151</v>
      </c>
      <c r="F698" s="706" t="s">
        <v>1149</v>
      </c>
      <c r="G698" s="706">
        <v>3100.84</v>
      </c>
      <c r="H698" s="706">
        <v>4320.3999999999996</v>
      </c>
      <c r="I698" s="706">
        <v>4904.8</v>
      </c>
      <c r="J698" s="706">
        <v>6091.54</v>
      </c>
      <c r="K698" s="706">
        <v>10948.9</v>
      </c>
      <c r="L698" s="706">
        <v>13966.1</v>
      </c>
      <c r="M698" s="706">
        <v>15112.65</v>
      </c>
      <c r="N698" s="706">
        <v>0</v>
      </c>
      <c r="O698" s="706">
        <v>0</v>
      </c>
      <c r="P698" s="706">
        <v>0</v>
      </c>
      <c r="Q698" s="706">
        <v>0</v>
      </c>
      <c r="R698" s="706">
        <v>0</v>
      </c>
      <c r="S698" s="706">
        <v>2327.6799999999998</v>
      </c>
      <c r="T698" s="706">
        <v>2327.6799999999998</v>
      </c>
      <c r="U698" s="706">
        <v>0</v>
      </c>
      <c r="V698" s="706">
        <v>12</v>
      </c>
      <c r="W698" s="706">
        <v>18</v>
      </c>
      <c r="X698" s="706">
        <v>21</v>
      </c>
      <c r="Y698" s="706">
        <v>38</v>
      </c>
      <c r="Z698" s="706">
        <v>79</v>
      </c>
      <c r="AA698" s="706">
        <v>103</v>
      </c>
      <c r="AB698" s="706">
        <v>112</v>
      </c>
      <c r="AC698" s="706">
        <v>0</v>
      </c>
      <c r="AD698" s="706">
        <v>0</v>
      </c>
      <c r="AE698" s="706">
        <v>0</v>
      </c>
      <c r="AF698" s="706">
        <v>0</v>
      </c>
      <c r="AG698" s="706">
        <v>0</v>
      </c>
      <c r="AH698" s="706">
        <v>17</v>
      </c>
      <c r="AI698" s="706">
        <v>17</v>
      </c>
      <c r="AJ698" s="905" t="str">
        <f t="shared" si="66"/>
        <v>G46040</v>
      </c>
      <c r="AK698" s="905" t="str">
        <f t="shared" si="67"/>
        <v>SERV. RAPIDE VOIT CAM.LEG</v>
      </c>
      <c r="AL698" s="905">
        <f>IFERROR(INDEX(G698:R698,1,MATCH(Parametres!$B$3,G$1:R$1,0)-1)*IF(OR(F698="L",F698="S",F698="I"),-1,1),"")</f>
        <v>-10948.9</v>
      </c>
      <c r="AM698" s="905">
        <f t="shared" si="62"/>
        <v>-3017.2000000000007</v>
      </c>
      <c r="AN698" s="905">
        <f>INDEX(G698:R698,1,MATCH(Parametres!$B$3,G$1:R$1,0))*IF(OR(F698="L",F698="S",F698="I"),-1,1)</f>
        <v>-13966.1</v>
      </c>
      <c r="AO698" s="487" t="str">
        <f>+VLOOKUP($AJ698,Data_Validation!$A:$D,1,0)</f>
        <v>G46040</v>
      </c>
      <c r="AP698" s="487" t="str">
        <f>+VLOOKUP($AJ698,Data_Validation!$A:$D,3,0)</f>
        <v>Service</v>
      </c>
      <c r="AQ698" s="487" t="str">
        <f>+VLOOKUP($AJ698,Data_Validation!$A:$D,4,0)</f>
        <v>M/O Client</v>
      </c>
      <c r="AR698" s="487" t="s">
        <v>299</v>
      </c>
      <c r="AS698" s="487" t="str">
        <f>+VLOOKUP($AJ698,Data_Validation!$A:$E,5,0)</f>
        <v>Oui</v>
      </c>
      <c r="AT698" s="904" t="str">
        <f t="shared" si="63"/>
        <v>G46040</v>
      </c>
      <c r="AU698" s="488" t="str">
        <f t="shared" si="64"/>
        <v>SERV. RAPIDE VOIT CAM.LEG</v>
      </c>
      <c r="AV698" s="899">
        <f>IFERROR(INDEX(V698:AG698,1,MATCH(Parametres!$B$3,V$1:AG$1,0)-1)*IF(OR(C698="L",C698="S",C698="I"),-1,1),"")</f>
        <v>79</v>
      </c>
      <c r="AW698" s="899">
        <f t="shared" si="65"/>
        <v>24</v>
      </c>
      <c r="AX698" s="899">
        <f>INDEX(V698:AG698,1,MATCH(Parametres!$B$3,V$1:AG$1,0))*IF(OR(C698="L",C698="S",C698="I"),-1,1)</f>
        <v>103</v>
      </c>
      <c r="AY698" s="487" t="s">
        <v>337</v>
      </c>
      <c r="AZ698" s="487" t="str">
        <f>+VLOOKUP($AJ698,Data_Validation!$A:$E,5,0)</f>
        <v>Oui</v>
      </c>
    </row>
    <row r="699" spans="1:52" ht="15" customHeight="1">
      <c r="A699" s="706" t="s">
        <v>1148</v>
      </c>
      <c r="B699" s="706">
        <v>2026</v>
      </c>
      <c r="C699" s="706" t="s">
        <v>3315</v>
      </c>
      <c r="D699" s="706" t="s">
        <v>3316</v>
      </c>
      <c r="E699" s="706" t="s">
        <v>1151</v>
      </c>
      <c r="F699" s="706" t="s">
        <v>1149</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G46050</v>
      </c>
      <c r="AK699" s="905" t="str">
        <f t="shared" si="67"/>
        <v>VTE M-0 ELECTRIQUE   CLT</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G46050</v>
      </c>
      <c r="AU699" s="488" t="str">
        <f t="shared" si="64"/>
        <v>VTE M-0 ELECTRIQUE   CLT</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customHeight="1">
      <c r="A700" s="706" t="s">
        <v>1148</v>
      </c>
      <c r="B700" s="706">
        <v>2026</v>
      </c>
      <c r="C700" s="706" t="s">
        <v>2455</v>
      </c>
      <c r="D700" s="706" t="s">
        <v>2456</v>
      </c>
      <c r="E700" s="706" t="s">
        <v>1151</v>
      </c>
      <c r="F700" s="706" t="s">
        <v>1149</v>
      </c>
      <c r="G700" s="706">
        <v>81920</v>
      </c>
      <c r="H700" s="706">
        <v>163770</v>
      </c>
      <c r="I700" s="706">
        <v>272495</v>
      </c>
      <c r="J700" s="706">
        <v>382055</v>
      </c>
      <c r="K700" s="706">
        <v>452319.95</v>
      </c>
      <c r="L700" s="706">
        <v>471485.42</v>
      </c>
      <c r="M700" s="706">
        <v>484260.42</v>
      </c>
      <c r="N700" s="706">
        <v>0</v>
      </c>
      <c r="O700" s="706">
        <v>0</v>
      </c>
      <c r="P700" s="706">
        <v>0</v>
      </c>
      <c r="Q700" s="706">
        <v>0</v>
      </c>
      <c r="R700" s="706">
        <v>0</v>
      </c>
      <c r="S700" s="706">
        <v>78580.899999999994</v>
      </c>
      <c r="T700" s="706">
        <v>78580.899999999994</v>
      </c>
      <c r="U700" s="706">
        <v>0</v>
      </c>
      <c r="V700" s="706">
        <v>497</v>
      </c>
      <c r="W700" s="706">
        <v>964</v>
      </c>
      <c r="X700" s="706">
        <v>1611</v>
      </c>
      <c r="Y700" s="706">
        <v>2272</v>
      </c>
      <c r="Z700" s="706">
        <v>2746</v>
      </c>
      <c r="AA700" s="706">
        <v>2898</v>
      </c>
      <c r="AB700" s="706">
        <v>3002</v>
      </c>
      <c r="AC700" s="706">
        <v>0</v>
      </c>
      <c r="AD700" s="706">
        <v>0</v>
      </c>
      <c r="AE700" s="706">
        <v>0</v>
      </c>
      <c r="AF700" s="706">
        <v>0</v>
      </c>
      <c r="AG700" s="706">
        <v>0</v>
      </c>
      <c r="AH700" s="706">
        <v>483</v>
      </c>
      <c r="AI700" s="706">
        <v>483</v>
      </c>
      <c r="AJ700" s="905" t="str">
        <f t="shared" si="66"/>
        <v>G46110</v>
      </c>
      <c r="AK700" s="905" t="str">
        <f t="shared" si="67"/>
        <v>M-D'O CLIENT S.A.A.Q</v>
      </c>
      <c r="AL700" s="905">
        <f>IFERROR(INDEX(G700:R700,1,MATCH(Parametres!$B$3,G$1:R$1,0)-1)*IF(OR(F700="L",F700="S",F700="I"),-1,1),"")</f>
        <v>-452319.95</v>
      </c>
      <c r="AM700" s="905">
        <f t="shared" si="62"/>
        <v>-19165.469999999972</v>
      </c>
      <c r="AN700" s="905">
        <f>INDEX(G700:R700,1,MATCH(Parametres!$B$3,G$1:R$1,0))*IF(OR(F700="L",F700="S",F700="I"),-1,1)</f>
        <v>-471485.42</v>
      </c>
      <c r="AO700" s="487" t="str">
        <f>+VLOOKUP($AJ700,Data_Validation!$A:$D,1,0)</f>
        <v>G46110</v>
      </c>
      <c r="AP700" s="487" t="str">
        <f>+VLOOKUP($AJ700,Data_Validation!$A:$D,3,0)</f>
        <v>SAAQ</v>
      </c>
      <c r="AQ700" s="487" t="str">
        <f>+VLOOKUP($AJ700,Data_Validation!$A:$D,4,0)</f>
        <v>Inspection - Véhicules Légers</v>
      </c>
      <c r="AR700" s="487" t="s">
        <v>299</v>
      </c>
      <c r="AS700" s="487" t="str">
        <f>+VLOOKUP($AJ700,Data_Validation!$A:$E,5,0)</f>
        <v>Oui</v>
      </c>
      <c r="AT700" s="904" t="str">
        <f t="shared" si="63"/>
        <v>G46110</v>
      </c>
      <c r="AU700" s="488" t="str">
        <f t="shared" si="64"/>
        <v>M-D'O CLIENT S.A.A.Q</v>
      </c>
      <c r="AV700" s="899">
        <f>IFERROR(INDEX(V700:AG700,1,MATCH(Parametres!$B$3,V$1:AG$1,0)-1)*IF(OR(C700="L",C700="S",C700="I"),-1,1),"")</f>
        <v>2746</v>
      </c>
      <c r="AW700" s="899">
        <f t="shared" si="65"/>
        <v>152</v>
      </c>
      <c r="AX700" s="899">
        <f>INDEX(V700:AG700,1,MATCH(Parametres!$B$3,V$1:AG$1,0))*IF(OR(C700="L",C700="S",C700="I"),-1,1)</f>
        <v>2898</v>
      </c>
      <c r="AY700" s="487" t="s">
        <v>337</v>
      </c>
      <c r="AZ700" s="487" t="str">
        <f>+VLOOKUP($AJ700,Data_Validation!$A:$E,5,0)</f>
        <v>Oui</v>
      </c>
    </row>
    <row r="701" spans="1:52" ht="15" customHeight="1">
      <c r="A701" s="706" t="s">
        <v>1148</v>
      </c>
      <c r="B701" s="706">
        <v>2026</v>
      </c>
      <c r="C701" s="706" t="s">
        <v>3317</v>
      </c>
      <c r="D701" s="706" t="s">
        <v>3318</v>
      </c>
      <c r="E701" s="706" t="s">
        <v>1151</v>
      </c>
      <c r="F701" s="706" t="s">
        <v>1149</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G46111</v>
      </c>
      <c r="AK701" s="905" t="str">
        <f t="shared" si="67"/>
        <v>VTES M-O CLIENT FLOTTES</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G46111</v>
      </c>
      <c r="AU701" s="488" t="str">
        <f t="shared" si="64"/>
        <v>VTES M-O CLIENT FLOTTES</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customHeight="1">
      <c r="A702" s="706" t="s">
        <v>1148</v>
      </c>
      <c r="B702" s="706">
        <v>2026</v>
      </c>
      <c r="C702" s="706" t="s">
        <v>2457</v>
      </c>
      <c r="D702" s="706" t="s">
        <v>3319</v>
      </c>
      <c r="E702" s="706" t="s">
        <v>1151</v>
      </c>
      <c r="F702" s="706" t="s">
        <v>1149</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G46120</v>
      </c>
      <c r="AK702" s="905" t="str">
        <f t="shared" si="67"/>
        <v>M-D'O.GARANTIE S.A.A.Q.</v>
      </c>
      <c r="AL702" s="905">
        <f>IFERROR(INDEX(G702:R702,1,MATCH(Parametres!$B$3,G$1:R$1,0)-1)*IF(OR(F702="L",F702="S",F702="I"),-1,1),"")</f>
        <v>0</v>
      </c>
      <c r="AM702" s="905">
        <f t="shared" si="62"/>
        <v>0</v>
      </c>
      <c r="AN702" s="905">
        <f>INDEX(G702:R702,1,MATCH(Parametres!$B$3,G$1:R$1,0))*IF(OR(F702="L",F702="S",F702="I"),-1,1)</f>
        <v>0</v>
      </c>
      <c r="AO702" s="487" t="str">
        <f>+VLOOKUP($AJ702,Data_Validation!$A:$D,1,0)</f>
        <v>G46120</v>
      </c>
      <c r="AP702" s="487" t="str">
        <f>+VLOOKUP($AJ702,Data_Validation!$A:$D,3,0)</f>
        <v>SAAQ</v>
      </c>
      <c r="AQ702" s="487" t="str">
        <f>+VLOOKUP($AJ702,Data_Validation!$A:$D,4,0)</f>
        <v>Inspection - Véhicules Interne</v>
      </c>
      <c r="AR702" s="487" t="s">
        <v>299</v>
      </c>
      <c r="AS702" s="487" t="str">
        <f>+VLOOKUP($AJ702,Data_Validation!$A:$E,5,0)</f>
        <v>Oui</v>
      </c>
      <c r="AT702" s="904" t="str">
        <f t="shared" si="63"/>
        <v>G46120</v>
      </c>
      <c r="AU702" s="488" t="str">
        <f t="shared" si="64"/>
        <v>M-D'O.GARANTIE S.A.A.Q.</v>
      </c>
      <c r="AV702" s="899">
        <f>IFERROR(INDEX(V702:AG702,1,MATCH(Parametres!$B$3,V$1:AG$1,0)-1)*IF(OR(C702="L",C702="S",C702="I"),-1,1),"")</f>
        <v>0</v>
      </c>
      <c r="AW702" s="899">
        <f t="shared" si="65"/>
        <v>0</v>
      </c>
      <c r="AX702" s="899">
        <f>INDEX(V702:AG702,1,MATCH(Parametres!$B$3,V$1:AG$1,0))*IF(OR(C702="L",C702="S",C702="I"),-1,1)</f>
        <v>0</v>
      </c>
      <c r="AY702" s="487" t="s">
        <v>337</v>
      </c>
      <c r="AZ702" s="487" t="str">
        <f>+VLOOKUP($AJ702,Data_Validation!$A:$E,5,0)</f>
        <v>Oui</v>
      </c>
    </row>
    <row r="703" spans="1:52" ht="15" customHeight="1">
      <c r="A703" s="706" t="s">
        <v>1148</v>
      </c>
      <c r="B703" s="706">
        <v>2026</v>
      </c>
      <c r="C703" s="706" t="s">
        <v>2459</v>
      </c>
      <c r="D703" s="706" t="s">
        <v>3320</v>
      </c>
      <c r="E703" s="706" t="s">
        <v>1151</v>
      </c>
      <c r="F703" s="706" t="s">
        <v>1149</v>
      </c>
      <c r="G703" s="706">
        <v>0</v>
      </c>
      <c r="H703" s="706">
        <v>0</v>
      </c>
      <c r="I703" s="706">
        <v>0</v>
      </c>
      <c r="J703" s="706">
        <v>0</v>
      </c>
      <c r="K703" s="706">
        <v>26312.5</v>
      </c>
      <c r="L703" s="706">
        <v>97132.5</v>
      </c>
      <c r="M703" s="706">
        <v>137402.5</v>
      </c>
      <c r="N703" s="706">
        <v>0</v>
      </c>
      <c r="O703" s="706">
        <v>0</v>
      </c>
      <c r="P703" s="706">
        <v>0</v>
      </c>
      <c r="Q703" s="706">
        <v>0</v>
      </c>
      <c r="R703" s="706">
        <v>0</v>
      </c>
      <c r="S703" s="706">
        <v>16188.75</v>
      </c>
      <c r="T703" s="706">
        <v>16188.75</v>
      </c>
      <c r="U703" s="706">
        <v>0</v>
      </c>
      <c r="V703" s="706">
        <v>0</v>
      </c>
      <c r="W703" s="706">
        <v>0</v>
      </c>
      <c r="X703" s="706">
        <v>0</v>
      </c>
      <c r="Y703" s="706">
        <v>0</v>
      </c>
      <c r="Z703" s="706">
        <v>158</v>
      </c>
      <c r="AA703" s="706">
        <v>595</v>
      </c>
      <c r="AB703" s="706">
        <v>826</v>
      </c>
      <c r="AC703" s="706">
        <v>0</v>
      </c>
      <c r="AD703" s="706">
        <v>0</v>
      </c>
      <c r="AE703" s="706">
        <v>0</v>
      </c>
      <c r="AF703" s="706">
        <v>0</v>
      </c>
      <c r="AG703" s="706">
        <v>0</v>
      </c>
      <c r="AH703" s="706">
        <v>99</v>
      </c>
      <c r="AI703" s="706">
        <v>99</v>
      </c>
      <c r="AJ703" s="905" t="str">
        <f t="shared" si="66"/>
        <v>G46140</v>
      </c>
      <c r="AK703" s="905" t="str">
        <f t="shared" si="67"/>
        <v>VTE - M.O LOURD -S.A,A.Q</v>
      </c>
      <c r="AL703" s="905">
        <f>IFERROR(INDEX(G703:R703,1,MATCH(Parametres!$B$3,G$1:R$1,0)-1)*IF(OR(F703="L",F703="S",F703="I"),-1,1),"")</f>
        <v>-26312.5</v>
      </c>
      <c r="AM703" s="905">
        <f t="shared" si="62"/>
        <v>-70820</v>
      </c>
      <c r="AN703" s="905">
        <f>INDEX(G703:R703,1,MATCH(Parametres!$B$3,G$1:R$1,0))*IF(OR(F703="L",F703="S",F703="I"),-1,1)</f>
        <v>-97132.5</v>
      </c>
      <c r="AO703" s="487" t="str">
        <f>+VLOOKUP($AJ703,Data_Validation!$A:$D,1,0)</f>
        <v>G46140</v>
      </c>
      <c r="AP703" s="487" t="str">
        <f>+VLOOKUP($AJ703,Data_Validation!$A:$D,3,0)</f>
        <v>SAAQ</v>
      </c>
      <c r="AQ703" s="487" t="str">
        <f>+VLOOKUP($AJ703,Data_Validation!$A:$D,4,0)</f>
        <v>Inspection - Véhicules Lourds</v>
      </c>
      <c r="AR703" s="487" t="s">
        <v>299</v>
      </c>
      <c r="AS703" s="487" t="str">
        <f>+VLOOKUP($AJ703,Data_Validation!$A:$E,5,0)</f>
        <v>Oui</v>
      </c>
      <c r="AT703" s="904" t="str">
        <f t="shared" si="63"/>
        <v>G46140</v>
      </c>
      <c r="AU703" s="488" t="str">
        <f t="shared" si="64"/>
        <v>VTE - M.O LOURD -S.A,A.Q</v>
      </c>
      <c r="AV703" s="899">
        <f>IFERROR(INDEX(V703:AG703,1,MATCH(Parametres!$B$3,V$1:AG$1,0)-1)*IF(OR(C703="L",C703="S",C703="I"),-1,1),"")</f>
        <v>158</v>
      </c>
      <c r="AW703" s="899">
        <f t="shared" si="65"/>
        <v>437</v>
      </c>
      <c r="AX703" s="899">
        <f>INDEX(V703:AG703,1,MATCH(Parametres!$B$3,V$1:AG$1,0))*IF(OR(C703="L",C703="S",C703="I"),-1,1)</f>
        <v>595</v>
      </c>
      <c r="AY703" s="487" t="s">
        <v>337</v>
      </c>
      <c r="AZ703" s="487" t="str">
        <f>+VLOOKUP($AJ703,Data_Validation!$A:$E,5,0)</f>
        <v>Oui</v>
      </c>
    </row>
    <row r="704" spans="1:52" ht="15" customHeight="1">
      <c r="A704" s="706" t="s">
        <v>1148</v>
      </c>
      <c r="B704" s="706">
        <v>2026</v>
      </c>
      <c r="C704" s="706" t="s">
        <v>3321</v>
      </c>
      <c r="D704" s="706" t="s">
        <v>3322</v>
      </c>
      <c r="E704" s="706" t="s">
        <v>1151</v>
      </c>
      <c r="F704" s="706" t="s">
        <v>1149</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G46150</v>
      </c>
      <c r="AK704" s="905" t="str">
        <f t="shared" si="67"/>
        <v>VTE M-O ELECTIQUE FLOTTE</v>
      </c>
      <c r="AL704" s="905">
        <f>IFERROR(INDEX(G704:R704,1,MATCH(Parametres!$B$3,G$1:R$1,0)-1)*IF(OR(F704="L",F704="S",F704="I"),-1,1),"")</f>
        <v>0</v>
      </c>
      <c r="AM704" s="905">
        <f t="shared" si="62"/>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t="str">
        <f t="shared" si="63"/>
        <v>G46150</v>
      </c>
      <c r="AU704" s="488" t="str">
        <f t="shared" si="64"/>
        <v>VTE M-O ELECTIQUE FLOTTE</v>
      </c>
      <c r="AV704" s="899">
        <f>IFERROR(INDEX(V704:AG704,1,MATCH(Parametres!$B$3,V$1:AG$1,0)-1)*IF(OR(C704="L",C704="S",C704="I"),-1,1),"")</f>
        <v>0</v>
      </c>
      <c r="AW704" s="899">
        <f t="shared" si="65"/>
        <v>0</v>
      </c>
      <c r="AX704" s="899">
        <f>INDEX(V704:AG704,1,MATCH(Parametres!$B$3,V$1:AG$1,0))*IF(OR(C704="L",C704="S",C704="I"),-1,1)</f>
        <v>0</v>
      </c>
      <c r="AY704" s="487" t="s">
        <v>337</v>
      </c>
      <c r="AZ704" s="487" t="e">
        <f>+VLOOKUP($AJ704,Data_Validation!$A:$E,5,0)</f>
        <v>#N/A</v>
      </c>
    </row>
    <row r="705" spans="1:52" ht="15" customHeight="1">
      <c r="A705" s="706" t="s">
        <v>1148</v>
      </c>
      <c r="B705" s="706">
        <v>2026</v>
      </c>
      <c r="C705" s="706" t="s">
        <v>2461</v>
      </c>
      <c r="D705" s="706" t="s">
        <v>2462</v>
      </c>
      <c r="E705" s="706" t="s">
        <v>1151</v>
      </c>
      <c r="F705" s="706" t="s">
        <v>1149</v>
      </c>
      <c r="G705" s="706">
        <v>48069.68</v>
      </c>
      <c r="H705" s="706">
        <v>98097.58</v>
      </c>
      <c r="I705" s="706">
        <v>168097.15</v>
      </c>
      <c r="J705" s="706">
        <v>218322.78</v>
      </c>
      <c r="K705" s="706">
        <v>249913.78</v>
      </c>
      <c r="L705" s="706">
        <v>320092.03000000003</v>
      </c>
      <c r="M705" s="706">
        <v>337875.25</v>
      </c>
      <c r="N705" s="706">
        <v>0</v>
      </c>
      <c r="O705" s="706">
        <v>0</v>
      </c>
      <c r="P705" s="706">
        <v>0</v>
      </c>
      <c r="Q705" s="706">
        <v>0</v>
      </c>
      <c r="R705" s="706">
        <v>0</v>
      </c>
      <c r="S705" s="706">
        <v>53348.67</v>
      </c>
      <c r="T705" s="706">
        <v>53348.67</v>
      </c>
      <c r="U705" s="706">
        <v>0</v>
      </c>
      <c r="V705" s="706">
        <v>274</v>
      </c>
      <c r="W705" s="706">
        <v>556</v>
      </c>
      <c r="X705" s="706">
        <v>912</v>
      </c>
      <c r="Y705" s="706">
        <v>1210</v>
      </c>
      <c r="Z705" s="706">
        <v>1439</v>
      </c>
      <c r="AA705" s="706">
        <v>1820</v>
      </c>
      <c r="AB705" s="706">
        <v>1927</v>
      </c>
      <c r="AC705" s="706">
        <v>0</v>
      </c>
      <c r="AD705" s="706">
        <v>0</v>
      </c>
      <c r="AE705" s="706">
        <v>0</v>
      </c>
      <c r="AF705" s="706">
        <v>0</v>
      </c>
      <c r="AG705" s="706">
        <v>0</v>
      </c>
      <c r="AH705" s="706">
        <v>303</v>
      </c>
      <c r="AI705" s="706">
        <v>303</v>
      </c>
      <c r="AJ705" s="905" t="str">
        <f t="shared" si="66"/>
        <v>G46200</v>
      </c>
      <c r="AK705" s="905" t="str">
        <f t="shared" si="67"/>
        <v>VTES-M.D.RECL.GARANTIE</v>
      </c>
      <c r="AL705" s="905">
        <f>IFERROR(INDEX(G705:R705,1,MATCH(Parametres!$B$3,G$1:R$1,0)-1)*IF(OR(F705="L",F705="S",F705="I"),-1,1),"")</f>
        <v>-249913.78</v>
      </c>
      <c r="AM705" s="905">
        <f t="shared" si="62"/>
        <v>-70178.250000000029</v>
      </c>
      <c r="AN705" s="905">
        <f>INDEX(G705:R705,1,MATCH(Parametres!$B$3,G$1:R$1,0))*IF(OR(F705="L",F705="S",F705="I"),-1,1)</f>
        <v>-320092.03000000003</v>
      </c>
      <c r="AO705" s="487" t="str">
        <f>+VLOOKUP($AJ705,Data_Validation!$A:$D,1,0)</f>
        <v>G46200</v>
      </c>
      <c r="AP705" s="487" t="str">
        <f>+VLOOKUP($AJ705,Data_Validation!$A:$D,3,0)</f>
        <v>Service</v>
      </c>
      <c r="AQ705" s="487" t="str">
        <f>+VLOOKUP($AJ705,Data_Validation!$A:$D,4,0)</f>
        <v>M/O Garantie</v>
      </c>
      <c r="AR705" s="487" t="s">
        <v>299</v>
      </c>
      <c r="AS705" s="487" t="str">
        <f>+VLOOKUP($AJ705,Data_Validation!$A:$E,5,0)</f>
        <v>Oui</v>
      </c>
      <c r="AT705" s="904" t="str">
        <f t="shared" si="63"/>
        <v>G46200</v>
      </c>
      <c r="AU705" s="488" t="str">
        <f t="shared" si="64"/>
        <v>VTES-M.D.RECL.GARANTIE</v>
      </c>
      <c r="AV705" s="899">
        <f>IFERROR(INDEX(V705:AG705,1,MATCH(Parametres!$B$3,V$1:AG$1,0)-1)*IF(OR(C705="L",C705="S",C705="I"),-1,1),"")</f>
        <v>1439</v>
      </c>
      <c r="AW705" s="899">
        <f t="shared" si="65"/>
        <v>381</v>
      </c>
      <c r="AX705" s="899">
        <f>INDEX(V705:AG705,1,MATCH(Parametres!$B$3,V$1:AG$1,0))*IF(OR(C705="L",C705="S",C705="I"),-1,1)</f>
        <v>1820</v>
      </c>
      <c r="AY705" s="487" t="s">
        <v>337</v>
      </c>
      <c r="AZ705" s="487" t="str">
        <f>+VLOOKUP($AJ705,Data_Validation!$A:$E,5,0)</f>
        <v>Oui</v>
      </c>
    </row>
    <row r="706" spans="1:52" ht="15" customHeight="1">
      <c r="A706" s="706" t="s">
        <v>1148</v>
      </c>
      <c r="B706" s="706">
        <v>2026</v>
      </c>
      <c r="C706" s="706" t="s">
        <v>2463</v>
      </c>
      <c r="D706" s="706" t="s">
        <v>2464</v>
      </c>
      <c r="E706" s="706" t="s">
        <v>1151</v>
      </c>
      <c r="F706" s="706" t="s">
        <v>1149</v>
      </c>
      <c r="G706" s="706">
        <v>39339.53</v>
      </c>
      <c r="H706" s="706">
        <v>87940.91</v>
      </c>
      <c r="I706" s="706">
        <v>137067.01</v>
      </c>
      <c r="J706" s="706">
        <v>196363.11</v>
      </c>
      <c r="K706" s="706">
        <v>251577.99</v>
      </c>
      <c r="L706" s="706">
        <v>308265.09000000003</v>
      </c>
      <c r="M706" s="706">
        <v>329050.40000000002</v>
      </c>
      <c r="N706" s="706">
        <v>0</v>
      </c>
      <c r="O706" s="706">
        <v>0</v>
      </c>
      <c r="P706" s="706">
        <v>0</v>
      </c>
      <c r="Q706" s="706">
        <v>0</v>
      </c>
      <c r="R706" s="706">
        <v>0</v>
      </c>
      <c r="S706" s="706">
        <v>51377.52</v>
      </c>
      <c r="T706" s="706">
        <v>51377.52</v>
      </c>
      <c r="U706" s="706">
        <v>0</v>
      </c>
      <c r="V706" s="706">
        <v>257</v>
      </c>
      <c r="W706" s="706">
        <v>582</v>
      </c>
      <c r="X706" s="706">
        <v>990</v>
      </c>
      <c r="Y706" s="706">
        <v>1433</v>
      </c>
      <c r="Z706" s="706">
        <v>1742</v>
      </c>
      <c r="AA706" s="706">
        <v>2068</v>
      </c>
      <c r="AB706" s="706">
        <v>2202</v>
      </c>
      <c r="AC706" s="706">
        <v>0</v>
      </c>
      <c r="AD706" s="706">
        <v>0</v>
      </c>
      <c r="AE706" s="706">
        <v>0</v>
      </c>
      <c r="AF706" s="706">
        <v>0</v>
      </c>
      <c r="AG706" s="706">
        <v>0</v>
      </c>
      <c r="AH706" s="706">
        <v>345</v>
      </c>
      <c r="AI706" s="706">
        <v>345</v>
      </c>
      <c r="AJ706" s="905" t="str">
        <f t="shared" si="66"/>
        <v>G46300</v>
      </c>
      <c r="AK706" s="905" t="str">
        <f t="shared" si="67"/>
        <v>VTES-M.D. INTERNE SERV.</v>
      </c>
      <c r="AL706" s="905">
        <f>IFERROR(INDEX(G706:R706,1,MATCH(Parametres!$B$3,G$1:R$1,0)-1)*IF(OR(F706="L",F706="S",F706="I"),-1,1),"")</f>
        <v>-251577.99</v>
      </c>
      <c r="AM706" s="905">
        <f t="shared" si="62"/>
        <v>-56687.100000000035</v>
      </c>
      <c r="AN706" s="905">
        <f>INDEX(G706:R706,1,MATCH(Parametres!$B$3,G$1:R$1,0))*IF(OR(F706="L",F706="S",F706="I"),-1,1)</f>
        <v>-308265.09000000003</v>
      </c>
      <c r="AO706" s="487" t="str">
        <f>+VLOOKUP($AJ706,Data_Validation!$A:$D,1,0)</f>
        <v>G46300</v>
      </c>
      <c r="AP706" s="487" t="str">
        <f>+VLOOKUP($AJ706,Data_Validation!$A:$D,3,0)</f>
        <v>Service</v>
      </c>
      <c r="AQ706" s="487" t="str">
        <f>+VLOOKUP($AJ706,Data_Validation!$A:$D,4,0)</f>
        <v>M/O Interne</v>
      </c>
      <c r="AR706" s="487" t="s">
        <v>299</v>
      </c>
      <c r="AS706" s="487" t="str">
        <f>+VLOOKUP($AJ706,Data_Validation!$A:$E,5,0)</f>
        <v>Oui</v>
      </c>
      <c r="AT706" s="904" t="str">
        <f t="shared" si="63"/>
        <v>G46300</v>
      </c>
      <c r="AU706" s="488" t="str">
        <f t="shared" si="64"/>
        <v>VTES-M.D. INTERNE SERV.</v>
      </c>
      <c r="AV706" s="899">
        <f>IFERROR(INDEX(V706:AG706,1,MATCH(Parametres!$B$3,V$1:AG$1,0)-1)*IF(OR(C706="L",C706="S",C706="I"),-1,1),"")</f>
        <v>1742</v>
      </c>
      <c r="AW706" s="899">
        <f t="shared" si="65"/>
        <v>326</v>
      </c>
      <c r="AX706" s="899">
        <f>INDEX(V706:AG706,1,MATCH(Parametres!$B$3,V$1:AG$1,0))*IF(OR(C706="L",C706="S",C706="I"),-1,1)</f>
        <v>2068</v>
      </c>
      <c r="AY706" s="487" t="s">
        <v>337</v>
      </c>
      <c r="AZ706" s="487" t="str">
        <f>+VLOOKUP($AJ706,Data_Validation!$A:$E,5,0)</f>
        <v>Oui</v>
      </c>
    </row>
    <row r="707" spans="1:52" ht="15" customHeight="1">
      <c r="A707" s="706" t="s">
        <v>1148</v>
      </c>
      <c r="B707" s="706">
        <v>2026</v>
      </c>
      <c r="C707" s="706" t="s">
        <v>3323</v>
      </c>
      <c r="D707" s="706" t="s">
        <v>3324</v>
      </c>
      <c r="E707" s="706" t="s">
        <v>1151</v>
      </c>
      <c r="F707" s="706" t="s">
        <v>1149</v>
      </c>
      <c r="G707" s="706">
        <v>0</v>
      </c>
      <c r="H707" s="706">
        <v>0</v>
      </c>
      <c r="I707" s="706">
        <v>0</v>
      </c>
      <c r="J707" s="706">
        <v>0</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G46305</v>
      </c>
      <c r="AK707" s="905" t="str">
        <f t="shared" si="67"/>
        <v>VTE ESTHETIQUE INTERNE</v>
      </c>
      <c r="AL707" s="905">
        <f>IFERROR(INDEX(G707:R707,1,MATCH(Parametres!$B$3,G$1:R$1,0)-1)*IF(OR(F707="L",F707="S",F707="I"),-1,1),"")</f>
        <v>0</v>
      </c>
      <c r="AM707" s="905">
        <f t="shared" si="62"/>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t="str">
        <f t="shared" si="63"/>
        <v>G46305</v>
      </c>
      <c r="AU707" s="488" t="str">
        <f t="shared" si="64"/>
        <v>VTE ESTHETIQUE INTERNE</v>
      </c>
      <c r="AV707" s="899">
        <f>IFERROR(INDEX(V707:AG707,1,MATCH(Parametres!$B$3,V$1:AG$1,0)-1)*IF(OR(C707="L",C707="S",C707="I"),-1,1),"")</f>
        <v>0</v>
      </c>
      <c r="AW707" s="899">
        <f t="shared" si="65"/>
        <v>0</v>
      </c>
      <c r="AX707" s="899">
        <f>INDEX(V707:AG707,1,MATCH(Parametres!$B$3,V$1:AG$1,0))*IF(OR(C707="L",C707="S",C707="I"),-1,1)</f>
        <v>0</v>
      </c>
      <c r="AY707" s="487" t="s">
        <v>337</v>
      </c>
      <c r="AZ707" s="487" t="e">
        <f>+VLOOKUP($AJ707,Data_Validation!$A:$E,5,0)</f>
        <v>#N/A</v>
      </c>
    </row>
    <row r="708" spans="1:52" ht="15" customHeight="1">
      <c r="A708" s="706" t="s">
        <v>1148</v>
      </c>
      <c r="B708" s="706">
        <v>2026</v>
      </c>
      <c r="C708" s="706" t="s">
        <v>2465</v>
      </c>
      <c r="D708" s="706" t="s">
        <v>3325</v>
      </c>
      <c r="E708" s="706" t="s">
        <v>1151</v>
      </c>
      <c r="F708" s="706" t="s">
        <v>1149</v>
      </c>
      <c r="G708" s="706">
        <v>1950</v>
      </c>
      <c r="H708" s="706">
        <v>2250</v>
      </c>
      <c r="I708" s="706">
        <v>2550</v>
      </c>
      <c r="J708" s="706">
        <v>2700</v>
      </c>
      <c r="K708" s="706">
        <v>3090</v>
      </c>
      <c r="L708" s="706">
        <v>3090</v>
      </c>
      <c r="M708" s="706">
        <v>3270.5</v>
      </c>
      <c r="N708" s="706">
        <v>0</v>
      </c>
      <c r="O708" s="706">
        <v>0</v>
      </c>
      <c r="P708" s="706">
        <v>0</v>
      </c>
      <c r="Q708" s="706">
        <v>0</v>
      </c>
      <c r="R708" s="706">
        <v>0</v>
      </c>
      <c r="S708" s="706">
        <v>515</v>
      </c>
      <c r="T708" s="706">
        <v>515</v>
      </c>
      <c r="U708" s="706">
        <v>0</v>
      </c>
      <c r="V708" s="706">
        <v>13</v>
      </c>
      <c r="W708" s="706">
        <v>15</v>
      </c>
      <c r="X708" s="706">
        <v>17</v>
      </c>
      <c r="Y708" s="706">
        <v>18</v>
      </c>
      <c r="Z708" s="706">
        <v>21</v>
      </c>
      <c r="AA708" s="706">
        <v>21</v>
      </c>
      <c r="AB708" s="706">
        <v>23</v>
      </c>
      <c r="AC708" s="706">
        <v>0</v>
      </c>
      <c r="AD708" s="706">
        <v>0</v>
      </c>
      <c r="AE708" s="706">
        <v>0</v>
      </c>
      <c r="AF708" s="706">
        <v>0</v>
      </c>
      <c r="AG708" s="706">
        <v>0</v>
      </c>
      <c r="AH708" s="706">
        <v>4</v>
      </c>
      <c r="AI708" s="706">
        <v>4</v>
      </c>
      <c r="AJ708" s="905" t="str">
        <f t="shared" si="66"/>
        <v>G46320</v>
      </c>
      <c r="AK708" s="905" t="str">
        <f t="shared" si="67"/>
        <v>VTES-MO INTERN S.A.A.Q.</v>
      </c>
      <c r="AL708" s="905">
        <f>IFERROR(INDEX(G708:R708,1,MATCH(Parametres!$B$3,G$1:R$1,0)-1)*IF(OR(F708="L",F708="S",F708="I"),-1,1),"")</f>
        <v>-3090</v>
      </c>
      <c r="AM708" s="905">
        <f t="shared" ref="AM708:AM771" si="68">AN708-AL708</f>
        <v>0</v>
      </c>
      <c r="AN708" s="905">
        <f>INDEX(G708:R708,1,MATCH(Parametres!$B$3,G$1:R$1,0))*IF(OR(F708="L",F708="S",F708="I"),-1,1)</f>
        <v>-3090</v>
      </c>
      <c r="AO708" s="487" t="str">
        <f>+VLOOKUP($AJ708,Data_Validation!$A:$D,1,0)</f>
        <v>G46320</v>
      </c>
      <c r="AP708" s="487" t="str">
        <f>+VLOOKUP($AJ708,Data_Validation!$A:$D,3,0)</f>
        <v>SAAQ</v>
      </c>
      <c r="AQ708" s="487" t="str">
        <f>+VLOOKUP($AJ708,Data_Validation!$A:$D,4,0)</f>
        <v>Inspection - Véhicules Interne</v>
      </c>
      <c r="AR708" s="487" t="s">
        <v>299</v>
      </c>
      <c r="AS708" s="487" t="str">
        <f>+VLOOKUP($AJ708,Data_Validation!$A:$E,5,0)</f>
        <v>Oui</v>
      </c>
      <c r="AT708" s="904" t="str">
        <f t="shared" ref="AT708:AT771" si="69">C708</f>
        <v>G46320</v>
      </c>
      <c r="AU708" s="488" t="str">
        <f t="shared" ref="AU708:AU771" si="70">D708</f>
        <v>VTES-MO INTERN S.A.A.Q.</v>
      </c>
      <c r="AV708" s="899">
        <f>IFERROR(INDEX(V708:AG708,1,MATCH(Parametres!$B$3,V$1:AG$1,0)-1)*IF(OR(C708="L",C708="S",C708="I"),-1,1),"")</f>
        <v>21</v>
      </c>
      <c r="AW708" s="899">
        <f t="shared" ref="AW708:AW771" si="71">AX708-AV708</f>
        <v>0</v>
      </c>
      <c r="AX708" s="899">
        <f>INDEX(V708:AG708,1,MATCH(Parametres!$B$3,V$1:AG$1,0))*IF(OR(C708="L",C708="S",C708="I"),-1,1)</f>
        <v>21</v>
      </c>
      <c r="AY708" s="487" t="s">
        <v>337</v>
      </c>
      <c r="AZ708" s="487" t="str">
        <f>+VLOOKUP($AJ708,Data_Validation!$A:$E,5,0)</f>
        <v>Oui</v>
      </c>
    </row>
    <row r="709" spans="1:52" ht="15" customHeight="1">
      <c r="A709" s="706" t="s">
        <v>1148</v>
      </c>
      <c r="B709" s="706">
        <v>2026</v>
      </c>
      <c r="C709" s="706" t="s">
        <v>2467</v>
      </c>
      <c r="D709" s="706" t="s">
        <v>2468</v>
      </c>
      <c r="E709" s="706" t="s">
        <v>1151</v>
      </c>
      <c r="F709" s="706" t="s">
        <v>1149</v>
      </c>
      <c r="G709" s="706">
        <v>22291</v>
      </c>
      <c r="H709" s="706">
        <v>51476.32</v>
      </c>
      <c r="I709" s="706">
        <v>93858.59</v>
      </c>
      <c r="J709" s="706">
        <v>115408.32000000001</v>
      </c>
      <c r="K709" s="706">
        <v>135246.35999999999</v>
      </c>
      <c r="L709" s="706">
        <v>156298.54</v>
      </c>
      <c r="M709" s="706">
        <v>163147.84</v>
      </c>
      <c r="N709" s="706">
        <v>0</v>
      </c>
      <c r="O709" s="706">
        <v>0</v>
      </c>
      <c r="P709" s="706">
        <v>0</v>
      </c>
      <c r="Q709" s="706">
        <v>0</v>
      </c>
      <c r="R709" s="706">
        <v>0</v>
      </c>
      <c r="S709" s="706">
        <v>26049.759999999998</v>
      </c>
      <c r="T709" s="706">
        <v>26049.759999999998</v>
      </c>
      <c r="U709" s="706">
        <v>0</v>
      </c>
      <c r="V709" s="706">
        <v>149</v>
      </c>
      <c r="W709" s="706">
        <v>337</v>
      </c>
      <c r="X709" s="706">
        <v>620</v>
      </c>
      <c r="Y709" s="706">
        <v>762</v>
      </c>
      <c r="Z709" s="706">
        <v>894</v>
      </c>
      <c r="AA709" s="706">
        <v>1036</v>
      </c>
      <c r="AB709" s="706">
        <v>1083</v>
      </c>
      <c r="AC709" s="706">
        <v>0</v>
      </c>
      <c r="AD709" s="706">
        <v>0</v>
      </c>
      <c r="AE709" s="706">
        <v>0</v>
      </c>
      <c r="AF709" s="706">
        <v>0</v>
      </c>
      <c r="AG709" s="706">
        <v>0</v>
      </c>
      <c r="AH709" s="706">
        <v>173</v>
      </c>
      <c r="AI709" s="706">
        <v>173</v>
      </c>
      <c r="AJ709" s="905" t="str">
        <f t="shared" si="66"/>
        <v>G46400</v>
      </c>
      <c r="AK709" s="905" t="str">
        <f t="shared" si="67"/>
        <v>VTES-M.D. INSPECTION</v>
      </c>
      <c r="AL709" s="905">
        <f>IFERROR(INDEX(G709:R709,1,MATCH(Parametres!$B$3,G$1:R$1,0)-1)*IF(OR(F709="L",F709="S",F709="I"),-1,1),"")</f>
        <v>-135246.35999999999</v>
      </c>
      <c r="AM709" s="905">
        <f t="shared" si="68"/>
        <v>-21052.180000000022</v>
      </c>
      <c r="AN709" s="905">
        <f>INDEX(G709:R709,1,MATCH(Parametres!$B$3,G$1:R$1,0))*IF(OR(F709="L",F709="S",F709="I"),-1,1)</f>
        <v>-156298.54</v>
      </c>
      <c r="AO709" s="487" t="str">
        <f>+VLOOKUP($AJ709,Data_Validation!$A:$D,1,0)</f>
        <v>G46400</v>
      </c>
      <c r="AP709" s="487" t="str">
        <f>+VLOOKUP($AJ709,Data_Validation!$A:$D,3,0)</f>
        <v>Service</v>
      </c>
      <c r="AQ709" s="487" t="str">
        <f>+VLOOKUP($AJ709,Data_Validation!$A:$D,4,0)</f>
        <v>M/O Interne</v>
      </c>
      <c r="AR709" s="487" t="s">
        <v>299</v>
      </c>
      <c r="AS709" s="487" t="str">
        <f>+VLOOKUP($AJ709,Data_Validation!$A:$E,5,0)</f>
        <v>Oui</v>
      </c>
      <c r="AT709" s="904" t="str">
        <f t="shared" si="69"/>
        <v>G46400</v>
      </c>
      <c r="AU709" s="488" t="str">
        <f t="shared" si="70"/>
        <v>VTES-M.D. INSPECTION</v>
      </c>
      <c r="AV709" s="899">
        <f>IFERROR(INDEX(V709:AG709,1,MATCH(Parametres!$B$3,V$1:AG$1,0)-1)*IF(OR(C709="L",C709="S",C709="I"),-1,1),"")</f>
        <v>894</v>
      </c>
      <c r="AW709" s="899">
        <f t="shared" si="71"/>
        <v>142</v>
      </c>
      <c r="AX709" s="899">
        <f>INDEX(V709:AG709,1,MATCH(Parametres!$B$3,V$1:AG$1,0))*IF(OR(C709="L",C709="S",C709="I"),-1,1)</f>
        <v>1036</v>
      </c>
      <c r="AY709" s="487" t="s">
        <v>337</v>
      </c>
      <c r="AZ709" s="487" t="str">
        <f>+VLOOKUP($AJ709,Data_Validation!$A:$E,5,0)</f>
        <v>Oui</v>
      </c>
    </row>
    <row r="710" spans="1:52" ht="15" customHeight="1">
      <c r="A710" s="706" t="s">
        <v>1148</v>
      </c>
      <c r="B710" s="706">
        <v>2026</v>
      </c>
      <c r="C710" s="706" t="s">
        <v>2469</v>
      </c>
      <c r="D710" s="706" t="s">
        <v>2470</v>
      </c>
      <c r="E710" s="706" t="s">
        <v>1151</v>
      </c>
      <c r="F710" s="706" t="s">
        <v>1149</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G46420</v>
      </c>
      <c r="AK710" s="905" t="str">
        <f t="shared" si="67"/>
        <v>VTES-MO PDI CAM MOYEN</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G46420</v>
      </c>
      <c r="AU710" s="488" t="str">
        <f t="shared" si="70"/>
        <v>VTES-MO PDI CAM MOYEN</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2026</v>
      </c>
      <c r="C711" s="706" t="s">
        <v>2471</v>
      </c>
      <c r="D711" s="706" t="s">
        <v>2472</v>
      </c>
      <c r="E711" s="706" t="s">
        <v>333</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G46500</v>
      </c>
      <c r="AK711" s="905" t="str">
        <f t="shared" si="67"/>
        <v>*TEMPS PERDU SERVICE</v>
      </c>
      <c r="AL711" s="905">
        <f>IFERROR(INDEX(G711:R711,1,MATCH(Parametres!$B$3,G$1:R$1,0)-1)*IF(OR(F711="L",F711="S",F711="I"),-1,1),"")</f>
        <v>0</v>
      </c>
      <c r="AM711" s="905">
        <f t="shared" si="68"/>
        <v>0</v>
      </c>
      <c r="AN711" s="905">
        <f>INDEX(G711:R711,1,MATCH(Parametres!$B$3,G$1:R$1,0))*IF(OR(F711="L",F711="S",F711="I"),-1,1)</f>
        <v>0</v>
      </c>
      <c r="AO711" s="487" t="str">
        <f>+VLOOKUP($AJ711,Data_Validation!$A:$D,1,0)</f>
        <v>G46500</v>
      </c>
      <c r="AP711" s="487">
        <f>+VLOOKUP($AJ711,Data_Validation!$A:$D,3,0)</f>
        <v>0</v>
      </c>
      <c r="AQ711" s="487">
        <f>+VLOOKUP($AJ711,Data_Validation!$A:$D,4,0)</f>
        <v>0</v>
      </c>
      <c r="AR711" s="487" t="s">
        <v>299</v>
      </c>
      <c r="AS711" s="487">
        <f>+VLOOKUP($AJ711,Data_Validation!$A:$E,5,0)</f>
        <v>0</v>
      </c>
      <c r="AT711" s="904" t="str">
        <f t="shared" si="69"/>
        <v>G46500</v>
      </c>
      <c r="AU711" s="488" t="str">
        <f t="shared" si="70"/>
        <v>*TEMPS PERDU SERVICE</v>
      </c>
      <c r="AV711" s="899">
        <f>IFERROR(INDEX(V711:AG711,1,MATCH(Parametres!$B$3,V$1:AG$1,0)-1)*IF(OR(C711="L",C711="S",C711="I"),-1,1),"")</f>
        <v>0</v>
      </c>
      <c r="AW711" s="899">
        <f t="shared" si="71"/>
        <v>0</v>
      </c>
      <c r="AX711" s="899">
        <f>INDEX(V711:AG711,1,MATCH(Parametres!$B$3,V$1:AG$1,0))*IF(OR(C711="L",C711="S",C711="I"),-1,1)</f>
        <v>0</v>
      </c>
      <c r="AY711" s="487" t="s">
        <v>337</v>
      </c>
      <c r="AZ711" s="487">
        <f>+VLOOKUP($AJ711,Data_Validation!$A:$E,5,0)</f>
        <v>0</v>
      </c>
    </row>
    <row r="712" spans="1:52" ht="15" customHeight="1">
      <c r="A712" s="706" t="s">
        <v>1148</v>
      </c>
      <c r="B712" s="706">
        <v>2026</v>
      </c>
      <c r="C712" s="706" t="s">
        <v>2473</v>
      </c>
      <c r="D712" s="706" t="s">
        <v>2474</v>
      </c>
      <c r="E712" s="706" t="s">
        <v>1151</v>
      </c>
      <c r="F712" s="706" t="s">
        <v>1149</v>
      </c>
      <c r="G712" s="706">
        <v>4849.09</v>
      </c>
      <c r="H712" s="706">
        <v>20619.18</v>
      </c>
      <c r="I712" s="706">
        <v>38598.06</v>
      </c>
      <c r="J712" s="706">
        <v>48780.08</v>
      </c>
      <c r="K712" s="706">
        <v>63022.97</v>
      </c>
      <c r="L712" s="706">
        <v>74558.77</v>
      </c>
      <c r="M712" s="706">
        <v>79218.009999999995</v>
      </c>
      <c r="N712" s="706">
        <v>0</v>
      </c>
      <c r="O712" s="706">
        <v>0</v>
      </c>
      <c r="P712" s="706">
        <v>0</v>
      </c>
      <c r="Q712" s="706">
        <v>0</v>
      </c>
      <c r="R712" s="706">
        <v>0</v>
      </c>
      <c r="S712" s="706">
        <v>12426.46</v>
      </c>
      <c r="T712" s="706">
        <v>12426.46</v>
      </c>
      <c r="U712" s="706">
        <v>0</v>
      </c>
      <c r="V712" s="706">
        <v>19</v>
      </c>
      <c r="W712" s="706">
        <v>56</v>
      </c>
      <c r="X712" s="706">
        <v>90</v>
      </c>
      <c r="Y712" s="706">
        <v>127</v>
      </c>
      <c r="Z712" s="706">
        <v>168</v>
      </c>
      <c r="AA712" s="706">
        <v>207</v>
      </c>
      <c r="AB712" s="706">
        <v>220</v>
      </c>
      <c r="AC712" s="706">
        <v>0</v>
      </c>
      <c r="AD712" s="706">
        <v>0</v>
      </c>
      <c r="AE712" s="706">
        <v>0</v>
      </c>
      <c r="AF712" s="706">
        <v>0</v>
      </c>
      <c r="AG712" s="706">
        <v>0</v>
      </c>
      <c r="AH712" s="706">
        <v>35</v>
      </c>
      <c r="AI712" s="706">
        <v>35</v>
      </c>
      <c r="AJ712" s="905" t="str">
        <f t="shared" si="66"/>
        <v>G46600</v>
      </c>
      <c r="AK712" s="905" t="str">
        <f t="shared" si="67"/>
        <v>VTES-REPARAT.SOUS-TRAITES</v>
      </c>
      <c r="AL712" s="905">
        <f>IFERROR(INDEX(G712:R712,1,MATCH(Parametres!$B$3,G$1:R$1,0)-1)*IF(OR(F712="L",F712="S",F712="I"),-1,1),"")</f>
        <v>-63022.97</v>
      </c>
      <c r="AM712" s="905">
        <f t="shared" si="68"/>
        <v>-11535.800000000003</v>
      </c>
      <c r="AN712" s="905">
        <f>INDEX(G712:R712,1,MATCH(Parametres!$B$3,G$1:R$1,0))*IF(OR(F712="L",F712="S",F712="I"),-1,1)</f>
        <v>-74558.77</v>
      </c>
      <c r="AO712" s="487" t="str">
        <f>+VLOOKUP($AJ712,Data_Validation!$A:$D,1,0)</f>
        <v>G46600</v>
      </c>
      <c r="AP712" s="487" t="str">
        <f>+VLOOKUP($AJ712,Data_Validation!$A:$D,3,0)</f>
        <v>Service</v>
      </c>
      <c r="AQ712" s="487" t="str">
        <f>+VLOOKUP($AJ712,Data_Validation!$A:$D,4,0)</f>
        <v>Sous-traitement</v>
      </c>
      <c r="AR712" s="487" t="s">
        <v>299</v>
      </c>
      <c r="AS712" s="487" t="str">
        <f>+VLOOKUP($AJ712,Data_Validation!$A:$E,5,0)</f>
        <v>Oui</v>
      </c>
      <c r="AT712" s="904" t="str">
        <f t="shared" si="69"/>
        <v>G46600</v>
      </c>
      <c r="AU712" s="488" t="str">
        <f t="shared" si="70"/>
        <v>VTES-REPARAT.SOUS-TRAITES</v>
      </c>
      <c r="AV712" s="899">
        <f>IFERROR(INDEX(V712:AG712,1,MATCH(Parametres!$B$3,V$1:AG$1,0)-1)*IF(OR(C712="L",C712="S",C712="I"),-1,1),"")</f>
        <v>168</v>
      </c>
      <c r="AW712" s="899">
        <f t="shared" si="71"/>
        <v>39</v>
      </c>
      <c r="AX712" s="899">
        <f>INDEX(V712:AG712,1,MATCH(Parametres!$B$3,V$1:AG$1,0))*IF(OR(C712="L",C712="S",C712="I"),-1,1)</f>
        <v>207</v>
      </c>
      <c r="AY712" s="487" t="s">
        <v>337</v>
      </c>
      <c r="AZ712" s="487" t="str">
        <f>+VLOOKUP($AJ712,Data_Validation!$A:$E,5,0)</f>
        <v>Oui</v>
      </c>
    </row>
    <row r="713" spans="1:52" ht="15" customHeight="1">
      <c r="A713" s="706" t="s">
        <v>1148</v>
      </c>
      <c r="B713" s="706">
        <v>2026</v>
      </c>
      <c r="C713" s="706" t="s">
        <v>2475</v>
      </c>
      <c r="D713" s="706" t="s">
        <v>3139</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G46610</v>
      </c>
      <c r="AK713" s="905" t="str">
        <f t="shared" si="67"/>
        <v>VTES-SOUS-TRAITANCE SAAQ</v>
      </c>
      <c r="AL713" s="905">
        <f>IFERROR(INDEX(G713:R713,1,MATCH(Parametres!$B$3,G$1:R$1,0)-1)*IF(OR(F713="L",F713="S",F713="I"),-1,1),"")</f>
        <v>0</v>
      </c>
      <c r="AM713" s="905">
        <f t="shared" si="68"/>
        <v>0</v>
      </c>
      <c r="AN713" s="905">
        <f>INDEX(G713:R713,1,MATCH(Parametres!$B$3,G$1:R$1,0))*IF(OR(F713="L",F713="S",F713="I"),-1,1)</f>
        <v>0</v>
      </c>
      <c r="AO713" s="487" t="str">
        <f>+VLOOKUP($AJ713,Data_Validation!$A:$D,1,0)</f>
        <v>G46610</v>
      </c>
      <c r="AP713" s="487" t="str">
        <f>+VLOOKUP($AJ713,Data_Validation!$A:$D,3,0)</f>
        <v>SAAQ</v>
      </c>
      <c r="AQ713" s="487" t="str">
        <f>+VLOOKUP($AJ713,Data_Validation!$A:$D,4,0)</f>
        <v>Inspection - Véhicules Interne</v>
      </c>
      <c r="AR713" s="487" t="s">
        <v>299</v>
      </c>
      <c r="AS713" s="487" t="str">
        <f>+VLOOKUP($AJ713,Data_Validation!$A:$E,5,0)</f>
        <v>Oui</v>
      </c>
      <c r="AT713" s="904" t="str">
        <f t="shared" si="69"/>
        <v>G46610</v>
      </c>
      <c r="AU713" s="488" t="str">
        <f t="shared" si="70"/>
        <v>VTES-SOUS-TRAITANCE SAAQ</v>
      </c>
      <c r="AV713" s="899">
        <f>IFERROR(INDEX(V713:AG713,1,MATCH(Parametres!$B$3,V$1:AG$1,0)-1)*IF(OR(C713="L",C713="S",C713="I"),-1,1),"")</f>
        <v>0</v>
      </c>
      <c r="AW713" s="899">
        <f t="shared" si="71"/>
        <v>0</v>
      </c>
      <c r="AX713" s="899">
        <f>INDEX(V713:AG713,1,MATCH(Parametres!$B$3,V$1:AG$1,0))*IF(OR(C713="L",C713="S",C713="I"),-1,1)</f>
        <v>0</v>
      </c>
      <c r="AY713" s="487" t="s">
        <v>337</v>
      </c>
      <c r="AZ713" s="487" t="str">
        <f>+VLOOKUP($AJ713,Data_Validation!$A:$E,5,0)</f>
        <v>Oui</v>
      </c>
    </row>
    <row r="714" spans="1:52" ht="15" customHeight="1">
      <c r="A714" s="706" t="s">
        <v>1148</v>
      </c>
      <c r="B714" s="706">
        <v>2026</v>
      </c>
      <c r="C714" s="706" t="s">
        <v>2477</v>
      </c>
      <c r="D714" s="706" t="s">
        <v>2478</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G46611</v>
      </c>
      <c r="AK714" s="905" t="str">
        <f t="shared" si="67"/>
        <v>SUPER VITRE VENTE SUBLET</v>
      </c>
      <c r="AL714" s="905">
        <f>IFERROR(INDEX(G714:R714,1,MATCH(Parametres!$B$3,G$1:R$1,0)-1)*IF(OR(F714="L",F714="S",F714="I"),-1,1),"")</f>
        <v>0</v>
      </c>
      <c r="AM714" s="905">
        <f t="shared" si="68"/>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t="str">
        <f t="shared" si="69"/>
        <v>G46611</v>
      </c>
      <c r="AU714" s="488" t="str">
        <f t="shared" si="70"/>
        <v>SUPER VITRE VENTE SUBLET</v>
      </c>
      <c r="AV714" s="899">
        <f>IFERROR(INDEX(V714:AG714,1,MATCH(Parametres!$B$3,V$1:AG$1,0)-1)*IF(OR(C714="L",C714="S",C714="I"),-1,1),"")</f>
        <v>0</v>
      </c>
      <c r="AW714" s="899">
        <f t="shared" si="71"/>
        <v>0</v>
      </c>
      <c r="AX714" s="899">
        <f>INDEX(V714:AG714,1,MATCH(Parametres!$B$3,V$1:AG$1,0))*IF(OR(C714="L",C714="S",C714="I"),-1,1)</f>
        <v>0</v>
      </c>
      <c r="AY714" s="487" t="s">
        <v>337</v>
      </c>
      <c r="AZ714" s="487" t="e">
        <f>+VLOOKUP($AJ714,Data_Validation!$A:$E,5,0)</f>
        <v>#N/A</v>
      </c>
    </row>
    <row r="715" spans="1:52" ht="15" customHeight="1">
      <c r="A715" s="706" t="s">
        <v>1148</v>
      </c>
      <c r="B715" s="706">
        <v>2026</v>
      </c>
      <c r="C715" s="706" t="s">
        <v>2479</v>
      </c>
      <c r="D715" s="706" t="s">
        <v>2480</v>
      </c>
      <c r="E715" s="706" t="s">
        <v>1151</v>
      </c>
      <c r="F715" s="706" t="s">
        <v>1149</v>
      </c>
      <c r="G715" s="706">
        <v>41978.81</v>
      </c>
      <c r="H715" s="706">
        <v>103633.08</v>
      </c>
      <c r="I715" s="706">
        <v>149530.79</v>
      </c>
      <c r="J715" s="706">
        <v>192371.79</v>
      </c>
      <c r="K715" s="706">
        <v>220602.06</v>
      </c>
      <c r="L715" s="706">
        <v>281495.37</v>
      </c>
      <c r="M715" s="706">
        <v>308621.56</v>
      </c>
      <c r="N715" s="706">
        <v>0</v>
      </c>
      <c r="O715" s="706">
        <v>0</v>
      </c>
      <c r="P715" s="706">
        <v>0</v>
      </c>
      <c r="Q715" s="706">
        <v>0</v>
      </c>
      <c r="R715" s="706">
        <v>0</v>
      </c>
      <c r="S715" s="706">
        <v>46915.9</v>
      </c>
      <c r="T715" s="706">
        <v>46915.9</v>
      </c>
      <c r="U715" s="706">
        <v>0</v>
      </c>
      <c r="V715" s="706">
        <v>130</v>
      </c>
      <c r="W715" s="706">
        <v>275</v>
      </c>
      <c r="X715" s="706">
        <v>447</v>
      </c>
      <c r="Y715" s="706">
        <v>646</v>
      </c>
      <c r="Z715" s="706">
        <v>805</v>
      </c>
      <c r="AA715" s="706">
        <v>971</v>
      </c>
      <c r="AB715" s="706">
        <v>1071</v>
      </c>
      <c r="AC715" s="706">
        <v>0</v>
      </c>
      <c r="AD715" s="706">
        <v>0</v>
      </c>
      <c r="AE715" s="706">
        <v>0</v>
      </c>
      <c r="AF715" s="706">
        <v>0</v>
      </c>
      <c r="AG715" s="706">
        <v>0</v>
      </c>
      <c r="AH715" s="706">
        <v>162</v>
      </c>
      <c r="AI715" s="706">
        <v>162</v>
      </c>
      <c r="AJ715" s="905" t="str">
        <f t="shared" si="66"/>
        <v>G46710</v>
      </c>
      <c r="AK715" s="905" t="str">
        <f t="shared" si="67"/>
        <v>VTES PI SERV.VOIT&amp;CAM LEG</v>
      </c>
      <c r="AL715" s="905">
        <f>IFERROR(INDEX(G715:R715,1,MATCH(Parametres!$B$3,G$1:R$1,0)-1)*IF(OR(F715="L",F715="S",F715="I"),-1,1),"")</f>
        <v>-220602.06</v>
      </c>
      <c r="AM715" s="905">
        <f t="shared" si="68"/>
        <v>-60893.31</v>
      </c>
      <c r="AN715" s="905">
        <f>INDEX(G715:R715,1,MATCH(Parametres!$B$3,G$1:R$1,0))*IF(OR(F715="L",F715="S",F715="I"),-1,1)</f>
        <v>-281495.37</v>
      </c>
      <c r="AO715" s="487" t="str">
        <f>+VLOOKUP($AJ715,Data_Validation!$A:$D,1,0)</f>
        <v>G46710</v>
      </c>
      <c r="AP715" s="487" t="str">
        <f>+VLOOKUP($AJ715,Data_Validation!$A:$D,3,0)</f>
        <v>Pièces</v>
      </c>
      <c r="AQ715" s="487" t="str">
        <f>+VLOOKUP($AJ715,Data_Validation!$A:$D,4,0)</f>
        <v>Pièces Ro Clients</v>
      </c>
      <c r="AR715" s="487" t="s">
        <v>299</v>
      </c>
      <c r="AS715" s="487" t="str">
        <f>+VLOOKUP($AJ715,Data_Validation!$A:$E,5,0)</f>
        <v>Oui</v>
      </c>
      <c r="AT715" s="904" t="str">
        <f t="shared" si="69"/>
        <v>G46710</v>
      </c>
      <c r="AU715" s="488" t="str">
        <f t="shared" si="70"/>
        <v>VTES PI SERV.VOIT&amp;CAM LEG</v>
      </c>
      <c r="AV715" s="899">
        <f>IFERROR(INDEX(V715:AG715,1,MATCH(Parametres!$B$3,V$1:AG$1,0)-1)*IF(OR(C715="L",C715="S",C715="I"),-1,1),"")</f>
        <v>805</v>
      </c>
      <c r="AW715" s="899">
        <f t="shared" si="71"/>
        <v>166</v>
      </c>
      <c r="AX715" s="899">
        <f>INDEX(V715:AG715,1,MATCH(Parametres!$B$3,V$1:AG$1,0))*IF(OR(C715="L",C715="S",C715="I"),-1,1)</f>
        <v>971</v>
      </c>
      <c r="AY715" s="487" t="s">
        <v>337</v>
      </c>
      <c r="AZ715" s="487" t="str">
        <f>+VLOOKUP($AJ715,Data_Validation!$A:$E,5,0)</f>
        <v>Oui</v>
      </c>
    </row>
    <row r="716" spans="1:52" ht="15" customHeight="1">
      <c r="A716" s="706" t="s">
        <v>1148</v>
      </c>
      <c r="B716" s="706">
        <v>2026</v>
      </c>
      <c r="C716" s="706" t="s">
        <v>2481</v>
      </c>
      <c r="D716" s="706" t="s">
        <v>2482</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G46720</v>
      </c>
      <c r="AK716" s="905" t="str">
        <f t="shared" si="67"/>
        <v>B.R PPC VOIT &amp; CAM LEG.</v>
      </c>
      <c r="AL716" s="905">
        <f>IFERROR(INDEX(G716:R716,1,MATCH(Parametres!$B$3,G$1:R$1,0)-1)*IF(OR(F716="L",F716="S",F716="I"),-1,1),"")</f>
        <v>0</v>
      </c>
      <c r="AM716" s="905">
        <f t="shared" si="68"/>
        <v>0</v>
      </c>
      <c r="AN716" s="905">
        <f>INDEX(G716:R716,1,MATCH(Parametres!$B$3,G$1:R$1,0))*IF(OR(F716="L",F716="S",F716="I"),-1,1)</f>
        <v>0</v>
      </c>
      <c r="AO716" s="487" t="str">
        <f>+VLOOKUP($AJ716,Data_Validation!$A:$D,1,0)</f>
        <v>G46720</v>
      </c>
      <c r="AP716" s="487" t="str">
        <f>+VLOOKUP($AJ716,Data_Validation!$A:$D,3,0)</f>
        <v>Pièces</v>
      </c>
      <c r="AQ716" s="487" t="str">
        <f>+VLOOKUP($AJ716,Data_Validation!$A:$D,4,0)</f>
        <v>Pièces Ro Clients</v>
      </c>
      <c r="AR716" s="487" t="s">
        <v>299</v>
      </c>
      <c r="AS716" s="487" t="str">
        <f>+VLOOKUP($AJ716,Data_Validation!$A:$E,5,0)</f>
        <v>Oui</v>
      </c>
      <c r="AT716" s="904" t="str">
        <f t="shared" si="69"/>
        <v>G46720</v>
      </c>
      <c r="AU716" s="488" t="str">
        <f t="shared" si="70"/>
        <v>B.R PPC VOIT &amp; CAM LEG.</v>
      </c>
      <c r="AV716" s="899">
        <f>IFERROR(INDEX(V716:AG716,1,MATCH(Parametres!$B$3,V$1:AG$1,0)-1)*IF(OR(C716="L",C716="S",C716="I"),-1,1),"")</f>
        <v>0</v>
      </c>
      <c r="AW716" s="899">
        <f t="shared" si="71"/>
        <v>0</v>
      </c>
      <c r="AX716" s="899">
        <f>INDEX(V716:AG716,1,MATCH(Parametres!$B$3,V$1:AG$1,0))*IF(OR(C716="L",C716="S",C716="I"),-1,1)</f>
        <v>0</v>
      </c>
      <c r="AY716" s="487" t="s">
        <v>337</v>
      </c>
      <c r="AZ716" s="487" t="str">
        <f>+VLOOKUP($AJ716,Data_Validation!$A:$E,5,0)</f>
        <v>Oui</v>
      </c>
    </row>
    <row r="717" spans="1:52" ht="15" customHeight="1">
      <c r="A717" s="706" t="s">
        <v>1148</v>
      </c>
      <c r="B717" s="706">
        <v>2026</v>
      </c>
      <c r="C717" s="706" t="s">
        <v>2483</v>
      </c>
      <c r="D717" s="706" t="s">
        <v>2484</v>
      </c>
      <c r="E717" s="706" t="s">
        <v>1151</v>
      </c>
      <c r="F717" s="706" t="s">
        <v>1149</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G46740</v>
      </c>
      <c r="AK717" s="905" t="str">
        <f t="shared" si="67"/>
        <v>SER.RAPIDE VOIT CAM LEG.</v>
      </c>
      <c r="AL717" s="905">
        <f>IFERROR(INDEX(G717:R717,1,MATCH(Parametres!$B$3,G$1:R$1,0)-1)*IF(OR(F717="L",F717="S",F717="I"),-1,1),"")</f>
        <v>0</v>
      </c>
      <c r="AM717" s="905">
        <f t="shared" si="68"/>
        <v>0</v>
      </c>
      <c r="AN717" s="905">
        <f>INDEX(G717:R717,1,MATCH(Parametres!$B$3,G$1:R$1,0))*IF(OR(F717="L",F717="S",F717="I"),-1,1)</f>
        <v>0</v>
      </c>
      <c r="AO717" s="487" t="str">
        <f>+VLOOKUP($AJ717,Data_Validation!$A:$D,1,0)</f>
        <v>G46740</v>
      </c>
      <c r="AP717" s="487">
        <f>+VLOOKUP($AJ717,Data_Validation!$A:$D,3,0)</f>
        <v>0</v>
      </c>
      <c r="AQ717" s="487">
        <f>+VLOOKUP($AJ717,Data_Validation!$A:$D,4,0)</f>
        <v>0</v>
      </c>
      <c r="AR717" s="487" t="s">
        <v>299</v>
      </c>
      <c r="AS717" s="487">
        <f>+VLOOKUP($AJ717,Data_Validation!$A:$E,5,0)</f>
        <v>0</v>
      </c>
      <c r="AT717" s="904" t="str">
        <f t="shared" si="69"/>
        <v>G46740</v>
      </c>
      <c r="AU717" s="488" t="str">
        <f t="shared" si="70"/>
        <v>SER.RAPIDE VOIT CAM LEG.</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customHeight="1">
      <c r="A718" s="706" t="s">
        <v>1148</v>
      </c>
      <c r="B718" s="706">
        <v>2026</v>
      </c>
      <c r="C718" s="706" t="s">
        <v>2485</v>
      </c>
      <c r="D718" s="706" t="s">
        <v>2486</v>
      </c>
      <c r="E718" s="706" t="s">
        <v>1151</v>
      </c>
      <c r="F718" s="706" t="s">
        <v>1149</v>
      </c>
      <c r="G718" s="706">
        <v>0</v>
      </c>
      <c r="H718" s="706">
        <v>0</v>
      </c>
      <c r="I718" s="706">
        <v>0</v>
      </c>
      <c r="J718" s="706">
        <v>0</v>
      </c>
      <c r="K718" s="706">
        <v>0</v>
      </c>
      <c r="L718" s="706">
        <v>0</v>
      </c>
      <c r="M718" s="706">
        <v>0</v>
      </c>
      <c r="N718" s="706">
        <v>0</v>
      </c>
      <c r="O718" s="706">
        <v>0</v>
      </c>
      <c r="P718" s="706">
        <v>0</v>
      </c>
      <c r="Q718" s="706">
        <v>0</v>
      </c>
      <c r="R718" s="706">
        <v>0</v>
      </c>
      <c r="S718" s="706">
        <v>0</v>
      </c>
      <c r="T718" s="706">
        <v>0</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G46800</v>
      </c>
      <c r="AK718" s="905" t="str">
        <f t="shared" si="67"/>
        <v>VTES-PCE CLIENT CAM MOYEN</v>
      </c>
      <c r="AL718" s="905">
        <f>IFERROR(INDEX(G718:R718,1,MATCH(Parametres!$B$3,G$1:R$1,0)-1)*IF(OR(F718="L",F718="S",F718="I"),-1,1),"")</f>
        <v>0</v>
      </c>
      <c r="AM718" s="905">
        <f t="shared" si="68"/>
        <v>0</v>
      </c>
      <c r="AN718" s="905">
        <f>INDEX(G718:R718,1,MATCH(Parametres!$B$3,G$1:R$1,0))*IF(OR(F718="L",F718="S",F718="I"),-1,1)</f>
        <v>0</v>
      </c>
      <c r="AO718" s="487" t="str">
        <f>+VLOOKUP($AJ718,Data_Validation!$A:$D,1,0)</f>
        <v>G46800</v>
      </c>
      <c r="AP718" s="487">
        <f>+VLOOKUP($AJ718,Data_Validation!$A:$D,3,0)</f>
        <v>0</v>
      </c>
      <c r="AQ718" s="487">
        <f>+VLOOKUP($AJ718,Data_Validation!$A:$D,4,0)</f>
        <v>0</v>
      </c>
      <c r="AR718" s="487" t="s">
        <v>299</v>
      </c>
      <c r="AS718" s="487">
        <f>+VLOOKUP($AJ718,Data_Validation!$A:$E,5,0)</f>
        <v>0</v>
      </c>
      <c r="AT718" s="904" t="str">
        <f t="shared" si="69"/>
        <v>G46800</v>
      </c>
      <c r="AU718" s="488" t="str">
        <f t="shared" si="70"/>
        <v>VTES-PCE CLIENT CAM MOYEN</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2026</v>
      </c>
      <c r="C719" s="706" t="s">
        <v>2487</v>
      </c>
      <c r="D719" s="706" t="s">
        <v>2488</v>
      </c>
      <c r="E719" s="706" t="s">
        <v>1151</v>
      </c>
      <c r="F719" s="706" t="s">
        <v>1149</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G46810</v>
      </c>
      <c r="AK719" s="905" t="str">
        <f t="shared" si="67"/>
        <v>VTES-PCE SERV.CLIENT CAM.</v>
      </c>
      <c r="AL719" s="905">
        <f>IFERROR(INDEX(G719:R719,1,MATCH(Parametres!$B$3,G$1:R$1,0)-1)*IF(OR(F719="L",F719="S",F719="I"),-1,1),"")</f>
        <v>0</v>
      </c>
      <c r="AM719" s="905">
        <f t="shared" si="68"/>
        <v>0</v>
      </c>
      <c r="AN719" s="905">
        <f>INDEX(G719:R719,1,MATCH(Parametres!$B$3,G$1:R$1,0))*IF(OR(F719="L",F719="S",F719="I"),-1,1)</f>
        <v>0</v>
      </c>
      <c r="AO719" s="487" t="str">
        <f>+VLOOKUP($AJ719,Data_Validation!$A:$D,1,0)</f>
        <v>G46810</v>
      </c>
      <c r="AP719" s="487">
        <f>+VLOOKUP($AJ719,Data_Validation!$A:$D,3,0)</f>
        <v>0</v>
      </c>
      <c r="AQ719" s="487">
        <f>+VLOOKUP($AJ719,Data_Validation!$A:$D,4,0)</f>
        <v>0</v>
      </c>
      <c r="AR719" s="487" t="s">
        <v>299</v>
      </c>
      <c r="AS719" s="487">
        <f>+VLOOKUP($AJ719,Data_Validation!$A:$E,5,0)</f>
        <v>0</v>
      </c>
      <c r="AT719" s="904" t="str">
        <f t="shared" si="69"/>
        <v>G46810</v>
      </c>
      <c r="AU719" s="488" t="str">
        <f t="shared" si="70"/>
        <v>VTES-PCE SERV.CLIENT CAM.</v>
      </c>
      <c r="AV719" s="899">
        <f>IFERROR(INDEX(V719:AG719,1,MATCH(Parametres!$B$3,V$1:AG$1,0)-1)*IF(OR(C719="L",C719="S",C719="I"),-1,1),"")</f>
        <v>0</v>
      </c>
      <c r="AW719" s="899">
        <f t="shared" si="71"/>
        <v>0</v>
      </c>
      <c r="AX719" s="899">
        <f>INDEX(V719:AG719,1,MATCH(Parametres!$B$3,V$1:AG$1,0))*IF(OR(C719="L",C719="S",C719="I"),-1,1)</f>
        <v>0</v>
      </c>
      <c r="AY719" s="487" t="s">
        <v>337</v>
      </c>
      <c r="AZ719" s="487">
        <f>+VLOOKUP($AJ719,Data_Validation!$A:$E,5,0)</f>
        <v>0</v>
      </c>
    </row>
    <row r="720" spans="1:52" ht="15" customHeight="1">
      <c r="A720" s="706" t="s">
        <v>1148</v>
      </c>
      <c r="B720" s="706">
        <v>2026</v>
      </c>
      <c r="C720" s="706" t="s">
        <v>2489</v>
      </c>
      <c r="D720" s="706" t="s">
        <v>2490</v>
      </c>
      <c r="E720" s="706" t="s">
        <v>1151</v>
      </c>
      <c r="F720" s="706" t="s">
        <v>1149</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G46840</v>
      </c>
      <c r="AK720" s="905" t="str">
        <f t="shared" si="67"/>
        <v>VTES-PCE GOODWRENCH CAMIO</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G46840</v>
      </c>
      <c r="AU720" s="488" t="str">
        <f t="shared" si="70"/>
        <v>VTES-PCE GOODWRENCH CAMIO</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customHeight="1">
      <c r="A721" s="706" t="s">
        <v>1148</v>
      </c>
      <c r="B721" s="706">
        <v>2026</v>
      </c>
      <c r="C721" s="706" t="s">
        <v>2491</v>
      </c>
      <c r="D721" s="706" t="s">
        <v>2492</v>
      </c>
      <c r="E721" s="706" t="s">
        <v>333</v>
      </c>
      <c r="F721" s="706" t="s">
        <v>1149</v>
      </c>
      <c r="G721" s="706">
        <v>2646.8</v>
      </c>
      <c r="H721" s="706">
        <v>5914.65</v>
      </c>
      <c r="I721" s="706">
        <v>9184.1</v>
      </c>
      <c r="J721" s="706">
        <v>13267.53</v>
      </c>
      <c r="K721" s="706">
        <v>17068.18</v>
      </c>
      <c r="L721" s="706">
        <v>20337.54</v>
      </c>
      <c r="M721" s="706">
        <v>21641.7</v>
      </c>
      <c r="N721" s="706">
        <v>0</v>
      </c>
      <c r="O721" s="706">
        <v>0</v>
      </c>
      <c r="P721" s="706">
        <v>0</v>
      </c>
      <c r="Q721" s="706">
        <v>0</v>
      </c>
      <c r="R721" s="706">
        <v>0</v>
      </c>
      <c r="S721" s="706">
        <v>3389.59</v>
      </c>
      <c r="T721" s="706">
        <v>3389.59</v>
      </c>
      <c r="U721" s="706">
        <v>0</v>
      </c>
      <c r="V721" s="706">
        <v>232</v>
      </c>
      <c r="W721" s="706">
        <v>521</v>
      </c>
      <c r="X721" s="706">
        <v>812</v>
      </c>
      <c r="Y721" s="706">
        <v>1191</v>
      </c>
      <c r="Z721" s="706">
        <v>1531</v>
      </c>
      <c r="AA721" s="706">
        <v>1824</v>
      </c>
      <c r="AB721" s="706">
        <v>1951</v>
      </c>
      <c r="AC721" s="706">
        <v>0</v>
      </c>
      <c r="AD721" s="706">
        <v>0</v>
      </c>
      <c r="AE721" s="706">
        <v>0</v>
      </c>
      <c r="AF721" s="706">
        <v>0</v>
      </c>
      <c r="AG721" s="706">
        <v>0</v>
      </c>
      <c r="AH721" s="706">
        <v>304</v>
      </c>
      <c r="AI721" s="706">
        <v>304</v>
      </c>
      <c r="AJ721" s="905" t="str">
        <f t="shared" si="66"/>
        <v>G46900</v>
      </c>
      <c r="AK721" s="905" t="str">
        <f t="shared" si="67"/>
        <v>VTES FOURNITURE ATELIER</v>
      </c>
      <c r="AL721" s="905">
        <f>IFERROR(INDEX(G721:R721,1,MATCH(Parametres!$B$3,G$1:R$1,0)-1)*IF(OR(F721="L",F721="S",F721="I"),-1,1),"")</f>
        <v>-17068.18</v>
      </c>
      <c r="AM721" s="905">
        <f t="shared" si="68"/>
        <v>-3269.3600000000006</v>
      </c>
      <c r="AN721" s="905">
        <f>INDEX(G721:R721,1,MATCH(Parametres!$B$3,G$1:R$1,0))*IF(OR(F721="L",F721="S",F721="I"),-1,1)</f>
        <v>-20337.54</v>
      </c>
      <c r="AO721" s="487" t="str">
        <f>+VLOOKUP($AJ721,Data_Validation!$A:$D,1,0)</f>
        <v>G46900</v>
      </c>
      <c r="AP721" s="487" t="str">
        <f>+VLOOKUP($AJ721,Data_Validation!$A:$D,3,0)</f>
        <v>Service</v>
      </c>
      <c r="AQ721" s="487" t="str">
        <f>+VLOOKUP($AJ721,Data_Validation!$A:$D,4,0)</f>
        <v>Sous-traitement</v>
      </c>
      <c r="AR721" s="487" t="s">
        <v>299</v>
      </c>
      <c r="AS721" s="487" t="str">
        <f>+VLOOKUP($AJ721,Data_Validation!$A:$E,5,0)</f>
        <v>Oui</v>
      </c>
      <c r="AT721" s="904" t="str">
        <f t="shared" si="69"/>
        <v>G46900</v>
      </c>
      <c r="AU721" s="488" t="str">
        <f t="shared" si="70"/>
        <v>VTES FOURNITURE ATELIER</v>
      </c>
      <c r="AV721" s="899">
        <f>IFERROR(INDEX(V721:AG721,1,MATCH(Parametres!$B$3,V$1:AG$1,0)-1)*IF(OR(C721="L",C721="S",C721="I"),-1,1),"")</f>
        <v>1531</v>
      </c>
      <c r="AW721" s="899">
        <f t="shared" si="71"/>
        <v>293</v>
      </c>
      <c r="AX721" s="899">
        <f>INDEX(V721:AG721,1,MATCH(Parametres!$B$3,V$1:AG$1,0))*IF(OR(C721="L",C721="S",C721="I"),-1,1)</f>
        <v>1824</v>
      </c>
      <c r="AY721" s="487" t="s">
        <v>337</v>
      </c>
      <c r="AZ721" s="487" t="str">
        <f>+VLOOKUP($AJ721,Data_Validation!$A:$E,5,0)</f>
        <v>Oui</v>
      </c>
    </row>
    <row r="722" spans="1:52" ht="15" customHeight="1">
      <c r="A722" s="706" t="s">
        <v>1148</v>
      </c>
      <c r="B722" s="706">
        <v>2026</v>
      </c>
      <c r="C722" s="706" t="s">
        <v>2493</v>
      </c>
      <c r="D722" s="706" t="s">
        <v>3326</v>
      </c>
      <c r="E722" s="706" t="s">
        <v>1151</v>
      </c>
      <c r="F722" s="706" t="s">
        <v>1149</v>
      </c>
      <c r="G722" s="706">
        <v>0</v>
      </c>
      <c r="H722" s="706">
        <v>0</v>
      </c>
      <c r="I722" s="706">
        <v>0</v>
      </c>
      <c r="J722" s="706">
        <v>0</v>
      </c>
      <c r="K722" s="706">
        <v>7647.4</v>
      </c>
      <c r="L722" s="706">
        <v>19811.75</v>
      </c>
      <c r="M722" s="706">
        <v>22639.95</v>
      </c>
      <c r="N722" s="706">
        <v>0</v>
      </c>
      <c r="O722" s="706">
        <v>0</v>
      </c>
      <c r="P722" s="706">
        <v>0</v>
      </c>
      <c r="Q722" s="706">
        <v>0</v>
      </c>
      <c r="R722" s="706">
        <v>0</v>
      </c>
      <c r="S722" s="706">
        <v>3301.96</v>
      </c>
      <c r="T722" s="706">
        <v>3301.96</v>
      </c>
      <c r="U722" s="706">
        <v>0</v>
      </c>
      <c r="V722" s="706">
        <v>0</v>
      </c>
      <c r="W722" s="706">
        <v>0</v>
      </c>
      <c r="X722" s="706">
        <v>0</v>
      </c>
      <c r="Y722" s="706">
        <v>0</v>
      </c>
      <c r="Z722" s="706">
        <v>16</v>
      </c>
      <c r="AA722" s="706">
        <v>38</v>
      </c>
      <c r="AB722" s="706">
        <v>44</v>
      </c>
      <c r="AC722" s="706">
        <v>0</v>
      </c>
      <c r="AD722" s="706">
        <v>0</v>
      </c>
      <c r="AE722" s="706">
        <v>0</v>
      </c>
      <c r="AF722" s="706">
        <v>0</v>
      </c>
      <c r="AG722" s="706">
        <v>0</v>
      </c>
      <c r="AH722" s="706">
        <v>6</v>
      </c>
      <c r="AI722" s="706">
        <v>6</v>
      </c>
      <c r="AJ722" s="905" t="str">
        <f t="shared" si="66"/>
        <v>G47000</v>
      </c>
      <c r="AK722" s="905" t="str">
        <f t="shared" si="67"/>
        <v>VTE -M.D. CLIENT-PEINTURE</v>
      </c>
      <c r="AL722" s="905">
        <f>IFERROR(INDEX(G722:R722,1,MATCH(Parametres!$B$3,G$1:R$1,0)-1)*IF(OR(F722="L",F722="S",F722="I"),-1,1),"")</f>
        <v>-7647.4</v>
      </c>
      <c r="AM722" s="905">
        <f t="shared" si="68"/>
        <v>-12164.35</v>
      </c>
      <c r="AN722" s="905">
        <f>INDEX(G722:R722,1,MATCH(Parametres!$B$3,G$1:R$1,0))*IF(OR(F722="L",F722="S",F722="I"),-1,1)</f>
        <v>-19811.75</v>
      </c>
      <c r="AO722" s="487" t="str">
        <f>+VLOOKUP($AJ722,Data_Validation!$A:$D,1,0)</f>
        <v>G47000</v>
      </c>
      <c r="AP722" s="487" t="str">
        <f>+VLOOKUP($AJ722,Data_Validation!$A:$D,3,0)</f>
        <v>Carrosserie</v>
      </c>
      <c r="AQ722" s="487" t="str">
        <f>+VLOOKUP($AJ722,Data_Validation!$A:$D,4,0)</f>
        <v>Carrosserie Clients</v>
      </c>
      <c r="AR722" s="487" t="s">
        <v>299</v>
      </c>
      <c r="AS722" s="487" t="str">
        <f>+VLOOKUP($AJ722,Data_Validation!$A:$E,5,0)</f>
        <v>Oui</v>
      </c>
      <c r="AT722" s="904" t="str">
        <f t="shared" si="69"/>
        <v>G47000</v>
      </c>
      <c r="AU722" s="488" t="str">
        <f t="shared" si="70"/>
        <v>VTE -M.D. CLIENT-PEINTURE</v>
      </c>
      <c r="AV722" s="899">
        <f>IFERROR(INDEX(V722:AG722,1,MATCH(Parametres!$B$3,V$1:AG$1,0)-1)*IF(OR(C722="L",C722="S",C722="I"),-1,1),"")</f>
        <v>16</v>
      </c>
      <c r="AW722" s="899">
        <f t="shared" si="71"/>
        <v>22</v>
      </c>
      <c r="AX722" s="899">
        <f>INDEX(V722:AG722,1,MATCH(Parametres!$B$3,V$1:AG$1,0))*IF(OR(C722="L",C722="S",C722="I"),-1,1)</f>
        <v>38</v>
      </c>
      <c r="AY722" s="487" t="s">
        <v>337</v>
      </c>
      <c r="AZ722" s="487" t="str">
        <f>+VLOOKUP($AJ722,Data_Validation!$A:$E,5,0)</f>
        <v>Oui</v>
      </c>
    </row>
    <row r="723" spans="1:52" ht="15" customHeight="1">
      <c r="A723" s="706" t="s">
        <v>1148</v>
      </c>
      <c r="B723" s="706">
        <v>2026</v>
      </c>
      <c r="C723" s="706" t="s">
        <v>2495</v>
      </c>
      <c r="D723" s="706" t="s">
        <v>2496</v>
      </c>
      <c r="E723" s="706" t="s">
        <v>1151</v>
      </c>
      <c r="F723" s="706" t="s">
        <v>1149</v>
      </c>
      <c r="G723" s="706">
        <v>0</v>
      </c>
      <c r="H723" s="706">
        <v>0</v>
      </c>
      <c r="I723" s="706">
        <v>0</v>
      </c>
      <c r="J723" s="706">
        <v>0</v>
      </c>
      <c r="K723" s="706">
        <v>10270.44</v>
      </c>
      <c r="L723" s="706">
        <v>23929.94</v>
      </c>
      <c r="M723" s="706">
        <v>26684.799999999999</v>
      </c>
      <c r="N723" s="706">
        <v>0</v>
      </c>
      <c r="O723" s="706">
        <v>0</v>
      </c>
      <c r="P723" s="706">
        <v>0</v>
      </c>
      <c r="Q723" s="706">
        <v>0</v>
      </c>
      <c r="R723" s="706">
        <v>0</v>
      </c>
      <c r="S723" s="706">
        <v>3988.32</v>
      </c>
      <c r="T723" s="706">
        <v>3988.32</v>
      </c>
      <c r="U723" s="706">
        <v>0</v>
      </c>
      <c r="V723" s="706">
        <v>0</v>
      </c>
      <c r="W723" s="706">
        <v>0</v>
      </c>
      <c r="X723" s="706">
        <v>0</v>
      </c>
      <c r="Y723" s="706">
        <v>0</v>
      </c>
      <c r="Z723" s="706">
        <v>17</v>
      </c>
      <c r="AA723" s="706">
        <v>36</v>
      </c>
      <c r="AB723" s="706">
        <v>45</v>
      </c>
      <c r="AC723" s="706">
        <v>0</v>
      </c>
      <c r="AD723" s="706">
        <v>0</v>
      </c>
      <c r="AE723" s="706">
        <v>0</v>
      </c>
      <c r="AF723" s="706">
        <v>0</v>
      </c>
      <c r="AG723" s="706">
        <v>0</v>
      </c>
      <c r="AH723" s="706">
        <v>6</v>
      </c>
      <c r="AI723" s="706">
        <v>6</v>
      </c>
      <c r="AJ723" s="905" t="str">
        <f t="shared" ref="AJ723:AJ786" si="72">C723</f>
        <v>G47005</v>
      </c>
      <c r="AK723" s="905" t="str">
        <f t="shared" ref="AK723:AK786" si="73">D723</f>
        <v>VTE -M.O CONCES. PEINTUR</v>
      </c>
      <c r="AL723" s="905">
        <f>IFERROR(INDEX(G723:R723,1,MATCH(Parametres!$B$3,G$1:R$1,0)-1)*IF(OR(F723="L",F723="S",F723="I"),-1,1),"")</f>
        <v>-10270.44</v>
      </c>
      <c r="AM723" s="905">
        <f t="shared" si="68"/>
        <v>-13659.499999999998</v>
      </c>
      <c r="AN723" s="905">
        <f>INDEX(G723:R723,1,MATCH(Parametres!$B$3,G$1:R$1,0))*IF(OR(F723="L",F723="S",F723="I"),-1,1)</f>
        <v>-23929.94</v>
      </c>
      <c r="AO723" s="487" t="str">
        <f>+VLOOKUP($AJ723,Data_Validation!$A:$D,1,0)</f>
        <v>G47005</v>
      </c>
      <c r="AP723" s="487" t="str">
        <f>+VLOOKUP($AJ723,Data_Validation!$A:$D,3,0)</f>
        <v>Carrosserie</v>
      </c>
      <c r="AQ723" s="487" t="str">
        <f>+VLOOKUP($AJ723,Data_Validation!$A:$D,4,0)</f>
        <v>Carrosserie Concessions</v>
      </c>
      <c r="AR723" s="487" t="s">
        <v>299</v>
      </c>
      <c r="AS723" s="487" t="str">
        <f>+VLOOKUP($AJ723,Data_Validation!$A:$E,5,0)</f>
        <v>Oui</v>
      </c>
      <c r="AT723" s="904" t="str">
        <f t="shared" si="69"/>
        <v>G47005</v>
      </c>
      <c r="AU723" s="488" t="str">
        <f t="shared" si="70"/>
        <v>VTE -M.O CONCES. PEINTUR</v>
      </c>
      <c r="AV723" s="899">
        <f>IFERROR(INDEX(V723:AG723,1,MATCH(Parametres!$B$3,V$1:AG$1,0)-1)*IF(OR(C723="L",C723="S",C723="I"),-1,1),"")</f>
        <v>17</v>
      </c>
      <c r="AW723" s="899">
        <f t="shared" si="71"/>
        <v>19</v>
      </c>
      <c r="AX723" s="899">
        <f>INDEX(V723:AG723,1,MATCH(Parametres!$B$3,V$1:AG$1,0))*IF(OR(C723="L",C723="S",C723="I"),-1,1)</f>
        <v>36</v>
      </c>
      <c r="AY723" s="487" t="s">
        <v>337</v>
      </c>
      <c r="AZ723" s="487" t="str">
        <f>+VLOOKUP($AJ723,Data_Validation!$A:$E,5,0)</f>
        <v>Oui</v>
      </c>
    </row>
    <row r="724" spans="1:52" ht="15" customHeight="1">
      <c r="A724" s="706" t="s">
        <v>1148</v>
      </c>
      <c r="B724" s="706">
        <v>2026</v>
      </c>
      <c r="C724" s="706" t="s">
        <v>2497</v>
      </c>
      <c r="D724" s="706" t="s">
        <v>2498</v>
      </c>
      <c r="E724" s="706" t="s">
        <v>1151</v>
      </c>
      <c r="F724" s="706" t="s">
        <v>1149</v>
      </c>
      <c r="G724" s="706">
        <v>56064.89</v>
      </c>
      <c r="H724" s="706">
        <v>121587.01</v>
      </c>
      <c r="I724" s="706">
        <v>174836.25</v>
      </c>
      <c r="J724" s="706">
        <v>279197.3</v>
      </c>
      <c r="K724" s="706">
        <v>298896.17</v>
      </c>
      <c r="L724" s="706">
        <v>317588.84999999998</v>
      </c>
      <c r="M724" s="706">
        <v>325069.15000000002</v>
      </c>
      <c r="N724" s="706">
        <v>0</v>
      </c>
      <c r="O724" s="706">
        <v>0</v>
      </c>
      <c r="P724" s="706">
        <v>0</v>
      </c>
      <c r="Q724" s="706">
        <v>0</v>
      </c>
      <c r="R724" s="706">
        <v>0</v>
      </c>
      <c r="S724" s="706">
        <v>52931.48</v>
      </c>
      <c r="T724" s="706">
        <v>52931.48</v>
      </c>
      <c r="U724" s="706">
        <v>0</v>
      </c>
      <c r="V724" s="706">
        <v>45</v>
      </c>
      <c r="W724" s="706">
        <v>95</v>
      </c>
      <c r="X724" s="706">
        <v>146</v>
      </c>
      <c r="Y724" s="706">
        <v>210</v>
      </c>
      <c r="Z724" s="706">
        <v>237</v>
      </c>
      <c r="AA724" s="706">
        <v>266</v>
      </c>
      <c r="AB724" s="706">
        <v>277</v>
      </c>
      <c r="AC724" s="706">
        <v>0</v>
      </c>
      <c r="AD724" s="706">
        <v>0</v>
      </c>
      <c r="AE724" s="706">
        <v>0</v>
      </c>
      <c r="AF724" s="706">
        <v>0</v>
      </c>
      <c r="AG724" s="706">
        <v>0</v>
      </c>
      <c r="AH724" s="706">
        <v>44</v>
      </c>
      <c r="AI724" s="706">
        <v>44</v>
      </c>
      <c r="AJ724" s="905" t="str">
        <f t="shared" si="72"/>
        <v>G47100</v>
      </c>
      <c r="AK724" s="905" t="str">
        <f t="shared" si="73"/>
        <v>VTES-M.D. CLIENT CARROSS.</v>
      </c>
      <c r="AL724" s="905">
        <f>IFERROR(INDEX(G724:R724,1,MATCH(Parametres!$B$3,G$1:R$1,0)-1)*IF(OR(F724="L",F724="S",F724="I"),-1,1),"")</f>
        <v>-298896.17</v>
      </c>
      <c r="AM724" s="905">
        <f t="shared" si="68"/>
        <v>-18692.679999999993</v>
      </c>
      <c r="AN724" s="905">
        <f>INDEX(G724:R724,1,MATCH(Parametres!$B$3,G$1:R$1,0))*IF(OR(F724="L",F724="S",F724="I"),-1,1)</f>
        <v>-317588.84999999998</v>
      </c>
      <c r="AO724" s="487" t="str">
        <f>+VLOOKUP($AJ724,Data_Validation!$A:$D,1,0)</f>
        <v>G47100</v>
      </c>
      <c r="AP724" s="487" t="str">
        <f>+VLOOKUP($AJ724,Data_Validation!$A:$D,3,0)</f>
        <v>Carrosserie</v>
      </c>
      <c r="AQ724" s="487" t="str">
        <f>+VLOOKUP($AJ724,Data_Validation!$A:$D,4,0)</f>
        <v>Carrosserie Clients</v>
      </c>
      <c r="AR724" s="487" t="s">
        <v>299</v>
      </c>
      <c r="AS724" s="487" t="str">
        <f>+VLOOKUP($AJ724,Data_Validation!$A:$E,5,0)</f>
        <v>Oui</v>
      </c>
      <c r="AT724" s="904" t="str">
        <f t="shared" si="69"/>
        <v>G47100</v>
      </c>
      <c r="AU724" s="488" t="str">
        <f t="shared" si="70"/>
        <v>VTES-M.D. CLIENT CARROSS.</v>
      </c>
      <c r="AV724" s="899">
        <f>IFERROR(INDEX(V724:AG724,1,MATCH(Parametres!$B$3,V$1:AG$1,0)-1)*IF(OR(C724="L",C724="S",C724="I"),-1,1),"")</f>
        <v>237</v>
      </c>
      <c r="AW724" s="899">
        <f t="shared" si="71"/>
        <v>29</v>
      </c>
      <c r="AX724" s="899">
        <f>INDEX(V724:AG724,1,MATCH(Parametres!$B$3,V$1:AG$1,0))*IF(OR(C724="L",C724="S",C724="I"),-1,1)</f>
        <v>266</v>
      </c>
      <c r="AY724" s="487" t="s">
        <v>337</v>
      </c>
      <c r="AZ724" s="487" t="str">
        <f>+VLOOKUP($AJ724,Data_Validation!$A:$E,5,0)</f>
        <v>Oui</v>
      </c>
    </row>
    <row r="725" spans="1:52" ht="15" customHeight="1">
      <c r="A725" s="706" t="s">
        <v>1148</v>
      </c>
      <c r="B725" s="706">
        <v>2026</v>
      </c>
      <c r="C725" s="706" t="s">
        <v>2499</v>
      </c>
      <c r="D725" s="706" t="s">
        <v>2500</v>
      </c>
      <c r="E725" s="706" t="s">
        <v>1151</v>
      </c>
      <c r="F725" s="706" t="s">
        <v>1149</v>
      </c>
      <c r="G725" s="706">
        <v>0</v>
      </c>
      <c r="H725" s="706">
        <v>0</v>
      </c>
      <c r="I725" s="706">
        <v>0</v>
      </c>
      <c r="J725" s="706">
        <v>0</v>
      </c>
      <c r="K725" s="706">
        <v>20289.45</v>
      </c>
      <c r="L725" s="706">
        <v>50705.96</v>
      </c>
      <c r="M725" s="706">
        <v>55351.96</v>
      </c>
      <c r="N725" s="706">
        <v>0</v>
      </c>
      <c r="O725" s="706">
        <v>0</v>
      </c>
      <c r="P725" s="706">
        <v>0</v>
      </c>
      <c r="Q725" s="706">
        <v>0</v>
      </c>
      <c r="R725" s="706">
        <v>0</v>
      </c>
      <c r="S725" s="706">
        <v>8450.99</v>
      </c>
      <c r="T725" s="706">
        <v>8450.99</v>
      </c>
      <c r="U725" s="706">
        <v>0</v>
      </c>
      <c r="V725" s="706">
        <v>0</v>
      </c>
      <c r="W725" s="706">
        <v>0</v>
      </c>
      <c r="X725" s="706">
        <v>0</v>
      </c>
      <c r="Y725" s="706">
        <v>0</v>
      </c>
      <c r="Z725" s="706">
        <v>19</v>
      </c>
      <c r="AA725" s="706">
        <v>43</v>
      </c>
      <c r="AB725" s="706">
        <v>52</v>
      </c>
      <c r="AC725" s="706">
        <v>0</v>
      </c>
      <c r="AD725" s="706">
        <v>0</v>
      </c>
      <c r="AE725" s="706">
        <v>0</v>
      </c>
      <c r="AF725" s="706">
        <v>0</v>
      </c>
      <c r="AG725" s="706">
        <v>0</v>
      </c>
      <c r="AH725" s="706">
        <v>7</v>
      </c>
      <c r="AI725" s="706">
        <v>7</v>
      </c>
      <c r="AJ725" s="905" t="str">
        <f t="shared" si="72"/>
        <v>G47105</v>
      </c>
      <c r="AK725" s="905" t="str">
        <f t="shared" si="73"/>
        <v>VTE -M.O CONCES. -BODY</v>
      </c>
      <c r="AL725" s="905">
        <f>IFERROR(INDEX(G725:R725,1,MATCH(Parametres!$B$3,G$1:R$1,0)-1)*IF(OR(F725="L",F725="S",F725="I"),-1,1),"")</f>
        <v>-20289.45</v>
      </c>
      <c r="AM725" s="905">
        <f t="shared" si="68"/>
        <v>-30416.51</v>
      </c>
      <c r="AN725" s="905">
        <f>INDEX(G725:R725,1,MATCH(Parametres!$B$3,G$1:R$1,0))*IF(OR(F725="L",F725="S",F725="I"),-1,1)</f>
        <v>-50705.96</v>
      </c>
      <c r="AO725" s="487" t="str">
        <f>+VLOOKUP($AJ725,Data_Validation!$A:$D,1,0)</f>
        <v>G47105</v>
      </c>
      <c r="AP725" s="487" t="str">
        <f>+VLOOKUP($AJ725,Data_Validation!$A:$D,3,0)</f>
        <v>Carrosserie</v>
      </c>
      <c r="AQ725" s="487" t="str">
        <f>+VLOOKUP($AJ725,Data_Validation!$A:$D,4,0)</f>
        <v>Carrosserie Concessions</v>
      </c>
      <c r="AR725" s="487" t="s">
        <v>299</v>
      </c>
      <c r="AS725" s="487" t="str">
        <f>+VLOOKUP($AJ725,Data_Validation!$A:$E,5,0)</f>
        <v>Oui</v>
      </c>
      <c r="AT725" s="904" t="str">
        <f t="shared" si="69"/>
        <v>G47105</v>
      </c>
      <c r="AU725" s="488" t="str">
        <f t="shared" si="70"/>
        <v>VTE -M.O CONCES. -BODY</v>
      </c>
      <c r="AV725" s="899">
        <f>IFERROR(INDEX(V725:AG725,1,MATCH(Parametres!$B$3,V$1:AG$1,0)-1)*IF(OR(C725="L",C725="S",C725="I"),-1,1),"")</f>
        <v>19</v>
      </c>
      <c r="AW725" s="899">
        <f t="shared" si="71"/>
        <v>24</v>
      </c>
      <c r="AX725" s="899">
        <f>INDEX(V725:AG725,1,MATCH(Parametres!$B$3,V$1:AG$1,0))*IF(OR(C725="L",C725="S",C725="I"),-1,1)</f>
        <v>43</v>
      </c>
      <c r="AY725" s="487" t="s">
        <v>337</v>
      </c>
      <c r="AZ725" s="487" t="str">
        <f>+VLOOKUP($AJ725,Data_Validation!$A:$E,5,0)</f>
        <v>Oui</v>
      </c>
    </row>
    <row r="726" spans="1:52" ht="15" customHeight="1">
      <c r="A726" s="706" t="s">
        <v>1148</v>
      </c>
      <c r="B726" s="706">
        <v>2026</v>
      </c>
      <c r="C726" s="706" t="s">
        <v>2501</v>
      </c>
      <c r="D726" s="706" t="s">
        <v>2502</v>
      </c>
      <c r="E726" s="706" t="s">
        <v>1151</v>
      </c>
      <c r="F726" s="706" t="s">
        <v>1149</v>
      </c>
      <c r="G726" s="706">
        <v>0</v>
      </c>
      <c r="H726" s="706">
        <v>0</v>
      </c>
      <c r="I726" s="706">
        <v>0</v>
      </c>
      <c r="J726" s="706">
        <v>0</v>
      </c>
      <c r="K726" s="706">
        <v>845.5</v>
      </c>
      <c r="L726" s="706">
        <v>4409.1000000000004</v>
      </c>
      <c r="M726" s="706">
        <v>5004.05</v>
      </c>
      <c r="N726" s="706">
        <v>0</v>
      </c>
      <c r="O726" s="706">
        <v>0</v>
      </c>
      <c r="P726" s="706">
        <v>0</v>
      </c>
      <c r="Q726" s="706">
        <v>0</v>
      </c>
      <c r="R726" s="706">
        <v>0</v>
      </c>
      <c r="S726" s="706">
        <v>734.85</v>
      </c>
      <c r="T726" s="706">
        <v>734.85</v>
      </c>
      <c r="U726" s="706">
        <v>0</v>
      </c>
      <c r="V726" s="706">
        <v>0</v>
      </c>
      <c r="W726" s="706">
        <v>0</v>
      </c>
      <c r="X726" s="706">
        <v>0</v>
      </c>
      <c r="Y726" s="706">
        <v>0</v>
      </c>
      <c r="Z726" s="706">
        <v>5</v>
      </c>
      <c r="AA726" s="706">
        <v>24</v>
      </c>
      <c r="AB726" s="706">
        <v>30</v>
      </c>
      <c r="AC726" s="706">
        <v>0</v>
      </c>
      <c r="AD726" s="706">
        <v>0</v>
      </c>
      <c r="AE726" s="706">
        <v>0</v>
      </c>
      <c r="AF726" s="706">
        <v>0</v>
      </c>
      <c r="AG726" s="706">
        <v>0</v>
      </c>
      <c r="AH726" s="706">
        <v>4</v>
      </c>
      <c r="AI726" s="706">
        <v>4</v>
      </c>
      <c r="AJ726" s="905" t="str">
        <f t="shared" si="72"/>
        <v>G47110</v>
      </c>
      <c r="AK726" s="905" t="str">
        <f t="shared" si="73"/>
        <v>VTE - M.O MEC CLT BODY</v>
      </c>
      <c r="AL726" s="905">
        <f>IFERROR(INDEX(G726:R726,1,MATCH(Parametres!$B$3,G$1:R$1,0)-1)*IF(OR(F726="L",F726="S",F726="I"),-1,1),"")</f>
        <v>-845.5</v>
      </c>
      <c r="AM726" s="905">
        <f t="shared" si="68"/>
        <v>-3563.6000000000004</v>
      </c>
      <c r="AN726" s="905">
        <f>INDEX(G726:R726,1,MATCH(Parametres!$B$3,G$1:R$1,0))*IF(OR(F726="L",F726="S",F726="I"),-1,1)</f>
        <v>-4409.1000000000004</v>
      </c>
      <c r="AO726" s="487" t="str">
        <f>+VLOOKUP($AJ726,Data_Validation!$A:$D,1,0)</f>
        <v>G47110</v>
      </c>
      <c r="AP726" s="487" t="str">
        <f>+VLOOKUP($AJ726,Data_Validation!$A:$D,3,0)</f>
        <v>Carrosserie</v>
      </c>
      <c r="AQ726" s="487" t="str">
        <f>+VLOOKUP($AJ726,Data_Validation!$A:$D,4,0)</f>
        <v>Carrosserie Clients</v>
      </c>
      <c r="AR726" s="487" t="s">
        <v>299</v>
      </c>
      <c r="AS726" s="487" t="str">
        <f>+VLOOKUP($AJ726,Data_Validation!$A:$E,5,0)</f>
        <v>Oui</v>
      </c>
      <c r="AT726" s="904" t="str">
        <f t="shared" si="69"/>
        <v>G47110</v>
      </c>
      <c r="AU726" s="488" t="str">
        <f t="shared" si="70"/>
        <v>VTE - M.O MEC CLT BODY</v>
      </c>
      <c r="AV726" s="899">
        <f>IFERROR(INDEX(V726:AG726,1,MATCH(Parametres!$B$3,V$1:AG$1,0)-1)*IF(OR(C726="L",C726="S",C726="I"),-1,1),"")</f>
        <v>5</v>
      </c>
      <c r="AW726" s="899">
        <f t="shared" si="71"/>
        <v>19</v>
      </c>
      <c r="AX726" s="899">
        <f>INDEX(V726:AG726,1,MATCH(Parametres!$B$3,V$1:AG$1,0))*IF(OR(C726="L",C726="S",C726="I"),-1,1)</f>
        <v>24</v>
      </c>
      <c r="AY726" s="487" t="s">
        <v>337</v>
      </c>
      <c r="AZ726" s="487" t="str">
        <f>+VLOOKUP($AJ726,Data_Validation!$A:$E,5,0)</f>
        <v>Oui</v>
      </c>
    </row>
    <row r="727" spans="1:52" ht="15" customHeight="1">
      <c r="A727" s="706" t="s">
        <v>1148</v>
      </c>
      <c r="B727" s="706">
        <v>2026</v>
      </c>
      <c r="C727" s="706" t="s">
        <v>2503</v>
      </c>
      <c r="D727" s="706" t="s">
        <v>2504</v>
      </c>
      <c r="E727" s="706" t="s">
        <v>1151</v>
      </c>
      <c r="F727" s="706" t="s">
        <v>1149</v>
      </c>
      <c r="G727" s="706">
        <v>0</v>
      </c>
      <c r="H727" s="706">
        <v>0</v>
      </c>
      <c r="I727" s="706">
        <v>0</v>
      </c>
      <c r="J727" s="706">
        <v>0</v>
      </c>
      <c r="K727" s="706">
        <v>386</v>
      </c>
      <c r="L727" s="706">
        <v>386</v>
      </c>
      <c r="M727" s="706">
        <v>386</v>
      </c>
      <c r="N727" s="706">
        <v>0</v>
      </c>
      <c r="O727" s="706">
        <v>0</v>
      </c>
      <c r="P727" s="706">
        <v>0</v>
      </c>
      <c r="Q727" s="706">
        <v>0</v>
      </c>
      <c r="R727" s="706">
        <v>0</v>
      </c>
      <c r="S727" s="706">
        <v>64.33</v>
      </c>
      <c r="T727" s="706">
        <v>64.33</v>
      </c>
      <c r="U727" s="706">
        <v>0</v>
      </c>
      <c r="V727" s="706">
        <v>0</v>
      </c>
      <c r="W727" s="706">
        <v>0</v>
      </c>
      <c r="X727" s="706">
        <v>0</v>
      </c>
      <c r="Y727" s="706">
        <v>0</v>
      </c>
      <c r="Z727" s="706">
        <v>1</v>
      </c>
      <c r="AA727" s="706">
        <v>1</v>
      </c>
      <c r="AB727" s="706">
        <v>1</v>
      </c>
      <c r="AC727" s="706">
        <v>0</v>
      </c>
      <c r="AD727" s="706">
        <v>0</v>
      </c>
      <c r="AE727" s="706">
        <v>0</v>
      </c>
      <c r="AF727" s="706">
        <v>0</v>
      </c>
      <c r="AG727" s="706">
        <v>0</v>
      </c>
      <c r="AH727" s="706">
        <v>0</v>
      </c>
      <c r="AI727" s="706">
        <v>0</v>
      </c>
      <c r="AJ727" s="905" t="str">
        <f t="shared" si="72"/>
        <v>G47115</v>
      </c>
      <c r="AK727" s="905" t="str">
        <f t="shared" si="73"/>
        <v>VTE -M.O CONCES MEC-BODY</v>
      </c>
      <c r="AL727" s="905">
        <f>IFERROR(INDEX(G727:R727,1,MATCH(Parametres!$B$3,G$1:R$1,0)-1)*IF(OR(F727="L",F727="S",F727="I"),-1,1),"")</f>
        <v>-386</v>
      </c>
      <c r="AM727" s="905">
        <f t="shared" si="68"/>
        <v>0</v>
      </c>
      <c r="AN727" s="905">
        <f>INDEX(G727:R727,1,MATCH(Parametres!$B$3,G$1:R$1,0))*IF(OR(F727="L",F727="S",F727="I"),-1,1)</f>
        <v>-386</v>
      </c>
      <c r="AO727" s="487" t="str">
        <f>+VLOOKUP($AJ727,Data_Validation!$A:$D,1,0)</f>
        <v>G47115</v>
      </c>
      <c r="AP727" s="487" t="str">
        <f>+VLOOKUP($AJ727,Data_Validation!$A:$D,3,0)</f>
        <v>Carrosserie</v>
      </c>
      <c r="AQ727" s="487" t="str">
        <f>+VLOOKUP($AJ727,Data_Validation!$A:$D,4,0)</f>
        <v>Carrosserie Concessions</v>
      </c>
      <c r="AR727" s="487" t="s">
        <v>299</v>
      </c>
      <c r="AS727" s="487" t="str">
        <f>+VLOOKUP($AJ727,Data_Validation!$A:$E,5,0)</f>
        <v>Oui</v>
      </c>
      <c r="AT727" s="904" t="str">
        <f t="shared" si="69"/>
        <v>G47115</v>
      </c>
      <c r="AU727" s="488" t="str">
        <f t="shared" si="70"/>
        <v>VTE -M.O CONCES MEC-BODY</v>
      </c>
      <c r="AV727" s="899">
        <f>IFERROR(INDEX(V727:AG727,1,MATCH(Parametres!$B$3,V$1:AG$1,0)-1)*IF(OR(C727="L",C727="S",C727="I"),-1,1),"")</f>
        <v>1</v>
      </c>
      <c r="AW727" s="899">
        <f t="shared" si="71"/>
        <v>0</v>
      </c>
      <c r="AX727" s="899">
        <f>INDEX(V727:AG727,1,MATCH(Parametres!$B$3,V$1:AG$1,0))*IF(OR(C727="L",C727="S",C727="I"),-1,1)</f>
        <v>1</v>
      </c>
      <c r="AY727" s="487" t="s">
        <v>337</v>
      </c>
      <c r="AZ727" s="487" t="str">
        <f>+VLOOKUP($AJ727,Data_Validation!$A:$E,5,0)</f>
        <v>Oui</v>
      </c>
    </row>
    <row r="728" spans="1:52" ht="15" customHeight="1">
      <c r="A728" s="706" t="s">
        <v>1148</v>
      </c>
      <c r="B728" s="706">
        <v>2026</v>
      </c>
      <c r="C728" s="706" t="s">
        <v>2505</v>
      </c>
      <c r="D728" s="706" t="s">
        <v>2506</v>
      </c>
      <c r="E728" s="706" t="s">
        <v>333</v>
      </c>
      <c r="F728" s="706" t="s">
        <v>1149</v>
      </c>
      <c r="G728" s="706">
        <v>0</v>
      </c>
      <c r="H728" s="706">
        <v>0</v>
      </c>
      <c r="I728" s="706">
        <v>0</v>
      </c>
      <c r="J728" s="706">
        <v>0</v>
      </c>
      <c r="K728" s="706">
        <v>0</v>
      </c>
      <c r="L728" s="706">
        <v>-4238.93</v>
      </c>
      <c r="M728" s="706">
        <v>-9167.43</v>
      </c>
      <c r="N728" s="706">
        <v>0</v>
      </c>
      <c r="O728" s="706">
        <v>0</v>
      </c>
      <c r="P728" s="706">
        <v>0</v>
      </c>
      <c r="Q728" s="706">
        <v>0</v>
      </c>
      <c r="R728" s="706">
        <v>0</v>
      </c>
      <c r="S728" s="706">
        <v>-706.49</v>
      </c>
      <c r="T728" s="706">
        <v>-706.49</v>
      </c>
      <c r="U728" s="706">
        <v>0</v>
      </c>
      <c r="V728" s="706">
        <v>0</v>
      </c>
      <c r="W728" s="706">
        <v>0</v>
      </c>
      <c r="X728" s="706">
        <v>0</v>
      </c>
      <c r="Y728" s="706">
        <v>0</v>
      </c>
      <c r="Z728" s="706">
        <v>0</v>
      </c>
      <c r="AA728" s="706">
        <v>-1</v>
      </c>
      <c r="AB728" s="706">
        <v>-2</v>
      </c>
      <c r="AC728" s="706">
        <v>0</v>
      </c>
      <c r="AD728" s="706">
        <v>0</v>
      </c>
      <c r="AE728" s="706">
        <v>0</v>
      </c>
      <c r="AF728" s="706">
        <v>0</v>
      </c>
      <c r="AG728" s="706">
        <v>0</v>
      </c>
      <c r="AH728" s="706">
        <v>0</v>
      </c>
      <c r="AI728" s="706">
        <v>0</v>
      </c>
      <c r="AJ728" s="905" t="str">
        <f t="shared" si="72"/>
        <v>G47125</v>
      </c>
      <c r="AK728" s="905" t="str">
        <f t="shared" si="73"/>
        <v>RISTOURNE M.O CONC.BODY</v>
      </c>
      <c r="AL728" s="905">
        <f>IFERROR(INDEX(G728:R728,1,MATCH(Parametres!$B$3,G$1:R$1,0)-1)*IF(OR(F728="L",F728="S",F728="I"),-1,1),"")</f>
        <v>0</v>
      </c>
      <c r="AM728" s="905">
        <f t="shared" si="68"/>
        <v>4238.93</v>
      </c>
      <c r="AN728" s="905">
        <f>INDEX(G728:R728,1,MATCH(Parametres!$B$3,G$1:R$1,0))*IF(OR(F728="L",F728="S",F728="I"),-1,1)</f>
        <v>4238.93</v>
      </c>
      <c r="AO728" s="487" t="str">
        <f>+VLOOKUP($AJ728,Data_Validation!$A:$D,1,0)</f>
        <v>G47125</v>
      </c>
      <c r="AP728" s="487" t="str">
        <f>+VLOOKUP($AJ728,Data_Validation!$A:$D,3,0)</f>
        <v>Carrosserie</v>
      </c>
      <c r="AQ728" s="487" t="str">
        <f>+VLOOKUP($AJ728,Data_Validation!$A:$D,4,0)</f>
        <v>Carrosserie Concessions</v>
      </c>
      <c r="AR728" s="487" t="s">
        <v>299</v>
      </c>
      <c r="AS728" s="487" t="str">
        <f>+VLOOKUP($AJ728,Data_Validation!$A:$E,5,0)</f>
        <v>Oui</v>
      </c>
      <c r="AT728" s="904" t="str">
        <f t="shared" si="69"/>
        <v>G47125</v>
      </c>
      <c r="AU728" s="488" t="str">
        <f t="shared" si="70"/>
        <v>RISTOURNE M.O CONC.BODY</v>
      </c>
      <c r="AV728" s="899">
        <f>IFERROR(INDEX(V728:AG728,1,MATCH(Parametres!$B$3,V$1:AG$1,0)-1)*IF(OR(C728="L",C728="S",C728="I"),-1,1),"")</f>
        <v>0</v>
      </c>
      <c r="AW728" s="899">
        <f t="shared" si="71"/>
        <v>-1</v>
      </c>
      <c r="AX728" s="899">
        <f>INDEX(V728:AG728,1,MATCH(Parametres!$B$3,V$1:AG$1,0))*IF(OR(C728="L",C728="S",C728="I"),-1,1)</f>
        <v>-1</v>
      </c>
      <c r="AY728" s="487" t="s">
        <v>337</v>
      </c>
      <c r="AZ728" s="487" t="str">
        <f>+VLOOKUP($AJ728,Data_Validation!$A:$E,5,0)</f>
        <v>Oui</v>
      </c>
    </row>
    <row r="729" spans="1:52" ht="15" customHeight="1">
      <c r="A729" s="706" t="s">
        <v>1148</v>
      </c>
      <c r="B729" s="706">
        <v>2026</v>
      </c>
      <c r="C729" s="706" t="s">
        <v>2507</v>
      </c>
      <c r="D729" s="706" t="s">
        <v>2508</v>
      </c>
      <c r="E729" s="706" t="s">
        <v>1151</v>
      </c>
      <c r="F729" s="706" t="s">
        <v>1149</v>
      </c>
      <c r="G729" s="706">
        <v>176.85</v>
      </c>
      <c r="H729" s="706">
        <v>176.85</v>
      </c>
      <c r="I729" s="706">
        <v>176.85</v>
      </c>
      <c r="J729" s="706">
        <v>559.39</v>
      </c>
      <c r="K729" s="706">
        <v>559.39</v>
      </c>
      <c r="L729" s="706">
        <v>559.39</v>
      </c>
      <c r="M729" s="706">
        <v>559.39</v>
      </c>
      <c r="N729" s="706">
        <v>0</v>
      </c>
      <c r="O729" s="706">
        <v>0</v>
      </c>
      <c r="P729" s="706">
        <v>0</v>
      </c>
      <c r="Q729" s="706">
        <v>0</v>
      </c>
      <c r="R729" s="706">
        <v>0</v>
      </c>
      <c r="S729" s="706">
        <v>93.23</v>
      </c>
      <c r="T729" s="706">
        <v>93.23</v>
      </c>
      <c r="U729" s="706">
        <v>0</v>
      </c>
      <c r="V729" s="706">
        <v>1</v>
      </c>
      <c r="W729" s="706">
        <v>1</v>
      </c>
      <c r="X729" s="706">
        <v>1</v>
      </c>
      <c r="Y729" s="706">
        <v>2</v>
      </c>
      <c r="Z729" s="706">
        <v>2</v>
      </c>
      <c r="AA729" s="706">
        <v>2</v>
      </c>
      <c r="AB729" s="706">
        <v>2</v>
      </c>
      <c r="AC729" s="706">
        <v>0</v>
      </c>
      <c r="AD729" s="706">
        <v>0</v>
      </c>
      <c r="AE729" s="706">
        <v>0</v>
      </c>
      <c r="AF729" s="706">
        <v>0</v>
      </c>
      <c r="AG729" s="706">
        <v>0</v>
      </c>
      <c r="AH729" s="706">
        <v>0</v>
      </c>
      <c r="AI729" s="706">
        <v>0</v>
      </c>
      <c r="AJ729" s="905" t="str">
        <f t="shared" si="72"/>
        <v>G47200</v>
      </c>
      <c r="AK729" s="905" t="str">
        <f t="shared" si="73"/>
        <v>VTES-M.D. CARROS.GARANTIE</v>
      </c>
      <c r="AL729" s="905">
        <f>IFERROR(INDEX(G729:R729,1,MATCH(Parametres!$B$3,G$1:R$1,0)-1)*IF(OR(F729="L",F729="S",F729="I"),-1,1),"")</f>
        <v>-559.39</v>
      </c>
      <c r="AM729" s="905">
        <f t="shared" si="68"/>
        <v>0</v>
      </c>
      <c r="AN729" s="905">
        <f>INDEX(G729:R729,1,MATCH(Parametres!$B$3,G$1:R$1,0))*IF(OR(F729="L",F729="S",F729="I"),-1,1)</f>
        <v>-559.39</v>
      </c>
      <c r="AO729" s="487" t="str">
        <f>+VLOOKUP($AJ729,Data_Validation!$A:$D,1,0)</f>
        <v>G47200</v>
      </c>
      <c r="AP729" s="487" t="str">
        <f>+VLOOKUP($AJ729,Data_Validation!$A:$D,3,0)</f>
        <v>Carrosserie</v>
      </c>
      <c r="AQ729" s="487" t="str">
        <f>+VLOOKUP($AJ729,Data_Validation!$A:$D,4,0)</f>
        <v>Carrosserie Interne</v>
      </c>
      <c r="AR729" s="487" t="s">
        <v>299</v>
      </c>
      <c r="AS729" s="487" t="str">
        <f>+VLOOKUP($AJ729,Data_Validation!$A:$E,5,0)</f>
        <v>Oui</v>
      </c>
      <c r="AT729" s="904" t="str">
        <f t="shared" si="69"/>
        <v>G47200</v>
      </c>
      <c r="AU729" s="488" t="str">
        <f t="shared" si="70"/>
        <v>VTES-M.D. CARROS.GARANTIE</v>
      </c>
      <c r="AV729" s="899">
        <f>IFERROR(INDEX(V729:AG729,1,MATCH(Parametres!$B$3,V$1:AG$1,0)-1)*IF(OR(C729="L",C729="S",C729="I"),-1,1),"")</f>
        <v>2</v>
      </c>
      <c r="AW729" s="899">
        <f t="shared" si="71"/>
        <v>0</v>
      </c>
      <c r="AX729" s="899">
        <f>INDEX(V729:AG729,1,MATCH(Parametres!$B$3,V$1:AG$1,0))*IF(OR(C729="L",C729="S",C729="I"),-1,1)</f>
        <v>2</v>
      </c>
      <c r="AY729" s="487" t="s">
        <v>337</v>
      </c>
      <c r="AZ729" s="487" t="str">
        <f>+VLOOKUP($AJ729,Data_Validation!$A:$E,5,0)</f>
        <v>Oui</v>
      </c>
    </row>
    <row r="730" spans="1:52" ht="15" customHeight="1">
      <c r="A730" s="706" t="s">
        <v>1148</v>
      </c>
      <c r="B730" s="706">
        <v>2026</v>
      </c>
      <c r="C730" s="706" t="s">
        <v>2509</v>
      </c>
      <c r="D730" s="706" t="s">
        <v>3327</v>
      </c>
      <c r="E730" s="706" t="s">
        <v>1151</v>
      </c>
      <c r="F730" s="706" t="s">
        <v>1149</v>
      </c>
      <c r="G730" s="706">
        <v>3884</v>
      </c>
      <c r="H730" s="706">
        <v>11349.2</v>
      </c>
      <c r="I730" s="706">
        <v>15516.7</v>
      </c>
      <c r="J730" s="706">
        <v>19788.2</v>
      </c>
      <c r="K730" s="706">
        <v>23844.5</v>
      </c>
      <c r="L730" s="706">
        <v>27952.25</v>
      </c>
      <c r="M730" s="706">
        <v>28582.25</v>
      </c>
      <c r="N730" s="706">
        <v>0</v>
      </c>
      <c r="O730" s="706">
        <v>0</v>
      </c>
      <c r="P730" s="706">
        <v>0</v>
      </c>
      <c r="Q730" s="706">
        <v>0</v>
      </c>
      <c r="R730" s="706">
        <v>0</v>
      </c>
      <c r="S730" s="706">
        <v>4658.71</v>
      </c>
      <c r="T730" s="706">
        <v>4658.71</v>
      </c>
      <c r="U730" s="706">
        <v>0</v>
      </c>
      <c r="V730" s="706">
        <v>4</v>
      </c>
      <c r="W730" s="706">
        <v>15</v>
      </c>
      <c r="X730" s="706">
        <v>27</v>
      </c>
      <c r="Y730" s="706">
        <v>33</v>
      </c>
      <c r="Z730" s="706">
        <v>40</v>
      </c>
      <c r="AA730" s="706">
        <v>48</v>
      </c>
      <c r="AB730" s="706">
        <v>50</v>
      </c>
      <c r="AC730" s="706">
        <v>0</v>
      </c>
      <c r="AD730" s="706">
        <v>0</v>
      </c>
      <c r="AE730" s="706">
        <v>0</v>
      </c>
      <c r="AF730" s="706">
        <v>0</v>
      </c>
      <c r="AG730" s="706">
        <v>0</v>
      </c>
      <c r="AH730" s="706">
        <v>8</v>
      </c>
      <c r="AI730" s="706">
        <v>8</v>
      </c>
      <c r="AJ730" s="905" t="str">
        <f t="shared" si="72"/>
        <v>G47300</v>
      </c>
      <c r="AK730" s="905" t="str">
        <f t="shared" si="73"/>
        <v>VTE -M.D. CARROS.INTERNE</v>
      </c>
      <c r="AL730" s="905">
        <f>IFERROR(INDEX(G730:R730,1,MATCH(Parametres!$B$3,G$1:R$1,0)-1)*IF(OR(F730="L",F730="S",F730="I"),-1,1),"")</f>
        <v>-23844.5</v>
      </c>
      <c r="AM730" s="905">
        <f t="shared" si="68"/>
        <v>-4107.75</v>
      </c>
      <c r="AN730" s="905">
        <f>INDEX(G730:R730,1,MATCH(Parametres!$B$3,G$1:R$1,0))*IF(OR(F730="L",F730="S",F730="I"),-1,1)</f>
        <v>-27952.25</v>
      </c>
      <c r="AO730" s="487" t="str">
        <f>+VLOOKUP($AJ730,Data_Validation!$A:$D,1,0)</f>
        <v>G47300</v>
      </c>
      <c r="AP730" s="487" t="str">
        <f>+VLOOKUP($AJ730,Data_Validation!$A:$D,3,0)</f>
        <v>Carrosserie</v>
      </c>
      <c r="AQ730" s="487" t="str">
        <f>+VLOOKUP($AJ730,Data_Validation!$A:$D,4,0)</f>
        <v>Carrosserie Interne</v>
      </c>
      <c r="AR730" s="487" t="s">
        <v>299</v>
      </c>
      <c r="AS730" s="487" t="str">
        <f>+VLOOKUP($AJ730,Data_Validation!$A:$E,5,0)</f>
        <v>Oui</v>
      </c>
      <c r="AT730" s="904" t="str">
        <f t="shared" si="69"/>
        <v>G47300</v>
      </c>
      <c r="AU730" s="488" t="str">
        <f t="shared" si="70"/>
        <v>VTE -M.D. CARROS.INTERNE</v>
      </c>
      <c r="AV730" s="899">
        <f>IFERROR(INDEX(V730:AG730,1,MATCH(Parametres!$B$3,V$1:AG$1,0)-1)*IF(OR(C730="L",C730="S",C730="I"),-1,1),"")</f>
        <v>40</v>
      </c>
      <c r="AW730" s="899">
        <f t="shared" si="71"/>
        <v>8</v>
      </c>
      <c r="AX730" s="899">
        <f>INDEX(V730:AG730,1,MATCH(Parametres!$B$3,V$1:AG$1,0))*IF(OR(C730="L",C730="S",C730="I"),-1,1)</f>
        <v>48</v>
      </c>
      <c r="AY730" s="487" t="s">
        <v>337</v>
      </c>
      <c r="AZ730" s="487" t="str">
        <f>+VLOOKUP($AJ730,Data_Validation!$A:$E,5,0)</f>
        <v>Oui</v>
      </c>
    </row>
    <row r="731" spans="1:52" ht="15" customHeight="1">
      <c r="A731" s="706" t="s">
        <v>1148</v>
      </c>
      <c r="B731" s="706">
        <v>2026</v>
      </c>
      <c r="C731" s="706" t="s">
        <v>2511</v>
      </c>
      <c r="D731" s="706" t="s">
        <v>3328</v>
      </c>
      <c r="E731" s="706" t="s">
        <v>1151</v>
      </c>
      <c r="F731" s="706" t="s">
        <v>1149</v>
      </c>
      <c r="G731" s="706">
        <v>0</v>
      </c>
      <c r="H731" s="706">
        <v>0</v>
      </c>
      <c r="I731" s="706">
        <v>0</v>
      </c>
      <c r="J731" s="706">
        <v>0</v>
      </c>
      <c r="K731" s="706">
        <v>817.5</v>
      </c>
      <c r="L731" s="706">
        <v>1843.5</v>
      </c>
      <c r="M731" s="706">
        <v>2293.5</v>
      </c>
      <c r="N731" s="706">
        <v>0</v>
      </c>
      <c r="O731" s="706">
        <v>0</v>
      </c>
      <c r="P731" s="706">
        <v>0</v>
      </c>
      <c r="Q731" s="706">
        <v>0</v>
      </c>
      <c r="R731" s="706">
        <v>0</v>
      </c>
      <c r="S731" s="706">
        <v>307.25</v>
      </c>
      <c r="T731" s="706">
        <v>307.25</v>
      </c>
      <c r="U731" s="706">
        <v>0</v>
      </c>
      <c r="V731" s="706">
        <v>0</v>
      </c>
      <c r="W731" s="706">
        <v>0</v>
      </c>
      <c r="X731" s="706">
        <v>0</v>
      </c>
      <c r="Y731" s="706">
        <v>0</v>
      </c>
      <c r="Z731" s="706">
        <v>4</v>
      </c>
      <c r="AA731" s="706">
        <v>10</v>
      </c>
      <c r="AB731" s="706">
        <v>12</v>
      </c>
      <c r="AC731" s="706">
        <v>0</v>
      </c>
      <c r="AD731" s="706">
        <v>0</v>
      </c>
      <c r="AE731" s="706">
        <v>0</v>
      </c>
      <c r="AF731" s="706">
        <v>0</v>
      </c>
      <c r="AG731" s="706">
        <v>0</v>
      </c>
      <c r="AH731" s="706">
        <v>2</v>
      </c>
      <c r="AI731" s="706">
        <v>2</v>
      </c>
      <c r="AJ731" s="905" t="str">
        <f t="shared" si="72"/>
        <v>G47303</v>
      </c>
      <c r="AK731" s="905" t="str">
        <f t="shared" si="73"/>
        <v>VTE -M.D. PEINTURE INT</v>
      </c>
      <c r="AL731" s="905">
        <f>IFERROR(INDEX(G731:R731,1,MATCH(Parametres!$B$3,G$1:R$1,0)-1)*IF(OR(F731="L",F731="S",F731="I"),-1,1),"")</f>
        <v>-817.5</v>
      </c>
      <c r="AM731" s="905">
        <f t="shared" si="68"/>
        <v>-1026</v>
      </c>
      <c r="AN731" s="905">
        <f>INDEX(G731:R731,1,MATCH(Parametres!$B$3,G$1:R$1,0))*IF(OR(F731="L",F731="S",F731="I"),-1,1)</f>
        <v>-1843.5</v>
      </c>
      <c r="AO731" s="487" t="str">
        <f>+VLOOKUP($AJ731,Data_Validation!$A:$D,1,0)</f>
        <v>G47303</v>
      </c>
      <c r="AP731" s="487" t="str">
        <f>+VLOOKUP($AJ731,Data_Validation!$A:$D,3,0)</f>
        <v>Carrosserie</v>
      </c>
      <c r="AQ731" s="487" t="str">
        <f>+VLOOKUP($AJ731,Data_Validation!$A:$D,4,0)</f>
        <v>Carrosserie Interne</v>
      </c>
      <c r="AR731" s="487" t="s">
        <v>299</v>
      </c>
      <c r="AS731" s="487" t="str">
        <f>+VLOOKUP($AJ731,Data_Validation!$A:$E,5,0)</f>
        <v>Oui</v>
      </c>
      <c r="AT731" s="904" t="str">
        <f t="shared" si="69"/>
        <v>G47303</v>
      </c>
      <c r="AU731" s="488" t="str">
        <f t="shared" si="70"/>
        <v>VTE -M.D. PEINTURE INT</v>
      </c>
      <c r="AV731" s="899">
        <f>IFERROR(INDEX(V731:AG731,1,MATCH(Parametres!$B$3,V$1:AG$1,0)-1)*IF(OR(C731="L",C731="S",C731="I"),-1,1),"")</f>
        <v>4</v>
      </c>
      <c r="AW731" s="899">
        <f t="shared" si="71"/>
        <v>6</v>
      </c>
      <c r="AX731" s="899">
        <f>INDEX(V731:AG731,1,MATCH(Parametres!$B$3,V$1:AG$1,0))*IF(OR(C731="L",C731="S",C731="I"),-1,1)</f>
        <v>10</v>
      </c>
      <c r="AY731" s="487" t="s">
        <v>337</v>
      </c>
      <c r="AZ731" s="487" t="str">
        <f>+VLOOKUP($AJ731,Data_Validation!$A:$E,5,0)</f>
        <v>Oui</v>
      </c>
    </row>
    <row r="732" spans="1:52" ht="15" customHeight="1">
      <c r="A732" s="706" t="s">
        <v>1148</v>
      </c>
      <c r="B732" s="706">
        <v>2026</v>
      </c>
      <c r="C732" s="706" t="s">
        <v>2513</v>
      </c>
      <c r="D732" s="706" t="s">
        <v>2514</v>
      </c>
      <c r="E732" s="706" t="s">
        <v>1151</v>
      </c>
      <c r="F732" s="706" t="s">
        <v>1149</v>
      </c>
      <c r="G732" s="706">
        <v>0</v>
      </c>
      <c r="H732" s="706">
        <v>0</v>
      </c>
      <c r="I732" s="706">
        <v>0</v>
      </c>
      <c r="J732" s="706">
        <v>0</v>
      </c>
      <c r="K732" s="706">
        <v>0</v>
      </c>
      <c r="L732" s="706">
        <v>0</v>
      </c>
      <c r="M732" s="706">
        <v>0</v>
      </c>
      <c r="N732" s="706">
        <v>0</v>
      </c>
      <c r="O732" s="706">
        <v>0</v>
      </c>
      <c r="P732" s="706">
        <v>0</v>
      </c>
      <c r="Q732" s="706">
        <v>0</v>
      </c>
      <c r="R732" s="706">
        <v>0</v>
      </c>
      <c r="S732" s="706">
        <v>0</v>
      </c>
      <c r="T732" s="706">
        <v>0</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G47313</v>
      </c>
      <c r="AK732" s="905" t="str">
        <f t="shared" si="73"/>
        <v>VTE -M.O MEC INTERN-BODY</v>
      </c>
      <c r="AL732" s="905">
        <f>IFERROR(INDEX(G732:R732,1,MATCH(Parametres!$B$3,G$1:R$1,0)-1)*IF(OR(F732="L",F732="S",F732="I"),-1,1),"")</f>
        <v>0</v>
      </c>
      <c r="AM732" s="905">
        <f t="shared" si="68"/>
        <v>0</v>
      </c>
      <c r="AN732" s="905">
        <f>INDEX(G732:R732,1,MATCH(Parametres!$B$3,G$1:R$1,0))*IF(OR(F732="L",F732="S",F732="I"),-1,1)</f>
        <v>0</v>
      </c>
      <c r="AO732" s="487" t="str">
        <f>+VLOOKUP($AJ732,Data_Validation!$A:$D,1,0)</f>
        <v>G47313</v>
      </c>
      <c r="AP732" s="487" t="str">
        <f>+VLOOKUP($AJ732,Data_Validation!$A:$D,3,0)</f>
        <v>Carrosserie</v>
      </c>
      <c r="AQ732" s="487" t="str">
        <f>+VLOOKUP($AJ732,Data_Validation!$A:$D,4,0)</f>
        <v>Carrosserie Interne</v>
      </c>
      <c r="AR732" s="487" t="s">
        <v>299</v>
      </c>
      <c r="AS732" s="487" t="str">
        <f>+VLOOKUP($AJ732,Data_Validation!$A:$E,5,0)</f>
        <v>Oui</v>
      </c>
      <c r="AT732" s="904" t="str">
        <f t="shared" si="69"/>
        <v>G47313</v>
      </c>
      <c r="AU732" s="488" t="str">
        <f t="shared" si="70"/>
        <v>VTE -M.O MEC INTERN-BODY</v>
      </c>
      <c r="AV732" s="899">
        <f>IFERROR(INDEX(V732:AG732,1,MATCH(Parametres!$B$3,V$1:AG$1,0)-1)*IF(OR(C732="L",C732="S",C732="I"),-1,1),"")</f>
        <v>0</v>
      </c>
      <c r="AW732" s="899">
        <f t="shared" si="71"/>
        <v>0</v>
      </c>
      <c r="AX732" s="899">
        <f>INDEX(V732:AG732,1,MATCH(Parametres!$B$3,V$1:AG$1,0))*IF(OR(C732="L",C732="S",C732="I"),-1,1)</f>
        <v>0</v>
      </c>
      <c r="AY732" s="487" t="s">
        <v>337</v>
      </c>
      <c r="AZ732" s="487" t="str">
        <f>+VLOOKUP($AJ732,Data_Validation!$A:$E,5,0)</f>
        <v>Oui</v>
      </c>
    </row>
    <row r="733" spans="1:52" ht="15" customHeight="1">
      <c r="A733" s="706" t="s">
        <v>1148</v>
      </c>
      <c r="B733" s="706">
        <v>2026</v>
      </c>
      <c r="C733" s="706" t="s">
        <v>2515</v>
      </c>
      <c r="D733" s="706" t="s">
        <v>2516</v>
      </c>
      <c r="E733" s="706" t="s">
        <v>333</v>
      </c>
      <c r="F733" s="706" t="s">
        <v>1149</v>
      </c>
      <c r="G733" s="706">
        <v>0</v>
      </c>
      <c r="H733" s="706">
        <v>0</v>
      </c>
      <c r="I733" s="706">
        <v>0</v>
      </c>
      <c r="J733" s="706">
        <v>0</v>
      </c>
      <c r="K733" s="706">
        <v>0</v>
      </c>
      <c r="L733" s="706">
        <v>0</v>
      </c>
      <c r="M733" s="706">
        <v>0</v>
      </c>
      <c r="N733" s="706">
        <v>0</v>
      </c>
      <c r="O733" s="706">
        <v>0</v>
      </c>
      <c r="P733" s="706">
        <v>0</v>
      </c>
      <c r="Q733" s="706">
        <v>0</v>
      </c>
      <c r="R733" s="706">
        <v>0</v>
      </c>
      <c r="S733" s="706">
        <v>0</v>
      </c>
      <c r="T733" s="706">
        <v>0</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G47500</v>
      </c>
      <c r="AK733" s="905" t="str">
        <f t="shared" si="73"/>
        <v>*TEMPS PERDU CARROSSERIE</v>
      </c>
      <c r="AL733" s="905">
        <f>IFERROR(INDEX(G733:R733,1,MATCH(Parametres!$B$3,G$1:R$1,0)-1)*IF(OR(F733="L",F733="S",F733="I"),-1,1),"")</f>
        <v>0</v>
      </c>
      <c r="AM733" s="905">
        <f t="shared" si="68"/>
        <v>0</v>
      </c>
      <c r="AN733" s="905">
        <f>INDEX(G733:R733,1,MATCH(Parametres!$B$3,G$1:R$1,0))*IF(OR(F733="L",F733="S",F733="I"),-1,1)</f>
        <v>0</v>
      </c>
      <c r="AO733" s="487" t="str">
        <f>+VLOOKUP($AJ733,Data_Validation!$A:$D,1,0)</f>
        <v>G47500</v>
      </c>
      <c r="AP733" s="487" t="str">
        <f>+VLOOKUP($AJ733,Data_Validation!$A:$D,3,0)</f>
        <v>Carrosserie</v>
      </c>
      <c r="AQ733" s="487" t="str">
        <f>+VLOOKUP($AJ733,Data_Validation!$A:$D,4,0)</f>
        <v>Ajustement M/O Carrosserie</v>
      </c>
      <c r="AR733" s="487" t="s">
        <v>299</v>
      </c>
      <c r="AS733" s="487" t="str">
        <f>+VLOOKUP($AJ733,Data_Validation!$A:$E,5,0)</f>
        <v>Oui</v>
      </c>
      <c r="AT733" s="904" t="str">
        <f t="shared" si="69"/>
        <v>G47500</v>
      </c>
      <c r="AU733" s="488" t="str">
        <f t="shared" si="70"/>
        <v>*TEMPS PERDU CARROSSERIE</v>
      </c>
      <c r="AV733" s="899">
        <f>IFERROR(INDEX(V733:AG733,1,MATCH(Parametres!$B$3,V$1:AG$1,0)-1)*IF(OR(C733="L",C733="S",C733="I"),-1,1),"")</f>
        <v>0</v>
      </c>
      <c r="AW733" s="899">
        <f t="shared" si="71"/>
        <v>0</v>
      </c>
      <c r="AX733" s="899">
        <f>INDEX(V733:AG733,1,MATCH(Parametres!$B$3,V$1:AG$1,0))*IF(OR(C733="L",C733="S",C733="I"),-1,1)</f>
        <v>0</v>
      </c>
      <c r="AY733" s="487" t="s">
        <v>337</v>
      </c>
      <c r="AZ733" s="487" t="str">
        <f>+VLOOKUP($AJ733,Data_Validation!$A:$E,5,0)</f>
        <v>Oui</v>
      </c>
    </row>
    <row r="734" spans="1:52" ht="15" customHeight="1">
      <c r="A734" s="706" t="s">
        <v>1148</v>
      </c>
      <c r="B734" s="706">
        <v>2026</v>
      </c>
      <c r="C734" s="706" t="s">
        <v>2517</v>
      </c>
      <c r="D734" s="706" t="s">
        <v>2518</v>
      </c>
      <c r="E734" s="706" t="s">
        <v>1151</v>
      </c>
      <c r="F734" s="706" t="s">
        <v>1149</v>
      </c>
      <c r="G734" s="706">
        <v>95129.18</v>
      </c>
      <c r="H734" s="706">
        <v>187039.21</v>
      </c>
      <c r="I734" s="706">
        <v>259663.73</v>
      </c>
      <c r="J734" s="706">
        <v>303769.32</v>
      </c>
      <c r="K734" s="706">
        <v>337800.91</v>
      </c>
      <c r="L734" s="706">
        <v>389901.01</v>
      </c>
      <c r="M734" s="706">
        <v>404535.48</v>
      </c>
      <c r="N734" s="706">
        <v>0</v>
      </c>
      <c r="O734" s="706">
        <v>0</v>
      </c>
      <c r="P734" s="706">
        <v>0</v>
      </c>
      <c r="Q734" s="706">
        <v>0</v>
      </c>
      <c r="R734" s="706">
        <v>0</v>
      </c>
      <c r="S734" s="706">
        <v>64983.5</v>
      </c>
      <c r="T734" s="706">
        <v>64983.5</v>
      </c>
      <c r="U734" s="706">
        <v>0</v>
      </c>
      <c r="V734" s="706">
        <v>30</v>
      </c>
      <c r="W734" s="706">
        <v>70</v>
      </c>
      <c r="X734" s="706">
        <v>108</v>
      </c>
      <c r="Y734" s="706">
        <v>135</v>
      </c>
      <c r="Z734" s="706">
        <v>157</v>
      </c>
      <c r="AA734" s="706">
        <v>188</v>
      </c>
      <c r="AB734" s="706">
        <v>199</v>
      </c>
      <c r="AC734" s="706">
        <v>0</v>
      </c>
      <c r="AD734" s="706">
        <v>0</v>
      </c>
      <c r="AE734" s="706">
        <v>0</v>
      </c>
      <c r="AF734" s="706">
        <v>0</v>
      </c>
      <c r="AG734" s="706">
        <v>0</v>
      </c>
      <c r="AH734" s="706">
        <v>31</v>
      </c>
      <c r="AI734" s="706">
        <v>31</v>
      </c>
      <c r="AJ734" s="905" t="str">
        <f t="shared" si="72"/>
        <v>G47600</v>
      </c>
      <c r="AK734" s="905" t="str">
        <f t="shared" si="73"/>
        <v>VTES-REP.SOUS-TRAITE BODY</v>
      </c>
      <c r="AL734" s="905">
        <f>IFERROR(INDEX(G734:R734,1,MATCH(Parametres!$B$3,G$1:R$1,0)-1)*IF(OR(F734="L",F734="S",F734="I"),-1,1),"")</f>
        <v>-337800.91</v>
      </c>
      <c r="AM734" s="905">
        <f t="shared" si="68"/>
        <v>-52100.100000000035</v>
      </c>
      <c r="AN734" s="905">
        <f>INDEX(G734:R734,1,MATCH(Parametres!$B$3,G$1:R$1,0))*IF(OR(F734="L",F734="S",F734="I"),-1,1)</f>
        <v>-389901.01</v>
      </c>
      <c r="AO734" s="487" t="str">
        <f>+VLOOKUP($AJ734,Data_Validation!$A:$D,1,0)</f>
        <v>G47600</v>
      </c>
      <c r="AP734" s="487" t="str">
        <f>+VLOOKUP($AJ734,Data_Validation!$A:$D,3,0)</f>
        <v>Carrosserie</v>
      </c>
      <c r="AQ734" s="487" t="str">
        <f>+VLOOKUP($AJ734,Data_Validation!$A:$D,4,0)</f>
        <v>Carrosserie Clients</v>
      </c>
      <c r="AR734" s="487" t="s">
        <v>299</v>
      </c>
      <c r="AS734" s="487" t="str">
        <f>+VLOOKUP($AJ734,Data_Validation!$A:$E,5,0)</f>
        <v>Oui</v>
      </c>
      <c r="AT734" s="904" t="str">
        <f t="shared" si="69"/>
        <v>G47600</v>
      </c>
      <c r="AU734" s="488" t="str">
        <f t="shared" si="70"/>
        <v>VTES-REP.SOUS-TRAITE BODY</v>
      </c>
      <c r="AV734" s="899">
        <f>IFERROR(INDEX(V734:AG734,1,MATCH(Parametres!$B$3,V$1:AG$1,0)-1)*IF(OR(C734="L",C734="S",C734="I"),-1,1),"")</f>
        <v>157</v>
      </c>
      <c r="AW734" s="899">
        <f t="shared" si="71"/>
        <v>31</v>
      </c>
      <c r="AX734" s="899">
        <f>INDEX(V734:AG734,1,MATCH(Parametres!$B$3,V$1:AG$1,0))*IF(OR(C734="L",C734="S",C734="I"),-1,1)</f>
        <v>188</v>
      </c>
      <c r="AY734" s="487" t="s">
        <v>337</v>
      </c>
      <c r="AZ734" s="487" t="str">
        <f>+VLOOKUP($AJ734,Data_Validation!$A:$E,5,0)</f>
        <v>Oui</v>
      </c>
    </row>
    <row r="735" spans="1:52" ht="15" customHeight="1">
      <c r="A735" s="706" t="s">
        <v>1148</v>
      </c>
      <c r="B735" s="706">
        <v>2026</v>
      </c>
      <c r="C735" s="706" t="s">
        <v>2519</v>
      </c>
      <c r="D735" s="706" t="s">
        <v>2520</v>
      </c>
      <c r="E735" s="706" t="s">
        <v>1151</v>
      </c>
      <c r="F735" s="706" t="s">
        <v>1149</v>
      </c>
      <c r="G735" s="706">
        <v>0</v>
      </c>
      <c r="H735" s="706">
        <v>0</v>
      </c>
      <c r="I735" s="706">
        <v>0</v>
      </c>
      <c r="J735" s="706">
        <v>0</v>
      </c>
      <c r="K735" s="706">
        <v>0</v>
      </c>
      <c r="L735" s="706">
        <v>331.62</v>
      </c>
      <c r="M735" s="706">
        <v>693.09</v>
      </c>
      <c r="N735" s="706">
        <v>0</v>
      </c>
      <c r="O735" s="706">
        <v>0</v>
      </c>
      <c r="P735" s="706">
        <v>0</v>
      </c>
      <c r="Q735" s="706">
        <v>0</v>
      </c>
      <c r="R735" s="706">
        <v>0</v>
      </c>
      <c r="S735" s="706">
        <v>55.27</v>
      </c>
      <c r="T735" s="706">
        <v>55.27</v>
      </c>
      <c r="U735" s="706">
        <v>0</v>
      </c>
      <c r="V735" s="706">
        <v>0</v>
      </c>
      <c r="W735" s="706">
        <v>0</v>
      </c>
      <c r="X735" s="706">
        <v>0</v>
      </c>
      <c r="Y735" s="706">
        <v>0</v>
      </c>
      <c r="Z735" s="706">
        <v>0</v>
      </c>
      <c r="AA735" s="706">
        <v>3</v>
      </c>
      <c r="AB735" s="706">
        <v>5</v>
      </c>
      <c r="AC735" s="706">
        <v>0</v>
      </c>
      <c r="AD735" s="706">
        <v>0</v>
      </c>
      <c r="AE735" s="706">
        <v>0</v>
      </c>
      <c r="AF735" s="706">
        <v>0</v>
      </c>
      <c r="AG735" s="706">
        <v>0</v>
      </c>
      <c r="AH735" s="706">
        <v>1</v>
      </c>
      <c r="AI735" s="706">
        <v>1</v>
      </c>
      <c r="AJ735" s="905" t="str">
        <f t="shared" si="72"/>
        <v>G47603</v>
      </c>
      <c r="AK735" s="905" t="str">
        <f t="shared" si="73"/>
        <v>VTE - S.T. INTERN-BODY</v>
      </c>
      <c r="AL735" s="905">
        <f>IFERROR(INDEX(G735:R735,1,MATCH(Parametres!$B$3,G$1:R$1,0)-1)*IF(OR(F735="L",F735="S",F735="I"),-1,1),"")</f>
        <v>0</v>
      </c>
      <c r="AM735" s="905">
        <f t="shared" si="68"/>
        <v>-331.62</v>
      </c>
      <c r="AN735" s="905">
        <f>INDEX(G735:R735,1,MATCH(Parametres!$B$3,G$1:R$1,0))*IF(OR(F735="L",F735="S",F735="I"),-1,1)</f>
        <v>-331.62</v>
      </c>
      <c r="AO735" s="487" t="str">
        <f>+VLOOKUP($AJ735,Data_Validation!$A:$D,1,0)</f>
        <v>G47603</v>
      </c>
      <c r="AP735" s="487" t="str">
        <f>+VLOOKUP($AJ735,Data_Validation!$A:$D,3,0)</f>
        <v>Carrosserie</v>
      </c>
      <c r="AQ735" s="487" t="str">
        <f>+VLOOKUP($AJ735,Data_Validation!$A:$D,4,0)</f>
        <v>Carrosserie Interne</v>
      </c>
      <c r="AR735" s="487" t="s">
        <v>299</v>
      </c>
      <c r="AS735" s="487" t="str">
        <f>+VLOOKUP($AJ735,Data_Validation!$A:$E,5,0)</f>
        <v>Oui</v>
      </c>
      <c r="AT735" s="904" t="str">
        <f t="shared" si="69"/>
        <v>G47603</v>
      </c>
      <c r="AU735" s="488" t="str">
        <f t="shared" si="70"/>
        <v>VTE - S.T. INTERN-BODY</v>
      </c>
      <c r="AV735" s="899">
        <f>IFERROR(INDEX(V735:AG735,1,MATCH(Parametres!$B$3,V$1:AG$1,0)-1)*IF(OR(C735="L",C735="S",C735="I"),-1,1),"")</f>
        <v>0</v>
      </c>
      <c r="AW735" s="899">
        <f t="shared" si="71"/>
        <v>3</v>
      </c>
      <c r="AX735" s="899">
        <f>INDEX(V735:AG735,1,MATCH(Parametres!$B$3,V$1:AG$1,0))*IF(OR(C735="L",C735="S",C735="I"),-1,1)</f>
        <v>3</v>
      </c>
      <c r="AY735" s="487" t="s">
        <v>337</v>
      </c>
      <c r="AZ735" s="487" t="str">
        <f>+VLOOKUP($AJ735,Data_Validation!$A:$E,5,0)</f>
        <v>Oui</v>
      </c>
    </row>
    <row r="736" spans="1:52" ht="15" customHeight="1">
      <c r="A736" s="706" t="s">
        <v>1148</v>
      </c>
      <c r="B736" s="706">
        <v>2026</v>
      </c>
      <c r="C736" s="706" t="s">
        <v>2521</v>
      </c>
      <c r="D736" s="706" t="s">
        <v>2522</v>
      </c>
      <c r="E736" s="706" t="s">
        <v>1151</v>
      </c>
      <c r="F736" s="706" t="s">
        <v>1149</v>
      </c>
      <c r="G736" s="706">
        <v>0</v>
      </c>
      <c r="H736" s="706">
        <v>0</v>
      </c>
      <c r="I736" s="706">
        <v>0</v>
      </c>
      <c r="J736" s="706">
        <v>0</v>
      </c>
      <c r="K736" s="706">
        <v>7087.7</v>
      </c>
      <c r="L736" s="706">
        <v>7357.7</v>
      </c>
      <c r="M736" s="706">
        <v>7522.7</v>
      </c>
      <c r="N736" s="706">
        <v>0</v>
      </c>
      <c r="O736" s="706">
        <v>0</v>
      </c>
      <c r="P736" s="706">
        <v>0</v>
      </c>
      <c r="Q736" s="706">
        <v>0</v>
      </c>
      <c r="R736" s="706">
        <v>0</v>
      </c>
      <c r="S736" s="706">
        <v>1226.28</v>
      </c>
      <c r="T736" s="706">
        <v>1226.28</v>
      </c>
      <c r="U736" s="706">
        <v>0</v>
      </c>
      <c r="V736" s="706">
        <v>0</v>
      </c>
      <c r="W736" s="706">
        <v>0</v>
      </c>
      <c r="X736" s="706">
        <v>0</v>
      </c>
      <c r="Y736" s="706">
        <v>0</v>
      </c>
      <c r="Z736" s="706">
        <v>2</v>
      </c>
      <c r="AA736" s="706">
        <v>4</v>
      </c>
      <c r="AB736" s="706">
        <v>5</v>
      </c>
      <c r="AC736" s="706">
        <v>0</v>
      </c>
      <c r="AD736" s="706">
        <v>0</v>
      </c>
      <c r="AE736" s="706">
        <v>0</v>
      </c>
      <c r="AF736" s="706">
        <v>0</v>
      </c>
      <c r="AG736" s="706">
        <v>0</v>
      </c>
      <c r="AH736" s="706">
        <v>1</v>
      </c>
      <c r="AI736" s="706">
        <v>1</v>
      </c>
      <c r="AJ736" s="905" t="str">
        <f t="shared" si="72"/>
        <v>G47605</v>
      </c>
      <c r="AK736" s="905" t="str">
        <f t="shared" si="73"/>
        <v>VTE -S.T CONCES. BODY</v>
      </c>
      <c r="AL736" s="905">
        <f>IFERROR(INDEX(G736:R736,1,MATCH(Parametres!$B$3,G$1:R$1,0)-1)*IF(OR(F736="L",F736="S",F736="I"),-1,1),"")</f>
        <v>-7087.7</v>
      </c>
      <c r="AM736" s="905">
        <f t="shared" si="68"/>
        <v>-270</v>
      </c>
      <c r="AN736" s="905">
        <f>INDEX(G736:R736,1,MATCH(Parametres!$B$3,G$1:R$1,0))*IF(OR(F736="L",F736="S",F736="I"),-1,1)</f>
        <v>-7357.7</v>
      </c>
      <c r="AO736" s="487" t="str">
        <f>+VLOOKUP($AJ736,Data_Validation!$A:$D,1,0)</f>
        <v>G47605</v>
      </c>
      <c r="AP736" s="487" t="str">
        <f>+VLOOKUP($AJ736,Data_Validation!$A:$D,3,0)</f>
        <v>Carrosserie</v>
      </c>
      <c r="AQ736" s="487" t="str">
        <f>+VLOOKUP($AJ736,Data_Validation!$A:$D,4,0)</f>
        <v>Carrosserie Concessions</v>
      </c>
      <c r="AR736" s="487" t="s">
        <v>299</v>
      </c>
      <c r="AS736" s="487" t="str">
        <f>+VLOOKUP($AJ736,Data_Validation!$A:$E,5,0)</f>
        <v>Oui</v>
      </c>
      <c r="AT736" s="904" t="str">
        <f t="shared" si="69"/>
        <v>G47605</v>
      </c>
      <c r="AU736" s="488" t="str">
        <f t="shared" si="70"/>
        <v>VTE -S.T CONCES. BODY</v>
      </c>
      <c r="AV736" s="899">
        <f>IFERROR(INDEX(V736:AG736,1,MATCH(Parametres!$B$3,V$1:AG$1,0)-1)*IF(OR(C736="L",C736="S",C736="I"),-1,1),"")</f>
        <v>2</v>
      </c>
      <c r="AW736" s="899">
        <f t="shared" si="71"/>
        <v>2</v>
      </c>
      <c r="AX736" s="899">
        <f>INDEX(V736:AG736,1,MATCH(Parametres!$B$3,V$1:AG$1,0))*IF(OR(C736="L",C736="S",C736="I"),-1,1)</f>
        <v>4</v>
      </c>
      <c r="AY736" s="487" t="s">
        <v>337</v>
      </c>
      <c r="AZ736" s="487" t="str">
        <f>+VLOOKUP($AJ736,Data_Validation!$A:$E,5,0)</f>
        <v>Oui</v>
      </c>
    </row>
    <row r="737" spans="1:52" ht="15" customHeight="1">
      <c r="A737" s="706" t="s">
        <v>1148</v>
      </c>
      <c r="B737" s="706">
        <v>2026</v>
      </c>
      <c r="C737" s="706" t="s">
        <v>2523</v>
      </c>
      <c r="D737" s="706" t="s">
        <v>2524</v>
      </c>
      <c r="E737" s="706" t="s">
        <v>1151</v>
      </c>
      <c r="F737" s="706" t="s">
        <v>1149</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G47610</v>
      </c>
      <c r="AK737" s="905" t="str">
        <f t="shared" si="73"/>
        <v>VTE -PCS.S-T BODY -CLIENT</v>
      </c>
      <c r="AL737" s="905">
        <f>IFERROR(INDEX(G737:R737,1,MATCH(Parametres!$B$3,G$1:R$1,0)-1)*IF(OR(F737="L",F737="S",F737="I"),-1,1),"")</f>
        <v>0</v>
      </c>
      <c r="AM737" s="905">
        <f t="shared" si="68"/>
        <v>0</v>
      </c>
      <c r="AN737" s="905">
        <f>INDEX(G737:R737,1,MATCH(Parametres!$B$3,G$1:R$1,0))*IF(OR(F737="L",F737="S",F737="I"),-1,1)</f>
        <v>0</v>
      </c>
      <c r="AO737" s="487" t="str">
        <f>+VLOOKUP($AJ737,Data_Validation!$A:$D,1,0)</f>
        <v>G47610</v>
      </c>
      <c r="AP737" s="487" t="str">
        <f>+VLOOKUP($AJ737,Data_Validation!$A:$D,3,0)</f>
        <v>Carrosserie</v>
      </c>
      <c r="AQ737" s="487" t="str">
        <f>+VLOOKUP($AJ737,Data_Validation!$A:$D,4,0)</f>
        <v>Carrosserie Clients</v>
      </c>
      <c r="AR737" s="487" t="s">
        <v>299</v>
      </c>
      <c r="AS737" s="487" t="str">
        <f>+VLOOKUP($AJ737,Data_Validation!$A:$E,5,0)</f>
        <v>Oui</v>
      </c>
      <c r="AT737" s="904" t="str">
        <f t="shared" si="69"/>
        <v>G47610</v>
      </c>
      <c r="AU737" s="488" t="str">
        <f t="shared" si="70"/>
        <v>VTE -PCS.S-T BODY -CLIENT</v>
      </c>
      <c r="AV737" s="899">
        <f>IFERROR(INDEX(V737:AG737,1,MATCH(Parametres!$B$3,V$1:AG$1,0)-1)*IF(OR(C737="L",C737="S",C737="I"),-1,1),"")</f>
        <v>0</v>
      </c>
      <c r="AW737" s="899">
        <f t="shared" si="71"/>
        <v>0</v>
      </c>
      <c r="AX737" s="899">
        <f>INDEX(V737:AG737,1,MATCH(Parametres!$B$3,V$1:AG$1,0))*IF(OR(C737="L",C737="S",C737="I"),-1,1)</f>
        <v>0</v>
      </c>
      <c r="AY737" s="487" t="s">
        <v>337</v>
      </c>
      <c r="AZ737" s="487" t="str">
        <f>+VLOOKUP($AJ737,Data_Validation!$A:$E,5,0)</f>
        <v>Oui</v>
      </c>
    </row>
    <row r="738" spans="1:52" ht="15" customHeight="1">
      <c r="A738" s="706" t="s">
        <v>1148</v>
      </c>
      <c r="B738" s="706">
        <v>2026</v>
      </c>
      <c r="C738" s="706" t="s">
        <v>2525</v>
      </c>
      <c r="D738" s="706" t="s">
        <v>2526</v>
      </c>
      <c r="E738" s="706" t="s">
        <v>1151</v>
      </c>
      <c r="F738" s="706" t="s">
        <v>1149</v>
      </c>
      <c r="G738" s="706">
        <v>0</v>
      </c>
      <c r="H738" s="706">
        <v>0</v>
      </c>
      <c r="I738" s="706">
        <v>0</v>
      </c>
      <c r="J738" s="706">
        <v>0</v>
      </c>
      <c r="K738" s="706">
        <v>0</v>
      </c>
      <c r="L738" s="706">
        <v>0</v>
      </c>
      <c r="M738" s="706">
        <v>0</v>
      </c>
      <c r="N738" s="706">
        <v>0</v>
      </c>
      <c r="O738" s="706">
        <v>0</v>
      </c>
      <c r="P738" s="706">
        <v>0</v>
      </c>
      <c r="Q738" s="706">
        <v>0</v>
      </c>
      <c r="R738" s="706">
        <v>0</v>
      </c>
      <c r="S738" s="706">
        <v>0</v>
      </c>
      <c r="T738" s="706">
        <v>0</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G47613</v>
      </c>
      <c r="AK738" s="905" t="str">
        <f t="shared" si="73"/>
        <v>VTE -PIECES INTERN -BODY</v>
      </c>
      <c r="AL738" s="905">
        <f>IFERROR(INDEX(G738:R738,1,MATCH(Parametres!$B$3,G$1:R$1,0)-1)*IF(OR(F738="L",F738="S",F738="I"),-1,1),"")</f>
        <v>0</v>
      </c>
      <c r="AM738" s="905">
        <f t="shared" si="68"/>
        <v>0</v>
      </c>
      <c r="AN738" s="905">
        <f>INDEX(G738:R738,1,MATCH(Parametres!$B$3,G$1:R$1,0))*IF(OR(F738="L",F738="S",F738="I"),-1,1)</f>
        <v>0</v>
      </c>
      <c r="AO738" s="487" t="str">
        <f>+VLOOKUP($AJ738,Data_Validation!$A:$D,1,0)</f>
        <v>G47613</v>
      </c>
      <c r="AP738" s="487" t="str">
        <f>+VLOOKUP($AJ738,Data_Validation!$A:$D,3,0)</f>
        <v>Carrosserie</v>
      </c>
      <c r="AQ738" s="487" t="str">
        <f>+VLOOKUP($AJ738,Data_Validation!$A:$D,4,0)</f>
        <v>Carrosserie Interne</v>
      </c>
      <c r="AR738" s="487" t="s">
        <v>299</v>
      </c>
      <c r="AS738" s="487" t="str">
        <f>+VLOOKUP($AJ738,Data_Validation!$A:$E,5,0)</f>
        <v>Oui</v>
      </c>
      <c r="AT738" s="904" t="str">
        <f t="shared" si="69"/>
        <v>G47613</v>
      </c>
      <c r="AU738" s="488" t="str">
        <f t="shared" si="70"/>
        <v>VTE -PIECES INTERN -BODY</v>
      </c>
      <c r="AV738" s="899">
        <f>IFERROR(INDEX(V738:AG738,1,MATCH(Parametres!$B$3,V$1:AG$1,0)-1)*IF(OR(C738="L",C738="S",C738="I"),-1,1),"")</f>
        <v>0</v>
      </c>
      <c r="AW738" s="899">
        <f t="shared" si="71"/>
        <v>0</v>
      </c>
      <c r="AX738" s="899">
        <f>INDEX(V738:AG738,1,MATCH(Parametres!$B$3,V$1:AG$1,0))*IF(OR(C738="L",C738="S",C738="I"),-1,1)</f>
        <v>0</v>
      </c>
      <c r="AY738" s="487" t="s">
        <v>337</v>
      </c>
      <c r="AZ738" s="487" t="str">
        <f>+VLOOKUP($AJ738,Data_Validation!$A:$E,5,0)</f>
        <v>Oui</v>
      </c>
    </row>
    <row r="739" spans="1:52" ht="15" customHeight="1">
      <c r="A739" s="706" t="s">
        <v>1148</v>
      </c>
      <c r="B739" s="706">
        <v>2026</v>
      </c>
      <c r="C739" s="706" t="s">
        <v>2527</v>
      </c>
      <c r="D739" s="706" t="s">
        <v>2528</v>
      </c>
      <c r="E739" s="706" t="s">
        <v>1151</v>
      </c>
      <c r="F739" s="706" t="s">
        <v>1149</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G47615</v>
      </c>
      <c r="AK739" s="905" t="str">
        <f t="shared" si="73"/>
        <v>VTE - S-T PCS CONCES-BOD</v>
      </c>
      <c r="AL739" s="905">
        <f>IFERROR(INDEX(G739:R739,1,MATCH(Parametres!$B$3,G$1:R$1,0)-1)*IF(OR(F739="L",F739="S",F739="I"),-1,1),"")</f>
        <v>0</v>
      </c>
      <c r="AM739" s="905">
        <f t="shared" si="68"/>
        <v>0</v>
      </c>
      <c r="AN739" s="905">
        <f>INDEX(G739:R739,1,MATCH(Parametres!$B$3,G$1:R$1,0))*IF(OR(F739="L",F739="S",F739="I"),-1,1)</f>
        <v>0</v>
      </c>
      <c r="AO739" s="487" t="str">
        <f>+VLOOKUP($AJ739,Data_Validation!$A:$D,1,0)</f>
        <v>G47615</v>
      </c>
      <c r="AP739" s="487" t="str">
        <f>+VLOOKUP($AJ739,Data_Validation!$A:$D,3,0)</f>
        <v>Carrosserie</v>
      </c>
      <c r="AQ739" s="487" t="str">
        <f>+VLOOKUP($AJ739,Data_Validation!$A:$D,4,0)</f>
        <v>Carrosserie Concessions</v>
      </c>
      <c r="AR739" s="487" t="s">
        <v>299</v>
      </c>
      <c r="AS739" s="487" t="str">
        <f>+VLOOKUP($AJ739,Data_Validation!$A:$E,5,0)</f>
        <v>Oui</v>
      </c>
      <c r="AT739" s="904" t="str">
        <f t="shared" si="69"/>
        <v>G47615</v>
      </c>
      <c r="AU739" s="488" t="str">
        <f t="shared" si="70"/>
        <v>VTE - S-T PCS CONCES-BOD</v>
      </c>
      <c r="AV739" s="899">
        <f>IFERROR(INDEX(V739:AG739,1,MATCH(Parametres!$B$3,V$1:AG$1,0)-1)*IF(OR(C739="L",C739="S",C739="I"),-1,1),"")</f>
        <v>0</v>
      </c>
      <c r="AW739" s="899">
        <f t="shared" si="71"/>
        <v>0</v>
      </c>
      <c r="AX739" s="899">
        <f>INDEX(V739:AG739,1,MATCH(Parametres!$B$3,V$1:AG$1,0))*IF(OR(C739="L",C739="S",C739="I"),-1,1)</f>
        <v>0</v>
      </c>
      <c r="AY739" s="487" t="s">
        <v>337</v>
      </c>
      <c r="AZ739" s="487" t="str">
        <f>+VLOOKUP($AJ739,Data_Validation!$A:$E,5,0)</f>
        <v>Oui</v>
      </c>
    </row>
    <row r="740" spans="1:52" ht="15" customHeight="1">
      <c r="A740" s="706" t="s">
        <v>1148</v>
      </c>
      <c r="B740" s="706">
        <v>2026</v>
      </c>
      <c r="C740" s="706" t="s">
        <v>2529</v>
      </c>
      <c r="D740" s="706" t="s">
        <v>2530</v>
      </c>
      <c r="E740" s="706" t="s">
        <v>1151</v>
      </c>
      <c r="F740" s="706" t="s">
        <v>1149</v>
      </c>
      <c r="G740" s="706">
        <v>0</v>
      </c>
      <c r="H740" s="706">
        <v>0</v>
      </c>
      <c r="I740" s="706">
        <v>0</v>
      </c>
      <c r="J740" s="706">
        <v>0</v>
      </c>
      <c r="K740" s="706">
        <v>0</v>
      </c>
      <c r="L740" s="706">
        <v>1486.33</v>
      </c>
      <c r="M740" s="706">
        <v>1486.33</v>
      </c>
      <c r="N740" s="706">
        <v>0</v>
      </c>
      <c r="O740" s="706">
        <v>0</v>
      </c>
      <c r="P740" s="706">
        <v>0</v>
      </c>
      <c r="Q740" s="706">
        <v>0</v>
      </c>
      <c r="R740" s="706">
        <v>0</v>
      </c>
      <c r="S740" s="706">
        <v>247.72</v>
      </c>
      <c r="T740" s="706">
        <v>247.72</v>
      </c>
      <c r="U740" s="706">
        <v>0</v>
      </c>
      <c r="V740" s="706">
        <v>0</v>
      </c>
      <c r="W740" s="706">
        <v>0</v>
      </c>
      <c r="X740" s="706">
        <v>0</v>
      </c>
      <c r="Y740" s="706">
        <v>0</v>
      </c>
      <c r="Z740" s="706">
        <v>12</v>
      </c>
      <c r="AA740" s="706">
        <v>18</v>
      </c>
      <c r="AB740" s="706">
        <v>18</v>
      </c>
      <c r="AC740" s="706">
        <v>0</v>
      </c>
      <c r="AD740" s="706">
        <v>0</v>
      </c>
      <c r="AE740" s="706">
        <v>0</v>
      </c>
      <c r="AF740" s="706">
        <v>0</v>
      </c>
      <c r="AG740" s="706">
        <v>0</v>
      </c>
      <c r="AH740" s="706">
        <v>3</v>
      </c>
      <c r="AI740" s="706">
        <v>3</v>
      </c>
      <c r="AJ740" s="905" t="str">
        <f t="shared" si="72"/>
        <v>G47620</v>
      </c>
      <c r="AK740" s="905" t="str">
        <f t="shared" si="73"/>
        <v>VTE -LOC.COURTOIS - BODY</v>
      </c>
      <c r="AL740" s="905">
        <f>IFERROR(INDEX(G740:R740,1,MATCH(Parametres!$B$3,G$1:R$1,0)-1)*IF(OR(F740="L",F740="S",F740="I"),-1,1),"")</f>
        <v>0</v>
      </c>
      <c r="AM740" s="905">
        <f t="shared" si="68"/>
        <v>-1486.33</v>
      </c>
      <c r="AN740" s="905">
        <f>INDEX(G740:R740,1,MATCH(Parametres!$B$3,G$1:R$1,0))*IF(OR(F740="L",F740="S",F740="I"),-1,1)</f>
        <v>-1486.33</v>
      </c>
      <c r="AO740" s="487" t="str">
        <f>+VLOOKUP($AJ740,Data_Validation!$A:$D,1,0)</f>
        <v>G47620</v>
      </c>
      <c r="AP740" s="487" t="str">
        <f>+VLOOKUP($AJ740,Data_Validation!$A:$D,3,0)</f>
        <v>Carrosserie</v>
      </c>
      <c r="AQ740" s="487" t="str">
        <f>+VLOOKUP($AJ740,Data_Validation!$A:$D,4,0)</f>
        <v>Carrosserie Clients</v>
      </c>
      <c r="AR740" s="487" t="s">
        <v>299</v>
      </c>
      <c r="AS740" s="487" t="str">
        <f>+VLOOKUP($AJ740,Data_Validation!$A:$E,5,0)</f>
        <v>Oui</v>
      </c>
      <c r="AT740" s="904" t="str">
        <f t="shared" si="69"/>
        <v>G47620</v>
      </c>
      <c r="AU740" s="488" t="str">
        <f t="shared" si="70"/>
        <v>VTE -LOC.COURTOIS - BODY</v>
      </c>
      <c r="AV740" s="899">
        <f>IFERROR(INDEX(V740:AG740,1,MATCH(Parametres!$B$3,V$1:AG$1,0)-1)*IF(OR(C740="L",C740="S",C740="I"),-1,1),"")</f>
        <v>12</v>
      </c>
      <c r="AW740" s="899">
        <f t="shared" si="71"/>
        <v>6</v>
      </c>
      <c r="AX740" s="899">
        <f>INDEX(V740:AG740,1,MATCH(Parametres!$B$3,V$1:AG$1,0))*IF(OR(C740="L",C740="S",C740="I"),-1,1)</f>
        <v>18</v>
      </c>
      <c r="AY740" s="487" t="s">
        <v>337</v>
      </c>
      <c r="AZ740" s="487" t="str">
        <f>+VLOOKUP($AJ740,Data_Validation!$A:$E,5,0)</f>
        <v>Oui</v>
      </c>
    </row>
    <row r="741" spans="1:52" ht="15" customHeight="1">
      <c r="A741" s="706" t="s">
        <v>1148</v>
      </c>
      <c r="B741" s="706">
        <v>2026</v>
      </c>
      <c r="C741" s="706" t="s">
        <v>2531</v>
      </c>
      <c r="D741" s="706" t="s">
        <v>2532</v>
      </c>
      <c r="E741" s="706" t="s">
        <v>1151</v>
      </c>
      <c r="F741" s="706" t="s">
        <v>1149</v>
      </c>
      <c r="G741" s="706">
        <v>0</v>
      </c>
      <c r="H741" s="706">
        <v>0</v>
      </c>
      <c r="I741" s="706">
        <v>0</v>
      </c>
      <c r="J741" s="706">
        <v>0</v>
      </c>
      <c r="K741" s="706">
        <v>0</v>
      </c>
      <c r="L741" s="706">
        <v>0</v>
      </c>
      <c r="M741" s="706">
        <v>0</v>
      </c>
      <c r="N741" s="706">
        <v>0</v>
      </c>
      <c r="O741" s="706">
        <v>0</v>
      </c>
      <c r="P741" s="706">
        <v>0</v>
      </c>
      <c r="Q741" s="706">
        <v>0</v>
      </c>
      <c r="R741" s="706">
        <v>0</v>
      </c>
      <c r="S741" s="706">
        <v>0</v>
      </c>
      <c r="T741" s="706">
        <v>0</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G47623</v>
      </c>
      <c r="AK741" s="905" t="str">
        <f t="shared" si="73"/>
        <v>VTE -LOC COURT INT-BODY</v>
      </c>
      <c r="AL741" s="905">
        <f>IFERROR(INDEX(G741:R741,1,MATCH(Parametres!$B$3,G$1:R$1,0)-1)*IF(OR(F741="L",F741="S",F741="I"),-1,1),"")</f>
        <v>0</v>
      </c>
      <c r="AM741" s="905">
        <f t="shared" si="68"/>
        <v>0</v>
      </c>
      <c r="AN741" s="905">
        <f>INDEX(G741:R741,1,MATCH(Parametres!$B$3,G$1:R$1,0))*IF(OR(F741="L",F741="S",F741="I"),-1,1)</f>
        <v>0</v>
      </c>
      <c r="AO741" s="487" t="str">
        <f>+VLOOKUP($AJ741,Data_Validation!$A:$D,1,0)</f>
        <v>G47623</v>
      </c>
      <c r="AP741" s="487">
        <f>+VLOOKUP($AJ741,Data_Validation!$A:$D,3,0)</f>
        <v>0</v>
      </c>
      <c r="AQ741" s="487">
        <f>+VLOOKUP($AJ741,Data_Validation!$A:$D,4,0)</f>
        <v>0</v>
      </c>
      <c r="AR741" s="487" t="s">
        <v>299</v>
      </c>
      <c r="AS741" s="487">
        <f>+VLOOKUP($AJ741,Data_Validation!$A:$E,5,0)</f>
        <v>0</v>
      </c>
      <c r="AT741" s="904" t="str">
        <f t="shared" si="69"/>
        <v>G47623</v>
      </c>
      <c r="AU741" s="488" t="str">
        <f t="shared" si="70"/>
        <v>VTE -LOC COURT INT-BODY</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customHeight="1">
      <c r="A742" s="706" t="s">
        <v>1148</v>
      </c>
      <c r="B742" s="706">
        <v>2026</v>
      </c>
      <c r="C742" s="706" t="s">
        <v>2533</v>
      </c>
      <c r="D742" s="706" t="s">
        <v>2534</v>
      </c>
      <c r="E742" s="706" t="s">
        <v>1151</v>
      </c>
      <c r="F742" s="706" t="s">
        <v>1149</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G47625</v>
      </c>
      <c r="AK742" s="905" t="str">
        <f t="shared" si="73"/>
        <v>VTE - LOC COURT CONCES B</v>
      </c>
      <c r="AL742" s="905">
        <f>IFERROR(INDEX(G742:R742,1,MATCH(Parametres!$B$3,G$1:R$1,0)-1)*IF(OR(F742="L",F742="S",F742="I"),-1,1),"")</f>
        <v>0</v>
      </c>
      <c r="AM742" s="905">
        <f t="shared" si="68"/>
        <v>0</v>
      </c>
      <c r="AN742" s="905">
        <f>INDEX(G742:R742,1,MATCH(Parametres!$B$3,G$1:R$1,0))*IF(OR(F742="L",F742="S",F742="I"),-1,1)</f>
        <v>0</v>
      </c>
      <c r="AO742" s="487" t="str">
        <f>+VLOOKUP($AJ742,Data_Validation!$A:$D,1,0)</f>
        <v>G47625</v>
      </c>
      <c r="AP742" s="487">
        <f>+VLOOKUP($AJ742,Data_Validation!$A:$D,3,0)</f>
        <v>0</v>
      </c>
      <c r="AQ742" s="487">
        <f>+VLOOKUP($AJ742,Data_Validation!$A:$D,4,0)</f>
        <v>0</v>
      </c>
      <c r="AR742" s="487" t="s">
        <v>299</v>
      </c>
      <c r="AS742" s="487">
        <f>+VLOOKUP($AJ742,Data_Validation!$A:$E,5,0)</f>
        <v>0</v>
      </c>
      <c r="AT742" s="904" t="str">
        <f t="shared" si="69"/>
        <v>G47625</v>
      </c>
      <c r="AU742" s="488" t="str">
        <f t="shared" si="70"/>
        <v>VTE - LOC COURT CONCES B</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customHeight="1">
      <c r="A743" s="706" t="s">
        <v>1148</v>
      </c>
      <c r="B743" s="706">
        <v>2026</v>
      </c>
      <c r="C743" s="706" t="s">
        <v>2535</v>
      </c>
      <c r="D743" s="706" t="s">
        <v>2536</v>
      </c>
      <c r="E743" s="706" t="s">
        <v>1151</v>
      </c>
      <c r="F743" s="706" t="s">
        <v>1149</v>
      </c>
      <c r="G743" s="706">
        <v>0</v>
      </c>
      <c r="H743" s="706">
        <v>0</v>
      </c>
      <c r="I743" s="706">
        <v>0</v>
      </c>
      <c r="J743" s="706">
        <v>0</v>
      </c>
      <c r="K743" s="706">
        <v>100.64</v>
      </c>
      <c r="L743" s="706">
        <v>100.64</v>
      </c>
      <c r="M743" s="706">
        <v>100.64</v>
      </c>
      <c r="N743" s="706">
        <v>0</v>
      </c>
      <c r="O743" s="706">
        <v>0</v>
      </c>
      <c r="P743" s="706">
        <v>0</v>
      </c>
      <c r="Q743" s="706">
        <v>0</v>
      </c>
      <c r="R743" s="706">
        <v>0</v>
      </c>
      <c r="S743" s="706">
        <v>16.77</v>
      </c>
      <c r="T743" s="706">
        <v>16.77</v>
      </c>
      <c r="U743" s="706">
        <v>0</v>
      </c>
      <c r="V743" s="706">
        <v>0</v>
      </c>
      <c r="W743" s="706">
        <v>0</v>
      </c>
      <c r="X743" s="706">
        <v>0</v>
      </c>
      <c r="Y743" s="706">
        <v>0</v>
      </c>
      <c r="Z743" s="706">
        <v>1</v>
      </c>
      <c r="AA743" s="706">
        <v>1</v>
      </c>
      <c r="AB743" s="706">
        <v>1</v>
      </c>
      <c r="AC743" s="706">
        <v>0</v>
      </c>
      <c r="AD743" s="706">
        <v>0</v>
      </c>
      <c r="AE743" s="706">
        <v>0</v>
      </c>
      <c r="AF743" s="706">
        <v>0</v>
      </c>
      <c r="AG743" s="706">
        <v>0</v>
      </c>
      <c r="AH743" s="706">
        <v>0</v>
      </c>
      <c r="AI743" s="706">
        <v>0</v>
      </c>
      <c r="AJ743" s="905" t="str">
        <f t="shared" si="72"/>
        <v>G47700</v>
      </c>
      <c r="AK743" s="905" t="str">
        <f t="shared" si="73"/>
        <v>VENTE P&amp;A CLIENTS CAROSSE</v>
      </c>
      <c r="AL743" s="905">
        <f>IFERROR(INDEX(G743:R743,1,MATCH(Parametres!$B$3,G$1:R$1,0)-1)*IF(OR(F743="L",F743="S",F743="I"),-1,1),"")</f>
        <v>-100.64</v>
      </c>
      <c r="AM743" s="905">
        <f t="shared" si="68"/>
        <v>0</v>
      </c>
      <c r="AN743" s="905">
        <f>INDEX(G743:R743,1,MATCH(Parametres!$B$3,G$1:R$1,0))*IF(OR(F743="L",F743="S",F743="I"),-1,1)</f>
        <v>-100.64</v>
      </c>
      <c r="AO743" s="487" t="str">
        <f>+VLOOKUP($AJ743,Data_Validation!$A:$D,1,0)</f>
        <v>G47700</v>
      </c>
      <c r="AP743" s="487" t="str">
        <f>+VLOOKUP($AJ743,Data_Validation!$A:$D,3,0)</f>
        <v>Pièces</v>
      </c>
      <c r="AQ743" s="487" t="str">
        <f>+VLOOKUP($AJ743,Data_Validation!$A:$D,4,0)</f>
        <v>Pièces Ro Carrosserie</v>
      </c>
      <c r="AR743" s="487" t="s">
        <v>299</v>
      </c>
      <c r="AS743" s="487" t="str">
        <f>+VLOOKUP($AJ743,Data_Validation!$A:$E,5,0)</f>
        <v>Oui</v>
      </c>
      <c r="AT743" s="904" t="str">
        <f t="shared" si="69"/>
        <v>G47700</v>
      </c>
      <c r="AU743" s="488" t="str">
        <f t="shared" si="70"/>
        <v>VENTE P&amp;A CLIENTS CAROSSE</v>
      </c>
      <c r="AV743" s="899">
        <f>IFERROR(INDEX(V743:AG743,1,MATCH(Parametres!$B$3,V$1:AG$1,0)-1)*IF(OR(C743="L",C743="S",C743="I"),-1,1),"")</f>
        <v>1</v>
      </c>
      <c r="AW743" s="899">
        <f t="shared" si="71"/>
        <v>0</v>
      </c>
      <c r="AX743" s="899">
        <f>INDEX(V743:AG743,1,MATCH(Parametres!$B$3,V$1:AG$1,0))*IF(OR(C743="L",C743="S",C743="I"),-1,1)</f>
        <v>1</v>
      </c>
      <c r="AY743" s="487" t="s">
        <v>337</v>
      </c>
      <c r="AZ743" s="487" t="str">
        <f>+VLOOKUP($AJ743,Data_Validation!$A:$E,5,0)</f>
        <v>Oui</v>
      </c>
    </row>
    <row r="744" spans="1:52" ht="15" customHeight="1">
      <c r="A744" s="706" t="s">
        <v>1148</v>
      </c>
      <c r="B744" s="706">
        <v>2026</v>
      </c>
      <c r="C744" s="706" t="s">
        <v>2537</v>
      </c>
      <c r="D744" s="706" t="s">
        <v>3329</v>
      </c>
      <c r="E744" s="706" t="s">
        <v>1151</v>
      </c>
      <c r="F744" s="706" t="s">
        <v>1149</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G47800</v>
      </c>
      <c r="AK744" s="905" t="str">
        <f t="shared" si="73"/>
        <v>VTE -PCE CARR.CLIENT.CAM.</v>
      </c>
      <c r="AL744" s="905">
        <f>IFERROR(INDEX(G744:R744,1,MATCH(Parametres!$B$3,G$1:R$1,0)-1)*IF(OR(F744="L",F744="S",F744="I"),-1,1),"")</f>
        <v>0</v>
      </c>
      <c r="AM744" s="905">
        <f t="shared" si="68"/>
        <v>0</v>
      </c>
      <c r="AN744" s="905">
        <f>INDEX(G744:R744,1,MATCH(Parametres!$B$3,G$1:R$1,0))*IF(OR(F744="L",F744="S",F744="I"),-1,1)</f>
        <v>0</v>
      </c>
      <c r="AO744" s="487" t="str">
        <f>+VLOOKUP($AJ744,Data_Validation!$A:$D,1,0)</f>
        <v>G47800</v>
      </c>
      <c r="AP744" s="487">
        <f>+VLOOKUP($AJ744,Data_Validation!$A:$D,3,0)</f>
        <v>0</v>
      </c>
      <c r="AQ744" s="487">
        <f>+VLOOKUP($AJ744,Data_Validation!$A:$D,4,0)</f>
        <v>0</v>
      </c>
      <c r="AR744" s="487" t="s">
        <v>299</v>
      </c>
      <c r="AS744" s="487">
        <f>+VLOOKUP($AJ744,Data_Validation!$A:$E,5,0)</f>
        <v>0</v>
      </c>
      <c r="AT744" s="904" t="str">
        <f t="shared" si="69"/>
        <v>G47800</v>
      </c>
      <c r="AU744" s="488" t="str">
        <f t="shared" si="70"/>
        <v>VTE -PCE CARR.CLIENT.CAM.</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2026</v>
      </c>
      <c r="C745" s="706" t="s">
        <v>2539</v>
      </c>
      <c r="D745" s="706" t="s">
        <v>2540</v>
      </c>
      <c r="E745" s="706" t="s">
        <v>1151</v>
      </c>
      <c r="F745" s="706" t="s">
        <v>1149</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G47840</v>
      </c>
      <c r="AK745" s="905" t="str">
        <f t="shared" si="73"/>
        <v>VTES-PCE GOODW.CAM MOYEN</v>
      </c>
      <c r="AL745" s="905">
        <f>IFERROR(INDEX(G745:R745,1,MATCH(Parametres!$B$3,G$1:R$1,0)-1)*IF(OR(F745="L",F745="S",F745="I"),-1,1),"")</f>
        <v>0</v>
      </c>
      <c r="AM745" s="905">
        <f t="shared" si="68"/>
        <v>0</v>
      </c>
      <c r="AN745" s="905">
        <f>INDEX(G745:R745,1,MATCH(Parametres!$B$3,G$1:R$1,0))*IF(OR(F745="L",F745="S",F745="I"),-1,1)</f>
        <v>0</v>
      </c>
      <c r="AO745" s="487" t="str">
        <f>+VLOOKUP($AJ745,Data_Validation!$A:$D,1,0)</f>
        <v>G47840</v>
      </c>
      <c r="AP745" s="487">
        <f>+VLOOKUP($AJ745,Data_Validation!$A:$D,3,0)</f>
        <v>0</v>
      </c>
      <c r="AQ745" s="487">
        <f>+VLOOKUP($AJ745,Data_Validation!$A:$D,4,0)</f>
        <v>0</v>
      </c>
      <c r="AR745" s="487" t="s">
        <v>299</v>
      </c>
      <c r="AS745" s="487">
        <f>+VLOOKUP($AJ745,Data_Validation!$A:$E,5,0)</f>
        <v>0</v>
      </c>
      <c r="AT745" s="904" t="str">
        <f t="shared" si="69"/>
        <v>G47840</v>
      </c>
      <c r="AU745" s="488" t="str">
        <f t="shared" si="70"/>
        <v>VTES-PCE GOODW.CAM MOYEN</v>
      </c>
      <c r="AV745" s="899">
        <f>IFERROR(INDEX(V745:AG745,1,MATCH(Parametres!$B$3,V$1:AG$1,0)-1)*IF(OR(C745="L",C745="S",C745="I"),-1,1),"")</f>
        <v>0</v>
      </c>
      <c r="AW745" s="899">
        <f t="shared" si="71"/>
        <v>0</v>
      </c>
      <c r="AX745" s="899">
        <f>INDEX(V745:AG745,1,MATCH(Parametres!$B$3,V$1:AG$1,0))*IF(OR(C745="L",C745="S",C745="I"),-1,1)</f>
        <v>0</v>
      </c>
      <c r="AY745" s="487" t="s">
        <v>337</v>
      </c>
      <c r="AZ745" s="487">
        <f>+VLOOKUP($AJ745,Data_Validation!$A:$E,5,0)</f>
        <v>0</v>
      </c>
    </row>
    <row r="746" spans="1:52" ht="15" customHeight="1">
      <c r="A746" s="706" t="s">
        <v>1148</v>
      </c>
      <c r="B746" s="706">
        <v>2026</v>
      </c>
      <c r="C746" s="706" t="s">
        <v>2541</v>
      </c>
      <c r="D746" s="706" t="s">
        <v>3330</v>
      </c>
      <c r="E746" s="706" t="s">
        <v>1151</v>
      </c>
      <c r="F746" s="706" t="s">
        <v>1149</v>
      </c>
      <c r="G746" s="706">
        <v>22035.39</v>
      </c>
      <c r="H746" s="706">
        <v>51692.06</v>
      </c>
      <c r="I746" s="706">
        <v>74713.48</v>
      </c>
      <c r="J746" s="706">
        <v>118736.54</v>
      </c>
      <c r="K746" s="706">
        <v>128979.54</v>
      </c>
      <c r="L746" s="706">
        <v>139535.45000000001</v>
      </c>
      <c r="M746" s="706">
        <v>141652.78</v>
      </c>
      <c r="N746" s="706">
        <v>0</v>
      </c>
      <c r="O746" s="706">
        <v>0</v>
      </c>
      <c r="P746" s="706">
        <v>0</v>
      </c>
      <c r="Q746" s="706">
        <v>0</v>
      </c>
      <c r="R746" s="706">
        <v>0</v>
      </c>
      <c r="S746" s="706">
        <v>23255.91</v>
      </c>
      <c r="T746" s="706">
        <v>23255.91</v>
      </c>
      <c r="U746" s="706">
        <v>0</v>
      </c>
      <c r="V746" s="706">
        <v>48</v>
      </c>
      <c r="W746" s="706">
        <v>106</v>
      </c>
      <c r="X746" s="706">
        <v>170</v>
      </c>
      <c r="Y746" s="706">
        <v>245</v>
      </c>
      <c r="Z746" s="706">
        <v>272</v>
      </c>
      <c r="AA746" s="706">
        <v>297</v>
      </c>
      <c r="AB746" s="706">
        <v>302</v>
      </c>
      <c r="AC746" s="706">
        <v>0</v>
      </c>
      <c r="AD746" s="706">
        <v>0</v>
      </c>
      <c r="AE746" s="706">
        <v>0</v>
      </c>
      <c r="AF746" s="706">
        <v>0</v>
      </c>
      <c r="AG746" s="706">
        <v>0</v>
      </c>
      <c r="AH746" s="706">
        <v>50</v>
      </c>
      <c r="AI746" s="706">
        <v>50</v>
      </c>
      <c r="AJ746" s="905" t="str">
        <f t="shared" si="72"/>
        <v>G47900</v>
      </c>
      <c r="AK746" s="905" t="str">
        <f t="shared" si="73"/>
        <v>VTES -PEINTURE CARROSS.</v>
      </c>
      <c r="AL746" s="905">
        <f>IFERROR(INDEX(G746:R746,1,MATCH(Parametres!$B$3,G$1:R$1,0)-1)*IF(OR(F746="L",F746="S",F746="I"),-1,1),"")</f>
        <v>-128979.54</v>
      </c>
      <c r="AM746" s="905">
        <f t="shared" si="68"/>
        <v>-10555.910000000018</v>
      </c>
      <c r="AN746" s="905">
        <f>INDEX(G746:R746,1,MATCH(Parametres!$B$3,G$1:R$1,0))*IF(OR(F746="L",F746="S",F746="I"),-1,1)</f>
        <v>-139535.45000000001</v>
      </c>
      <c r="AO746" s="487" t="str">
        <f>+VLOOKUP($AJ746,Data_Validation!$A:$D,1,0)</f>
        <v>G47900</v>
      </c>
      <c r="AP746" s="487" t="str">
        <f>+VLOOKUP($AJ746,Data_Validation!$A:$D,3,0)</f>
        <v>Carrosserie</v>
      </c>
      <c r="AQ746" s="487" t="str">
        <f>+VLOOKUP($AJ746,Data_Validation!$A:$D,4,0)</f>
        <v>Carrosserie Clients</v>
      </c>
      <c r="AR746" s="487" t="s">
        <v>299</v>
      </c>
      <c r="AS746" s="487" t="str">
        <f>+VLOOKUP($AJ746,Data_Validation!$A:$E,5,0)</f>
        <v>Oui</v>
      </c>
      <c r="AT746" s="904" t="str">
        <f t="shared" si="69"/>
        <v>G47900</v>
      </c>
      <c r="AU746" s="488" t="str">
        <f t="shared" si="70"/>
        <v>VTES -PEINTURE CARROSS.</v>
      </c>
      <c r="AV746" s="899">
        <f>IFERROR(INDEX(V746:AG746,1,MATCH(Parametres!$B$3,V$1:AG$1,0)-1)*IF(OR(C746="L",C746="S",C746="I"),-1,1),"")</f>
        <v>272</v>
      </c>
      <c r="AW746" s="899">
        <f t="shared" si="71"/>
        <v>25</v>
      </c>
      <c r="AX746" s="899">
        <f>INDEX(V746:AG746,1,MATCH(Parametres!$B$3,V$1:AG$1,0))*IF(OR(C746="L",C746="S",C746="I"),-1,1)</f>
        <v>297</v>
      </c>
      <c r="AY746" s="487" t="s">
        <v>337</v>
      </c>
      <c r="AZ746" s="487" t="str">
        <f>+VLOOKUP($AJ746,Data_Validation!$A:$E,5,0)</f>
        <v>Oui</v>
      </c>
    </row>
    <row r="747" spans="1:52" ht="15" customHeight="1">
      <c r="A747" s="706" t="s">
        <v>1148</v>
      </c>
      <c r="B747" s="706">
        <v>2026</v>
      </c>
      <c r="C747" s="706" t="s">
        <v>2543</v>
      </c>
      <c r="D747" s="706" t="s">
        <v>2544</v>
      </c>
      <c r="E747" s="706" t="s">
        <v>1151</v>
      </c>
      <c r="F747" s="706" t="s">
        <v>1149</v>
      </c>
      <c r="G747" s="706">
        <v>0</v>
      </c>
      <c r="H747" s="706">
        <v>0</v>
      </c>
      <c r="I747" s="706">
        <v>0</v>
      </c>
      <c r="J747" s="706">
        <v>0</v>
      </c>
      <c r="K747" s="706">
        <v>337.04</v>
      </c>
      <c r="L747" s="706">
        <v>1138.58</v>
      </c>
      <c r="M747" s="706">
        <v>1506.26</v>
      </c>
      <c r="N747" s="706">
        <v>0</v>
      </c>
      <c r="O747" s="706">
        <v>0</v>
      </c>
      <c r="P747" s="706">
        <v>0</v>
      </c>
      <c r="Q747" s="706">
        <v>0</v>
      </c>
      <c r="R747" s="706">
        <v>0</v>
      </c>
      <c r="S747" s="706">
        <v>189.76</v>
      </c>
      <c r="T747" s="706">
        <v>189.76</v>
      </c>
      <c r="U747" s="706">
        <v>0</v>
      </c>
      <c r="V747" s="706">
        <v>0</v>
      </c>
      <c r="W747" s="706">
        <v>0</v>
      </c>
      <c r="X747" s="706">
        <v>0</v>
      </c>
      <c r="Y747" s="706">
        <v>0</v>
      </c>
      <c r="Z747" s="706">
        <v>2</v>
      </c>
      <c r="AA747" s="706">
        <v>7</v>
      </c>
      <c r="AB747" s="706">
        <v>9</v>
      </c>
      <c r="AC747" s="706">
        <v>0</v>
      </c>
      <c r="AD747" s="706">
        <v>0</v>
      </c>
      <c r="AE747" s="706">
        <v>0</v>
      </c>
      <c r="AF747" s="706">
        <v>0</v>
      </c>
      <c r="AG747" s="706">
        <v>0</v>
      </c>
      <c r="AH747" s="706">
        <v>1</v>
      </c>
      <c r="AI747" s="706">
        <v>1</v>
      </c>
      <c r="AJ747" s="905" t="str">
        <f t="shared" si="72"/>
        <v>G47903</v>
      </c>
      <c r="AK747" s="905" t="str">
        <f t="shared" si="73"/>
        <v>VTE -PEINT. INTERN-BODY</v>
      </c>
      <c r="AL747" s="905">
        <f>IFERROR(INDEX(G747:R747,1,MATCH(Parametres!$B$3,G$1:R$1,0)-1)*IF(OR(F747="L",F747="S",F747="I"),-1,1),"")</f>
        <v>-337.04</v>
      </c>
      <c r="AM747" s="905">
        <f t="shared" si="68"/>
        <v>-801.54</v>
      </c>
      <c r="AN747" s="905">
        <f>INDEX(G747:R747,1,MATCH(Parametres!$B$3,G$1:R$1,0))*IF(OR(F747="L",F747="S",F747="I"),-1,1)</f>
        <v>-1138.58</v>
      </c>
      <c r="AO747" s="487" t="str">
        <f>+VLOOKUP($AJ747,Data_Validation!$A:$D,1,0)</f>
        <v>G47903</v>
      </c>
      <c r="AP747" s="487" t="str">
        <f>+VLOOKUP($AJ747,Data_Validation!$A:$D,3,0)</f>
        <v>Carrosserie</v>
      </c>
      <c r="AQ747" s="487" t="str">
        <f>+VLOOKUP($AJ747,Data_Validation!$A:$D,4,0)</f>
        <v>Carrosserie Interne</v>
      </c>
      <c r="AR747" s="487" t="s">
        <v>299</v>
      </c>
      <c r="AS747" s="487" t="str">
        <f>+VLOOKUP($AJ747,Data_Validation!$A:$E,5,0)</f>
        <v>Oui</v>
      </c>
      <c r="AT747" s="904" t="str">
        <f t="shared" si="69"/>
        <v>G47903</v>
      </c>
      <c r="AU747" s="488" t="str">
        <f t="shared" si="70"/>
        <v>VTE -PEINT. INTERN-BODY</v>
      </c>
      <c r="AV747" s="899">
        <f>IFERROR(INDEX(V747:AG747,1,MATCH(Parametres!$B$3,V$1:AG$1,0)-1)*IF(OR(C747="L",C747="S",C747="I"),-1,1),"")</f>
        <v>2</v>
      </c>
      <c r="AW747" s="899">
        <f t="shared" si="71"/>
        <v>5</v>
      </c>
      <c r="AX747" s="899">
        <f>INDEX(V747:AG747,1,MATCH(Parametres!$B$3,V$1:AG$1,0))*IF(OR(C747="L",C747="S",C747="I"),-1,1)</f>
        <v>7</v>
      </c>
      <c r="AY747" s="487" t="s">
        <v>337</v>
      </c>
      <c r="AZ747" s="487" t="str">
        <f>+VLOOKUP($AJ747,Data_Validation!$A:$E,5,0)</f>
        <v>Oui</v>
      </c>
    </row>
    <row r="748" spans="1:52" ht="15" customHeight="1">
      <c r="A748" s="706" t="s">
        <v>1148</v>
      </c>
      <c r="B748" s="706">
        <v>2026</v>
      </c>
      <c r="C748" s="706" t="s">
        <v>2545</v>
      </c>
      <c r="D748" s="706" t="s">
        <v>2546</v>
      </c>
      <c r="E748" s="706" t="s">
        <v>1151</v>
      </c>
      <c r="F748" s="706" t="s">
        <v>1149</v>
      </c>
      <c r="G748" s="706">
        <v>0</v>
      </c>
      <c r="H748" s="706">
        <v>0</v>
      </c>
      <c r="I748" s="706">
        <v>0</v>
      </c>
      <c r="J748" s="706">
        <v>0</v>
      </c>
      <c r="K748" s="706">
        <v>8325.6200000000008</v>
      </c>
      <c r="L748" s="706">
        <v>18909.43</v>
      </c>
      <c r="M748" s="706">
        <v>20308.23</v>
      </c>
      <c r="N748" s="706">
        <v>0</v>
      </c>
      <c r="O748" s="706">
        <v>0</v>
      </c>
      <c r="P748" s="706">
        <v>0</v>
      </c>
      <c r="Q748" s="706">
        <v>0</v>
      </c>
      <c r="R748" s="706">
        <v>0</v>
      </c>
      <c r="S748" s="706">
        <v>3151.57</v>
      </c>
      <c r="T748" s="706">
        <v>3151.57</v>
      </c>
      <c r="U748" s="706">
        <v>0</v>
      </c>
      <c r="V748" s="706">
        <v>0</v>
      </c>
      <c r="W748" s="706">
        <v>0</v>
      </c>
      <c r="X748" s="706">
        <v>0</v>
      </c>
      <c r="Y748" s="706">
        <v>0</v>
      </c>
      <c r="Z748" s="706">
        <v>18</v>
      </c>
      <c r="AA748" s="706">
        <v>40</v>
      </c>
      <c r="AB748" s="706">
        <v>48</v>
      </c>
      <c r="AC748" s="706">
        <v>0</v>
      </c>
      <c r="AD748" s="706">
        <v>0</v>
      </c>
      <c r="AE748" s="706">
        <v>0</v>
      </c>
      <c r="AF748" s="706">
        <v>0</v>
      </c>
      <c r="AG748" s="706">
        <v>0</v>
      </c>
      <c r="AH748" s="706">
        <v>7</v>
      </c>
      <c r="AI748" s="706">
        <v>7</v>
      </c>
      <c r="AJ748" s="905" t="str">
        <f t="shared" si="72"/>
        <v>G47905</v>
      </c>
      <c r="AK748" s="905" t="str">
        <f t="shared" si="73"/>
        <v>VTE -PEINT CONC-BODY</v>
      </c>
      <c r="AL748" s="905">
        <f>IFERROR(INDEX(G748:R748,1,MATCH(Parametres!$B$3,G$1:R$1,0)-1)*IF(OR(F748="L",F748="S",F748="I"),-1,1),"")</f>
        <v>-8325.6200000000008</v>
      </c>
      <c r="AM748" s="905">
        <f t="shared" si="68"/>
        <v>-10583.81</v>
      </c>
      <c r="AN748" s="905">
        <f>INDEX(G748:R748,1,MATCH(Parametres!$B$3,G$1:R$1,0))*IF(OR(F748="L",F748="S",F748="I"),-1,1)</f>
        <v>-18909.43</v>
      </c>
      <c r="AO748" s="487" t="str">
        <f>+VLOOKUP($AJ748,Data_Validation!$A:$D,1,0)</f>
        <v>G47905</v>
      </c>
      <c r="AP748" s="487" t="str">
        <f>+VLOOKUP($AJ748,Data_Validation!$A:$D,3,0)</f>
        <v>Carrosserie</v>
      </c>
      <c r="AQ748" s="487" t="str">
        <f>+VLOOKUP($AJ748,Data_Validation!$A:$D,4,0)</f>
        <v>Carrosserie Concessions</v>
      </c>
      <c r="AR748" s="487" t="s">
        <v>299</v>
      </c>
      <c r="AS748" s="487" t="str">
        <f>+VLOOKUP($AJ748,Data_Validation!$A:$E,5,0)</f>
        <v>Oui</v>
      </c>
      <c r="AT748" s="904" t="str">
        <f t="shared" si="69"/>
        <v>G47905</v>
      </c>
      <c r="AU748" s="488" t="str">
        <f t="shared" si="70"/>
        <v>VTE -PEINT CONC-BODY</v>
      </c>
      <c r="AV748" s="899">
        <f>IFERROR(INDEX(V748:AG748,1,MATCH(Parametres!$B$3,V$1:AG$1,0)-1)*IF(OR(C748="L",C748="S",C748="I"),-1,1),"")</f>
        <v>18</v>
      </c>
      <c r="AW748" s="899">
        <f t="shared" si="71"/>
        <v>22</v>
      </c>
      <c r="AX748" s="899">
        <f>INDEX(V748:AG748,1,MATCH(Parametres!$B$3,V$1:AG$1,0))*IF(OR(C748="L",C748="S",C748="I"),-1,1)</f>
        <v>40</v>
      </c>
      <c r="AY748" s="487" t="s">
        <v>337</v>
      </c>
      <c r="AZ748" s="487" t="str">
        <f>+VLOOKUP($AJ748,Data_Validation!$A:$E,5,0)</f>
        <v>Oui</v>
      </c>
    </row>
    <row r="749" spans="1:52" ht="15" customHeight="1">
      <c r="A749" s="706" t="s">
        <v>1148</v>
      </c>
      <c r="B749" s="706">
        <v>2026</v>
      </c>
      <c r="C749" s="706" t="s">
        <v>2547</v>
      </c>
      <c r="D749" s="706" t="s">
        <v>2548</v>
      </c>
      <c r="E749" s="706" t="s">
        <v>1151</v>
      </c>
      <c r="F749" s="706" t="s">
        <v>1149</v>
      </c>
      <c r="G749" s="706">
        <v>0</v>
      </c>
      <c r="H749" s="706">
        <v>0</v>
      </c>
      <c r="I749" s="706">
        <v>0</v>
      </c>
      <c r="J749" s="706">
        <v>0</v>
      </c>
      <c r="K749" s="706">
        <v>2666.08</v>
      </c>
      <c r="L749" s="706">
        <v>9429.58</v>
      </c>
      <c r="M749" s="706">
        <v>11047.53</v>
      </c>
      <c r="N749" s="706">
        <v>0</v>
      </c>
      <c r="O749" s="706">
        <v>0</v>
      </c>
      <c r="P749" s="706">
        <v>0</v>
      </c>
      <c r="Q749" s="706">
        <v>0</v>
      </c>
      <c r="R749" s="706">
        <v>0</v>
      </c>
      <c r="S749" s="706">
        <v>1571.6</v>
      </c>
      <c r="T749" s="706">
        <v>1571.6</v>
      </c>
      <c r="U749" s="706">
        <v>0</v>
      </c>
      <c r="V749" s="706">
        <v>0</v>
      </c>
      <c r="W749" s="706">
        <v>0</v>
      </c>
      <c r="X749" s="706">
        <v>0</v>
      </c>
      <c r="Y749" s="706">
        <v>0</v>
      </c>
      <c r="Z749" s="706">
        <v>12</v>
      </c>
      <c r="AA749" s="706">
        <v>42</v>
      </c>
      <c r="AB749" s="706">
        <v>55</v>
      </c>
      <c r="AC749" s="706">
        <v>0</v>
      </c>
      <c r="AD749" s="706">
        <v>0</v>
      </c>
      <c r="AE749" s="706">
        <v>0</v>
      </c>
      <c r="AF749" s="706">
        <v>0</v>
      </c>
      <c r="AG749" s="706">
        <v>0</v>
      </c>
      <c r="AH749" s="706">
        <v>7</v>
      </c>
      <c r="AI749" s="706">
        <v>7</v>
      </c>
      <c r="AJ749" s="905" t="str">
        <f t="shared" si="72"/>
        <v>G47910</v>
      </c>
      <c r="AK749" s="905" t="str">
        <f t="shared" si="73"/>
        <v>VTE -M-ATELIER CLT-BODY</v>
      </c>
      <c r="AL749" s="905">
        <f>IFERROR(INDEX(G749:R749,1,MATCH(Parametres!$B$3,G$1:R$1,0)-1)*IF(OR(F749="L",F749="S",F749="I"),-1,1),"")</f>
        <v>-2666.08</v>
      </c>
      <c r="AM749" s="905">
        <f t="shared" si="68"/>
        <v>-6763.5</v>
      </c>
      <c r="AN749" s="905">
        <f>INDEX(G749:R749,1,MATCH(Parametres!$B$3,G$1:R$1,0))*IF(OR(F749="L",F749="S",F749="I"),-1,1)</f>
        <v>-9429.58</v>
      </c>
      <c r="AO749" s="487" t="str">
        <f>+VLOOKUP($AJ749,Data_Validation!$A:$D,1,0)</f>
        <v>G47910</v>
      </c>
      <c r="AP749" s="487" t="str">
        <f>+VLOOKUP($AJ749,Data_Validation!$A:$D,3,0)</f>
        <v>Carrosserie</v>
      </c>
      <c r="AQ749" s="487" t="str">
        <f>+VLOOKUP($AJ749,Data_Validation!$A:$D,4,0)</f>
        <v>Carrosserie Clients</v>
      </c>
      <c r="AR749" s="487" t="s">
        <v>299</v>
      </c>
      <c r="AS749" s="487" t="str">
        <f>+VLOOKUP($AJ749,Data_Validation!$A:$E,5,0)</f>
        <v>Oui</v>
      </c>
      <c r="AT749" s="904" t="str">
        <f t="shared" si="69"/>
        <v>G47910</v>
      </c>
      <c r="AU749" s="488" t="str">
        <f t="shared" si="70"/>
        <v>VTE -M-ATELIER CLT-BODY</v>
      </c>
      <c r="AV749" s="899">
        <f>IFERROR(INDEX(V749:AG749,1,MATCH(Parametres!$B$3,V$1:AG$1,0)-1)*IF(OR(C749="L",C749="S",C749="I"),-1,1),"")</f>
        <v>12</v>
      </c>
      <c r="AW749" s="899">
        <f t="shared" si="71"/>
        <v>30</v>
      </c>
      <c r="AX749" s="899">
        <f>INDEX(V749:AG749,1,MATCH(Parametres!$B$3,V$1:AG$1,0))*IF(OR(C749="L",C749="S",C749="I"),-1,1)</f>
        <v>42</v>
      </c>
      <c r="AY749" s="487" t="s">
        <v>337</v>
      </c>
      <c r="AZ749" s="487" t="str">
        <f>+VLOOKUP($AJ749,Data_Validation!$A:$E,5,0)</f>
        <v>Oui</v>
      </c>
    </row>
    <row r="750" spans="1:52" ht="15" customHeight="1">
      <c r="A750" s="706" t="s">
        <v>1148</v>
      </c>
      <c r="B750" s="706">
        <v>2026</v>
      </c>
      <c r="C750" s="706" t="s">
        <v>2549</v>
      </c>
      <c r="D750" s="706" t="s">
        <v>2550</v>
      </c>
      <c r="E750" s="706" t="s">
        <v>1151</v>
      </c>
      <c r="F750" s="706" t="s">
        <v>1149</v>
      </c>
      <c r="G750" s="706">
        <v>0</v>
      </c>
      <c r="H750" s="706">
        <v>0</v>
      </c>
      <c r="I750" s="706">
        <v>0</v>
      </c>
      <c r="J750" s="706">
        <v>0</v>
      </c>
      <c r="K750" s="706">
        <v>180.84</v>
      </c>
      <c r="L750" s="706">
        <v>510.43</v>
      </c>
      <c r="M750" s="706">
        <v>674.91</v>
      </c>
      <c r="N750" s="706">
        <v>0</v>
      </c>
      <c r="O750" s="706">
        <v>0</v>
      </c>
      <c r="P750" s="706">
        <v>0</v>
      </c>
      <c r="Q750" s="706">
        <v>0</v>
      </c>
      <c r="R750" s="706">
        <v>0</v>
      </c>
      <c r="S750" s="706">
        <v>85.07</v>
      </c>
      <c r="T750" s="706">
        <v>85.07</v>
      </c>
      <c r="U750" s="706">
        <v>0</v>
      </c>
      <c r="V750" s="706">
        <v>0</v>
      </c>
      <c r="W750" s="706">
        <v>0</v>
      </c>
      <c r="X750" s="706">
        <v>0</v>
      </c>
      <c r="Y750" s="706">
        <v>0</v>
      </c>
      <c r="Z750" s="706">
        <v>2</v>
      </c>
      <c r="AA750" s="706">
        <v>6</v>
      </c>
      <c r="AB750" s="706">
        <v>8</v>
      </c>
      <c r="AC750" s="706">
        <v>0</v>
      </c>
      <c r="AD750" s="706">
        <v>0</v>
      </c>
      <c r="AE750" s="706">
        <v>0</v>
      </c>
      <c r="AF750" s="706">
        <v>0</v>
      </c>
      <c r="AG750" s="706">
        <v>0</v>
      </c>
      <c r="AH750" s="706">
        <v>1</v>
      </c>
      <c r="AI750" s="706">
        <v>1</v>
      </c>
      <c r="AJ750" s="905" t="str">
        <f t="shared" si="72"/>
        <v>G47913</v>
      </c>
      <c r="AK750" s="905" t="str">
        <f t="shared" si="73"/>
        <v>VTE -M. ATEL.INTERN-BODY</v>
      </c>
      <c r="AL750" s="905">
        <f>IFERROR(INDEX(G750:R750,1,MATCH(Parametres!$B$3,G$1:R$1,0)-1)*IF(OR(F750="L",F750="S",F750="I"),-1,1),"")</f>
        <v>-180.84</v>
      </c>
      <c r="AM750" s="905">
        <f t="shared" si="68"/>
        <v>-329.59000000000003</v>
      </c>
      <c r="AN750" s="905">
        <f>INDEX(G750:R750,1,MATCH(Parametres!$B$3,G$1:R$1,0))*IF(OR(F750="L",F750="S",F750="I"),-1,1)</f>
        <v>-510.43</v>
      </c>
      <c r="AO750" s="487" t="str">
        <f>+VLOOKUP($AJ750,Data_Validation!$A:$D,1,0)</f>
        <v>G47913</v>
      </c>
      <c r="AP750" s="487" t="str">
        <f>+VLOOKUP($AJ750,Data_Validation!$A:$D,3,0)</f>
        <v>Carrosserie</v>
      </c>
      <c r="AQ750" s="487" t="str">
        <f>+VLOOKUP($AJ750,Data_Validation!$A:$D,4,0)</f>
        <v>Carrosserie Interne</v>
      </c>
      <c r="AR750" s="487" t="s">
        <v>299</v>
      </c>
      <c r="AS750" s="487" t="str">
        <f>+VLOOKUP($AJ750,Data_Validation!$A:$E,5,0)</f>
        <v>Oui</v>
      </c>
      <c r="AT750" s="904" t="str">
        <f t="shared" si="69"/>
        <v>G47913</v>
      </c>
      <c r="AU750" s="488" t="str">
        <f t="shared" si="70"/>
        <v>VTE -M. ATEL.INTERN-BODY</v>
      </c>
      <c r="AV750" s="899">
        <f>IFERROR(INDEX(V750:AG750,1,MATCH(Parametres!$B$3,V$1:AG$1,0)-1)*IF(OR(C750="L",C750="S",C750="I"),-1,1),"")</f>
        <v>2</v>
      </c>
      <c r="AW750" s="899">
        <f t="shared" si="71"/>
        <v>4</v>
      </c>
      <c r="AX750" s="899">
        <f>INDEX(V750:AG750,1,MATCH(Parametres!$B$3,V$1:AG$1,0))*IF(OR(C750="L",C750="S",C750="I"),-1,1)</f>
        <v>6</v>
      </c>
      <c r="AY750" s="487" t="s">
        <v>337</v>
      </c>
      <c r="AZ750" s="487" t="str">
        <f>+VLOOKUP($AJ750,Data_Validation!$A:$E,5,0)</f>
        <v>Oui</v>
      </c>
    </row>
    <row r="751" spans="1:52" ht="15" customHeight="1">
      <c r="A751" s="706" t="s">
        <v>1148</v>
      </c>
      <c r="B751" s="706">
        <v>2026</v>
      </c>
      <c r="C751" s="706" t="s">
        <v>2551</v>
      </c>
      <c r="D751" s="706" t="s">
        <v>2552</v>
      </c>
      <c r="E751" s="706" t="s">
        <v>1151</v>
      </c>
      <c r="F751" s="706" t="s">
        <v>1149</v>
      </c>
      <c r="G751" s="706">
        <v>0</v>
      </c>
      <c r="H751" s="706">
        <v>0</v>
      </c>
      <c r="I751" s="706">
        <v>0</v>
      </c>
      <c r="J751" s="706">
        <v>0</v>
      </c>
      <c r="K751" s="706">
        <v>1133.0999999999999</v>
      </c>
      <c r="L751" s="706">
        <v>5151.83</v>
      </c>
      <c r="M751" s="706">
        <v>5846.66</v>
      </c>
      <c r="N751" s="706">
        <v>0</v>
      </c>
      <c r="O751" s="706">
        <v>0</v>
      </c>
      <c r="P751" s="706">
        <v>0</v>
      </c>
      <c r="Q751" s="706">
        <v>0</v>
      </c>
      <c r="R751" s="706">
        <v>0</v>
      </c>
      <c r="S751" s="706">
        <v>858.64</v>
      </c>
      <c r="T751" s="706">
        <v>858.64</v>
      </c>
      <c r="U751" s="706">
        <v>0</v>
      </c>
      <c r="V751" s="706">
        <v>0</v>
      </c>
      <c r="W751" s="706">
        <v>0</v>
      </c>
      <c r="X751" s="706">
        <v>0</v>
      </c>
      <c r="Y751" s="706">
        <v>0</v>
      </c>
      <c r="Z751" s="706">
        <v>12</v>
      </c>
      <c r="AA751" s="706">
        <v>32</v>
      </c>
      <c r="AB751" s="706">
        <v>40</v>
      </c>
      <c r="AC751" s="706">
        <v>0</v>
      </c>
      <c r="AD751" s="706">
        <v>0</v>
      </c>
      <c r="AE751" s="706">
        <v>0</v>
      </c>
      <c r="AF751" s="706">
        <v>0</v>
      </c>
      <c r="AG751" s="706">
        <v>0</v>
      </c>
      <c r="AH751" s="706">
        <v>5</v>
      </c>
      <c r="AI751" s="706">
        <v>5</v>
      </c>
      <c r="AJ751" s="905" t="str">
        <f t="shared" si="72"/>
        <v>G47915</v>
      </c>
      <c r="AK751" s="905" t="str">
        <f t="shared" si="73"/>
        <v>VTE -M.A CONCES. BODY</v>
      </c>
      <c r="AL751" s="905">
        <f>IFERROR(INDEX(G751:R751,1,MATCH(Parametres!$B$3,G$1:R$1,0)-1)*IF(OR(F751="L",F751="S",F751="I"),-1,1),"")</f>
        <v>-1133.0999999999999</v>
      </c>
      <c r="AM751" s="905">
        <f t="shared" si="68"/>
        <v>-4018.73</v>
      </c>
      <c r="AN751" s="905">
        <f>INDEX(G751:R751,1,MATCH(Parametres!$B$3,G$1:R$1,0))*IF(OR(F751="L",F751="S",F751="I"),-1,1)</f>
        <v>-5151.83</v>
      </c>
      <c r="AO751" s="487" t="str">
        <f>+VLOOKUP($AJ751,Data_Validation!$A:$D,1,0)</f>
        <v>G47915</v>
      </c>
      <c r="AP751" s="487" t="str">
        <f>+VLOOKUP($AJ751,Data_Validation!$A:$D,3,0)</f>
        <v>Carrosserie</v>
      </c>
      <c r="AQ751" s="487" t="str">
        <f>+VLOOKUP($AJ751,Data_Validation!$A:$D,4,0)</f>
        <v>Carrosserie Concessions</v>
      </c>
      <c r="AR751" s="487" t="s">
        <v>299</v>
      </c>
      <c r="AS751" s="487" t="str">
        <f>+VLOOKUP($AJ751,Data_Validation!$A:$E,5,0)</f>
        <v>Oui</v>
      </c>
      <c r="AT751" s="904" t="str">
        <f t="shared" si="69"/>
        <v>G47915</v>
      </c>
      <c r="AU751" s="488" t="str">
        <f t="shared" si="70"/>
        <v>VTE -M.A CONCES. BODY</v>
      </c>
      <c r="AV751" s="899">
        <f>IFERROR(INDEX(V751:AG751,1,MATCH(Parametres!$B$3,V$1:AG$1,0)-1)*IF(OR(C751="L",C751="S",C751="I"),-1,1),"")</f>
        <v>12</v>
      </c>
      <c r="AW751" s="899">
        <f t="shared" si="71"/>
        <v>20</v>
      </c>
      <c r="AX751" s="899">
        <f>INDEX(V751:AG751,1,MATCH(Parametres!$B$3,V$1:AG$1,0))*IF(OR(C751="L",C751="S",C751="I"),-1,1)</f>
        <v>32</v>
      </c>
      <c r="AY751" s="487" t="s">
        <v>337</v>
      </c>
      <c r="AZ751" s="487" t="str">
        <f>+VLOOKUP($AJ751,Data_Validation!$A:$E,5,0)</f>
        <v>Oui</v>
      </c>
    </row>
    <row r="752" spans="1:52" ht="15" customHeight="1">
      <c r="A752" s="706" t="s">
        <v>1148</v>
      </c>
      <c r="B752" s="706">
        <v>2026</v>
      </c>
      <c r="C752" s="706" t="s">
        <v>2553</v>
      </c>
      <c r="D752" s="706" t="s">
        <v>2554</v>
      </c>
      <c r="E752" s="706" t="s">
        <v>1151</v>
      </c>
      <c r="F752" s="706" t="s">
        <v>1149</v>
      </c>
      <c r="G752" s="706">
        <v>55197.67</v>
      </c>
      <c r="H752" s="706">
        <v>107368.4</v>
      </c>
      <c r="I752" s="706">
        <v>183959.93</v>
      </c>
      <c r="J752" s="706">
        <v>242239.2</v>
      </c>
      <c r="K752" s="706">
        <v>269829.43</v>
      </c>
      <c r="L752" s="706">
        <v>360086.9</v>
      </c>
      <c r="M752" s="706">
        <v>381991.37</v>
      </c>
      <c r="N752" s="706">
        <v>0</v>
      </c>
      <c r="O752" s="706">
        <v>0</v>
      </c>
      <c r="P752" s="706">
        <v>0</v>
      </c>
      <c r="Q752" s="706">
        <v>0</v>
      </c>
      <c r="R752" s="706">
        <v>0</v>
      </c>
      <c r="S752" s="706">
        <v>60014.48</v>
      </c>
      <c r="T752" s="706">
        <v>60014.48</v>
      </c>
      <c r="U752" s="706">
        <v>0</v>
      </c>
      <c r="V752" s="706">
        <v>202</v>
      </c>
      <c r="W752" s="706">
        <v>387</v>
      </c>
      <c r="X752" s="706">
        <v>642</v>
      </c>
      <c r="Y752" s="706">
        <v>833</v>
      </c>
      <c r="Z752" s="706">
        <v>992</v>
      </c>
      <c r="AA752" s="706">
        <v>1258</v>
      </c>
      <c r="AB752" s="706">
        <v>1324</v>
      </c>
      <c r="AC752" s="706">
        <v>0</v>
      </c>
      <c r="AD752" s="706">
        <v>0</v>
      </c>
      <c r="AE752" s="706">
        <v>0</v>
      </c>
      <c r="AF752" s="706">
        <v>0</v>
      </c>
      <c r="AG752" s="706">
        <v>0</v>
      </c>
      <c r="AH752" s="706">
        <v>210</v>
      </c>
      <c r="AI752" s="706">
        <v>210</v>
      </c>
      <c r="AJ752" s="905" t="str">
        <f t="shared" si="72"/>
        <v>G48000</v>
      </c>
      <c r="AK752" s="905" t="str">
        <f t="shared" si="73"/>
        <v>VTES-PIECES GARANTIES</v>
      </c>
      <c r="AL752" s="905">
        <f>IFERROR(INDEX(G752:R752,1,MATCH(Parametres!$B$3,G$1:R$1,0)-1)*IF(OR(F752="L",F752="S",F752="I"),-1,1),"")</f>
        <v>-269829.43</v>
      </c>
      <c r="AM752" s="905">
        <f t="shared" si="68"/>
        <v>-90257.47000000003</v>
      </c>
      <c r="AN752" s="905">
        <f>INDEX(G752:R752,1,MATCH(Parametres!$B$3,G$1:R$1,0))*IF(OR(F752="L",F752="S",F752="I"),-1,1)</f>
        <v>-360086.9</v>
      </c>
      <c r="AO752" s="487" t="str">
        <f>+VLOOKUP($AJ752,Data_Validation!$A:$D,1,0)</f>
        <v>G48000</v>
      </c>
      <c r="AP752" s="487" t="str">
        <f>+VLOOKUP($AJ752,Data_Validation!$A:$D,3,0)</f>
        <v>Pièces</v>
      </c>
      <c r="AQ752" s="487" t="str">
        <f>+VLOOKUP($AJ752,Data_Validation!$A:$D,4,0)</f>
        <v>P/A Garantie</v>
      </c>
      <c r="AR752" s="487" t="s">
        <v>299</v>
      </c>
      <c r="AS752" s="487" t="str">
        <f>+VLOOKUP($AJ752,Data_Validation!$A:$E,5,0)</f>
        <v>Oui</v>
      </c>
      <c r="AT752" s="904" t="str">
        <f t="shared" si="69"/>
        <v>G48000</v>
      </c>
      <c r="AU752" s="488" t="str">
        <f t="shared" si="70"/>
        <v>VTES-PIECES GARANTIES</v>
      </c>
      <c r="AV752" s="899">
        <f>IFERROR(INDEX(V752:AG752,1,MATCH(Parametres!$B$3,V$1:AG$1,0)-1)*IF(OR(C752="L",C752="S",C752="I"),-1,1),"")</f>
        <v>992</v>
      </c>
      <c r="AW752" s="899">
        <f t="shared" si="71"/>
        <v>266</v>
      </c>
      <c r="AX752" s="899">
        <f>INDEX(V752:AG752,1,MATCH(Parametres!$B$3,V$1:AG$1,0))*IF(OR(C752="L",C752="S",C752="I"),-1,1)</f>
        <v>1258</v>
      </c>
      <c r="AY752" s="487" t="s">
        <v>337</v>
      </c>
      <c r="AZ752" s="487" t="str">
        <f>+VLOOKUP($AJ752,Data_Validation!$A:$E,5,0)</f>
        <v>Oui</v>
      </c>
    </row>
    <row r="753" spans="1:52" ht="15" customHeight="1">
      <c r="A753" s="706" t="s">
        <v>1148</v>
      </c>
      <c r="B753" s="706">
        <v>2026</v>
      </c>
      <c r="C753" s="706" t="s">
        <v>2555</v>
      </c>
      <c r="D753" s="706" t="s">
        <v>2556</v>
      </c>
      <c r="E753" s="706" t="s">
        <v>1151</v>
      </c>
      <c r="F753" s="706" t="s">
        <v>1149</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G48020</v>
      </c>
      <c r="AK753" s="905" t="str">
        <f t="shared" si="73"/>
        <v>VTES-PCE RECLAM.CAM MOYEN</v>
      </c>
      <c r="AL753" s="905">
        <f>IFERROR(INDEX(G753:R753,1,MATCH(Parametres!$B$3,G$1:R$1,0)-1)*IF(OR(F753="L",F753="S",F753="I"),-1,1),"")</f>
        <v>0</v>
      </c>
      <c r="AM753" s="905">
        <f t="shared" si="68"/>
        <v>0</v>
      </c>
      <c r="AN753" s="905">
        <f>INDEX(G753:R753,1,MATCH(Parametres!$B$3,G$1:R$1,0))*IF(OR(F753="L",F753="S",F753="I"),-1,1)</f>
        <v>0</v>
      </c>
      <c r="AO753" s="487" t="str">
        <f>+VLOOKUP($AJ753,Data_Validation!$A:$D,1,0)</f>
        <v>G48020</v>
      </c>
      <c r="AP753" s="487" t="str">
        <f>+VLOOKUP($AJ753,Data_Validation!$A:$D,3,0)</f>
        <v>Pièces</v>
      </c>
      <c r="AQ753" s="487" t="str">
        <f>+VLOOKUP($AJ753,Data_Validation!$A:$D,4,0)</f>
        <v>P/A Garantie</v>
      </c>
      <c r="AR753" s="487" t="s">
        <v>299</v>
      </c>
      <c r="AS753" s="487" t="str">
        <f>+VLOOKUP($AJ753,Data_Validation!$A:$E,5,0)</f>
        <v>Oui</v>
      </c>
      <c r="AT753" s="904" t="str">
        <f t="shared" si="69"/>
        <v>G48020</v>
      </c>
      <c r="AU753" s="488" t="str">
        <f t="shared" si="70"/>
        <v>VTES-PCE RECLAM.CAM MOYEN</v>
      </c>
      <c r="AV753" s="899">
        <f>IFERROR(INDEX(V753:AG753,1,MATCH(Parametres!$B$3,V$1:AG$1,0)-1)*IF(OR(C753="L",C753="S",C753="I"),-1,1),"")</f>
        <v>0</v>
      </c>
      <c r="AW753" s="899">
        <f t="shared" si="71"/>
        <v>0</v>
      </c>
      <c r="AX753" s="899">
        <f>INDEX(V753:AG753,1,MATCH(Parametres!$B$3,V$1:AG$1,0))*IF(OR(C753="L",C753="S",C753="I"),-1,1)</f>
        <v>0</v>
      </c>
      <c r="AY753" s="487" t="s">
        <v>337</v>
      </c>
      <c r="AZ753" s="487" t="str">
        <f>+VLOOKUP($AJ753,Data_Validation!$A:$E,5,0)</f>
        <v>Oui</v>
      </c>
    </row>
    <row r="754" spans="1:52" ht="15" customHeight="1">
      <c r="A754" s="706" t="s">
        <v>1148</v>
      </c>
      <c r="B754" s="706">
        <v>2026</v>
      </c>
      <c r="C754" s="706" t="s">
        <v>2557</v>
      </c>
      <c r="D754" s="706" t="s">
        <v>2558</v>
      </c>
      <c r="E754" s="706" t="s">
        <v>1151</v>
      </c>
      <c r="F754" s="706" t="s">
        <v>1149</v>
      </c>
      <c r="G754" s="706">
        <v>45959.51</v>
      </c>
      <c r="H754" s="706">
        <v>105251.2</v>
      </c>
      <c r="I754" s="706">
        <v>165218.51999999999</v>
      </c>
      <c r="J754" s="706">
        <v>233121.15</v>
      </c>
      <c r="K754" s="706">
        <v>275045.87</v>
      </c>
      <c r="L754" s="706">
        <v>322913.62</v>
      </c>
      <c r="M754" s="706">
        <v>345857.45</v>
      </c>
      <c r="N754" s="706">
        <v>0</v>
      </c>
      <c r="O754" s="706">
        <v>0</v>
      </c>
      <c r="P754" s="706">
        <v>0</v>
      </c>
      <c r="Q754" s="706">
        <v>0</v>
      </c>
      <c r="R754" s="706">
        <v>0</v>
      </c>
      <c r="S754" s="706">
        <v>53818.94</v>
      </c>
      <c r="T754" s="706">
        <v>53818.94</v>
      </c>
      <c r="U754" s="706">
        <v>0</v>
      </c>
      <c r="V754" s="706">
        <v>170</v>
      </c>
      <c r="W754" s="706">
        <v>328</v>
      </c>
      <c r="X754" s="706">
        <v>544</v>
      </c>
      <c r="Y754" s="706">
        <v>750</v>
      </c>
      <c r="Z754" s="706">
        <v>898</v>
      </c>
      <c r="AA754" s="706">
        <v>1083</v>
      </c>
      <c r="AB754" s="706">
        <v>1154</v>
      </c>
      <c r="AC754" s="706">
        <v>0</v>
      </c>
      <c r="AD754" s="706">
        <v>0</v>
      </c>
      <c r="AE754" s="706">
        <v>0</v>
      </c>
      <c r="AF754" s="706">
        <v>0</v>
      </c>
      <c r="AG754" s="706">
        <v>0</v>
      </c>
      <c r="AH754" s="706">
        <v>181</v>
      </c>
      <c r="AI754" s="706">
        <v>181</v>
      </c>
      <c r="AJ754" s="905" t="str">
        <f t="shared" si="72"/>
        <v>G48100</v>
      </c>
      <c r="AK754" s="905" t="str">
        <f t="shared" si="73"/>
        <v>VTES-PIECES INTERNE</v>
      </c>
      <c r="AL754" s="905">
        <f>IFERROR(INDEX(G754:R754,1,MATCH(Parametres!$B$3,G$1:R$1,0)-1)*IF(OR(F754="L",F754="S",F754="I"),-1,1),"")</f>
        <v>-275045.87</v>
      </c>
      <c r="AM754" s="905">
        <f t="shared" si="68"/>
        <v>-47867.75</v>
      </c>
      <c r="AN754" s="905">
        <f>INDEX(G754:R754,1,MATCH(Parametres!$B$3,G$1:R$1,0))*IF(OR(F754="L",F754="S",F754="I"),-1,1)</f>
        <v>-322913.62</v>
      </c>
      <c r="AO754" s="487" t="str">
        <f>+VLOOKUP($AJ754,Data_Validation!$A:$D,1,0)</f>
        <v>G48100</v>
      </c>
      <c r="AP754" s="487" t="str">
        <f>+VLOOKUP($AJ754,Data_Validation!$A:$D,3,0)</f>
        <v>Pièces</v>
      </c>
      <c r="AQ754" s="487" t="str">
        <f>+VLOOKUP($AJ754,Data_Validation!$A:$D,4,0)</f>
        <v>Ventes Internes</v>
      </c>
      <c r="AR754" s="487" t="s">
        <v>299</v>
      </c>
      <c r="AS754" s="487" t="str">
        <f>+VLOOKUP($AJ754,Data_Validation!$A:$E,5,0)</f>
        <v>Oui</v>
      </c>
      <c r="AT754" s="904" t="str">
        <f t="shared" si="69"/>
        <v>G48100</v>
      </c>
      <c r="AU754" s="488" t="str">
        <f t="shared" si="70"/>
        <v>VTES-PIECES INTERNE</v>
      </c>
      <c r="AV754" s="899">
        <f>IFERROR(INDEX(V754:AG754,1,MATCH(Parametres!$B$3,V$1:AG$1,0)-1)*IF(OR(C754="L",C754="S",C754="I"),-1,1),"")</f>
        <v>898</v>
      </c>
      <c r="AW754" s="899">
        <f t="shared" si="71"/>
        <v>185</v>
      </c>
      <c r="AX754" s="899">
        <f>INDEX(V754:AG754,1,MATCH(Parametres!$B$3,V$1:AG$1,0))*IF(OR(C754="L",C754="S",C754="I"),-1,1)</f>
        <v>1083</v>
      </c>
      <c r="AY754" s="487" t="s">
        <v>337</v>
      </c>
      <c r="AZ754" s="487" t="str">
        <f>+VLOOKUP($AJ754,Data_Validation!$A:$E,5,0)</f>
        <v>Oui</v>
      </c>
    </row>
    <row r="755" spans="1:52" ht="15" customHeight="1">
      <c r="A755" s="706" t="s">
        <v>1148</v>
      </c>
      <c r="B755" s="706">
        <v>2026</v>
      </c>
      <c r="C755" s="706" t="s">
        <v>2559</v>
      </c>
      <c r="D755" s="706" t="s">
        <v>2560</v>
      </c>
      <c r="E755" s="706" t="s">
        <v>1151</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G48120</v>
      </c>
      <c r="AK755" s="905" t="str">
        <f t="shared" si="73"/>
        <v>VTES-PCE INTERN CAM MOYEN</v>
      </c>
      <c r="AL755" s="905">
        <f>IFERROR(INDEX(G755:R755,1,MATCH(Parametres!$B$3,G$1:R$1,0)-1)*IF(OR(F755="L",F755="S",F755="I"),-1,1),"")</f>
        <v>0</v>
      </c>
      <c r="AM755" s="905">
        <f t="shared" si="68"/>
        <v>0</v>
      </c>
      <c r="AN755" s="905">
        <f>INDEX(G755:R755,1,MATCH(Parametres!$B$3,G$1:R$1,0))*IF(OR(F755="L",F755="S",F755="I"),-1,1)</f>
        <v>0</v>
      </c>
      <c r="AO755" s="487" t="str">
        <f>+VLOOKUP($AJ755,Data_Validation!$A:$D,1,0)</f>
        <v>G48120</v>
      </c>
      <c r="AP755" s="487" t="str">
        <f>+VLOOKUP($AJ755,Data_Validation!$A:$D,3,0)</f>
        <v>Pièces</v>
      </c>
      <c r="AQ755" s="487" t="str">
        <f>+VLOOKUP($AJ755,Data_Validation!$A:$D,4,0)</f>
        <v>Ventes Internes</v>
      </c>
      <c r="AR755" s="487" t="s">
        <v>299</v>
      </c>
      <c r="AS755" s="487" t="str">
        <f>+VLOOKUP($AJ755,Data_Validation!$A:$E,5,0)</f>
        <v>Oui</v>
      </c>
      <c r="AT755" s="904" t="str">
        <f t="shared" si="69"/>
        <v>G48120</v>
      </c>
      <c r="AU755" s="488" t="str">
        <f t="shared" si="70"/>
        <v>VTES-PCE INTERN CAM MOYEN</v>
      </c>
      <c r="AV755" s="899">
        <f>IFERROR(INDEX(V755:AG755,1,MATCH(Parametres!$B$3,V$1:AG$1,0)-1)*IF(OR(C755="L",C755="S",C755="I"),-1,1),"")</f>
        <v>0</v>
      </c>
      <c r="AW755" s="899">
        <f t="shared" si="71"/>
        <v>0</v>
      </c>
      <c r="AX755" s="899">
        <f>INDEX(V755:AG755,1,MATCH(Parametres!$B$3,V$1:AG$1,0))*IF(OR(C755="L",C755="S",C755="I"),-1,1)</f>
        <v>0</v>
      </c>
      <c r="AY755" s="487" t="s">
        <v>337</v>
      </c>
      <c r="AZ755" s="487" t="str">
        <f>+VLOOKUP($AJ755,Data_Validation!$A:$E,5,0)</f>
        <v>Oui</v>
      </c>
    </row>
    <row r="756" spans="1:52" ht="15" customHeight="1">
      <c r="A756" s="706" t="s">
        <v>1148</v>
      </c>
      <c r="B756" s="706">
        <v>2026</v>
      </c>
      <c r="C756" s="706" t="s">
        <v>2561</v>
      </c>
      <c r="D756" s="706" t="s">
        <v>2562</v>
      </c>
      <c r="E756" s="706" t="s">
        <v>1151</v>
      </c>
      <c r="F756" s="706" t="s">
        <v>1149</v>
      </c>
      <c r="G756" s="706">
        <v>28409.34</v>
      </c>
      <c r="H756" s="706">
        <v>49297.1</v>
      </c>
      <c r="I756" s="706">
        <v>91732.95</v>
      </c>
      <c r="J756" s="706">
        <v>130796.36</v>
      </c>
      <c r="K756" s="706">
        <v>168162.88</v>
      </c>
      <c r="L756" s="706">
        <v>218773.9</v>
      </c>
      <c r="M756" s="706">
        <v>251805.3</v>
      </c>
      <c r="N756" s="706">
        <v>0</v>
      </c>
      <c r="O756" s="706">
        <v>0</v>
      </c>
      <c r="P756" s="706">
        <v>0</v>
      </c>
      <c r="Q756" s="706">
        <v>0</v>
      </c>
      <c r="R756" s="706">
        <v>0</v>
      </c>
      <c r="S756" s="706">
        <v>36462.32</v>
      </c>
      <c r="T756" s="706">
        <v>36462.32</v>
      </c>
      <c r="U756" s="706">
        <v>0</v>
      </c>
      <c r="V756" s="706">
        <v>134</v>
      </c>
      <c r="W756" s="706">
        <v>265</v>
      </c>
      <c r="X756" s="706">
        <v>477</v>
      </c>
      <c r="Y756" s="706">
        <v>673</v>
      </c>
      <c r="Z756" s="706">
        <v>858</v>
      </c>
      <c r="AA756" s="706">
        <v>1080</v>
      </c>
      <c r="AB756" s="706">
        <v>1212</v>
      </c>
      <c r="AC756" s="706">
        <v>0</v>
      </c>
      <c r="AD756" s="706">
        <v>0</v>
      </c>
      <c r="AE756" s="706">
        <v>0</v>
      </c>
      <c r="AF756" s="706">
        <v>0</v>
      </c>
      <c r="AG756" s="706">
        <v>0</v>
      </c>
      <c r="AH756" s="706">
        <v>180</v>
      </c>
      <c r="AI756" s="706">
        <v>180</v>
      </c>
      <c r="AJ756" s="905" t="str">
        <f t="shared" si="72"/>
        <v>G48200</v>
      </c>
      <c r="AK756" s="905" t="str">
        <f t="shared" si="73"/>
        <v>VTES-PIECES AU DETAIL</v>
      </c>
      <c r="AL756" s="905">
        <f>IFERROR(INDEX(G756:R756,1,MATCH(Parametres!$B$3,G$1:R$1,0)-1)*IF(OR(F756="L",F756="S",F756="I"),-1,1),"")</f>
        <v>-168162.88</v>
      </c>
      <c r="AM756" s="905">
        <f t="shared" si="68"/>
        <v>-50611.01999999999</v>
      </c>
      <c r="AN756" s="905">
        <f>INDEX(G756:R756,1,MATCH(Parametres!$B$3,G$1:R$1,0))*IF(OR(F756="L",F756="S",F756="I"),-1,1)</f>
        <v>-218773.9</v>
      </c>
      <c r="AO756" s="487" t="str">
        <f>+VLOOKUP($AJ756,Data_Validation!$A:$D,1,0)</f>
        <v>G48200</v>
      </c>
      <c r="AP756" s="487" t="str">
        <f>+VLOOKUP($AJ756,Data_Validation!$A:$D,3,0)</f>
        <v>Pièces</v>
      </c>
      <c r="AQ756" s="487" t="str">
        <f>+VLOOKUP($AJ756,Data_Validation!$A:$D,4,0)</f>
        <v>Ventes Détails</v>
      </c>
      <c r="AR756" s="487" t="s">
        <v>299</v>
      </c>
      <c r="AS756" s="487" t="str">
        <f>+VLOOKUP($AJ756,Data_Validation!$A:$E,5,0)</f>
        <v>Oui</v>
      </c>
      <c r="AT756" s="904" t="str">
        <f t="shared" si="69"/>
        <v>G48200</v>
      </c>
      <c r="AU756" s="488" t="str">
        <f t="shared" si="70"/>
        <v>VTES-PIECES AU DETAIL</v>
      </c>
      <c r="AV756" s="899">
        <f>IFERROR(INDEX(V756:AG756,1,MATCH(Parametres!$B$3,V$1:AG$1,0)-1)*IF(OR(C756="L",C756="S",C756="I"),-1,1),"")</f>
        <v>858</v>
      </c>
      <c r="AW756" s="899">
        <f t="shared" si="71"/>
        <v>222</v>
      </c>
      <c r="AX756" s="899">
        <f>INDEX(V756:AG756,1,MATCH(Parametres!$B$3,V$1:AG$1,0))*IF(OR(C756="L",C756="S",C756="I"),-1,1)</f>
        <v>1080</v>
      </c>
      <c r="AY756" s="487" t="s">
        <v>337</v>
      </c>
      <c r="AZ756" s="487" t="str">
        <f>+VLOOKUP($AJ756,Data_Validation!$A:$E,5,0)</f>
        <v>Oui</v>
      </c>
    </row>
    <row r="757" spans="1:52" ht="15" customHeight="1">
      <c r="A757" s="706" t="s">
        <v>1148</v>
      </c>
      <c r="B757" s="706">
        <v>2026</v>
      </c>
      <c r="C757" s="706" t="s">
        <v>2563</v>
      </c>
      <c r="D757" s="706" t="s">
        <v>2564</v>
      </c>
      <c r="E757" s="706" t="s">
        <v>1151</v>
      </c>
      <c r="F757" s="706" t="s">
        <v>1149</v>
      </c>
      <c r="G757" s="706">
        <v>177580.69</v>
      </c>
      <c r="H757" s="706">
        <v>320434.94</v>
      </c>
      <c r="I757" s="706">
        <v>444997.62</v>
      </c>
      <c r="J757" s="706">
        <v>542722.81000000006</v>
      </c>
      <c r="K757" s="706">
        <v>669745.9</v>
      </c>
      <c r="L757" s="706">
        <v>794379.49</v>
      </c>
      <c r="M757" s="706">
        <v>893334.14</v>
      </c>
      <c r="N757" s="706">
        <v>0</v>
      </c>
      <c r="O757" s="706">
        <v>0</v>
      </c>
      <c r="P757" s="706">
        <v>0</v>
      </c>
      <c r="Q757" s="706">
        <v>0</v>
      </c>
      <c r="R757" s="706">
        <v>0</v>
      </c>
      <c r="S757" s="706">
        <v>132396.57999999999</v>
      </c>
      <c r="T757" s="706">
        <v>132396.57999999999</v>
      </c>
      <c r="U757" s="706">
        <v>0</v>
      </c>
      <c r="V757" s="706">
        <v>410</v>
      </c>
      <c r="W757" s="706">
        <v>772</v>
      </c>
      <c r="X757" s="706">
        <v>1157</v>
      </c>
      <c r="Y757" s="706">
        <v>1447</v>
      </c>
      <c r="Z757" s="706">
        <v>1762</v>
      </c>
      <c r="AA757" s="706">
        <v>2090</v>
      </c>
      <c r="AB757" s="706">
        <v>2296</v>
      </c>
      <c r="AC757" s="706">
        <v>0</v>
      </c>
      <c r="AD757" s="706">
        <v>0</v>
      </c>
      <c r="AE757" s="706">
        <v>0</v>
      </c>
      <c r="AF757" s="706">
        <v>0</v>
      </c>
      <c r="AG757" s="706">
        <v>0</v>
      </c>
      <c r="AH757" s="706">
        <v>348</v>
      </c>
      <c r="AI757" s="706">
        <v>348</v>
      </c>
      <c r="AJ757" s="905" t="str">
        <f t="shared" si="72"/>
        <v>G48300</v>
      </c>
      <c r="AK757" s="905" t="str">
        <f t="shared" si="73"/>
        <v>VTES-PIECES EN GROS</v>
      </c>
      <c r="AL757" s="905">
        <f>IFERROR(INDEX(G757:R757,1,MATCH(Parametres!$B$3,G$1:R$1,0)-1)*IF(OR(F757="L",F757="S",F757="I"),-1,1),"")</f>
        <v>-669745.9</v>
      </c>
      <c r="AM757" s="905">
        <f t="shared" si="68"/>
        <v>-124633.58999999997</v>
      </c>
      <c r="AN757" s="905">
        <f>INDEX(G757:R757,1,MATCH(Parametres!$B$3,G$1:R$1,0))*IF(OR(F757="L",F757="S",F757="I"),-1,1)</f>
        <v>-794379.49</v>
      </c>
      <c r="AO757" s="487" t="str">
        <f>+VLOOKUP($AJ757,Data_Validation!$A:$D,1,0)</f>
        <v>G48300</v>
      </c>
      <c r="AP757" s="487" t="str">
        <f>+VLOOKUP($AJ757,Data_Validation!$A:$D,3,0)</f>
        <v>Pièces</v>
      </c>
      <c r="AQ757" s="487" t="str">
        <f>+VLOOKUP($AJ757,Data_Validation!$A:$D,4,0)</f>
        <v>Ventes de Gros</v>
      </c>
      <c r="AR757" s="487" t="s">
        <v>299</v>
      </c>
      <c r="AS757" s="487" t="str">
        <f>+VLOOKUP($AJ757,Data_Validation!$A:$E,5,0)</f>
        <v>Oui</v>
      </c>
      <c r="AT757" s="904" t="str">
        <f t="shared" si="69"/>
        <v>G48300</v>
      </c>
      <c r="AU757" s="488" t="str">
        <f t="shared" si="70"/>
        <v>VTES-PIECES EN GROS</v>
      </c>
      <c r="AV757" s="899">
        <f>IFERROR(INDEX(V757:AG757,1,MATCH(Parametres!$B$3,V$1:AG$1,0)-1)*IF(OR(C757="L",C757="S",C757="I"),-1,1),"")</f>
        <v>1762</v>
      </c>
      <c r="AW757" s="899">
        <f t="shared" si="71"/>
        <v>328</v>
      </c>
      <c r="AX757" s="899">
        <f>INDEX(V757:AG757,1,MATCH(Parametres!$B$3,V$1:AG$1,0))*IF(OR(C757="L",C757="S",C757="I"),-1,1)</f>
        <v>2090</v>
      </c>
      <c r="AY757" s="487" t="s">
        <v>337</v>
      </c>
      <c r="AZ757" s="487" t="str">
        <f>+VLOOKUP($AJ757,Data_Validation!$A:$E,5,0)</f>
        <v>Oui</v>
      </c>
    </row>
    <row r="758" spans="1:52" ht="15" customHeight="1">
      <c r="A758" s="706" t="s">
        <v>1148</v>
      </c>
      <c r="B758" s="706">
        <v>2026</v>
      </c>
      <c r="C758" s="706" t="s">
        <v>2565</v>
      </c>
      <c r="D758" s="706" t="s">
        <v>2566</v>
      </c>
      <c r="E758" s="706" t="s">
        <v>333</v>
      </c>
      <c r="F758" s="706" t="s">
        <v>1149</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G48700</v>
      </c>
      <c r="AK758" s="905" t="str">
        <f t="shared" si="73"/>
        <v>*ESCOMPTES DE VOLUME</v>
      </c>
      <c r="AL758" s="905">
        <f>IFERROR(INDEX(G758:R758,1,MATCH(Parametres!$B$3,G$1:R$1,0)-1)*IF(OR(F758="L",F758="S",F758="I"),-1,1),"")</f>
        <v>0</v>
      </c>
      <c r="AM758" s="905">
        <f t="shared" si="68"/>
        <v>0</v>
      </c>
      <c r="AN758" s="905">
        <f>INDEX(G758:R758,1,MATCH(Parametres!$B$3,G$1:R$1,0))*IF(OR(F758="L",F758="S",F758="I"),-1,1)</f>
        <v>0</v>
      </c>
      <c r="AO758" s="487" t="str">
        <f>+VLOOKUP($AJ758,Data_Validation!$A:$D,1,0)</f>
        <v>G48700</v>
      </c>
      <c r="AP758" s="487">
        <f>+VLOOKUP($AJ758,Data_Validation!$A:$D,3,0)</f>
        <v>0</v>
      </c>
      <c r="AQ758" s="487">
        <f>+VLOOKUP($AJ758,Data_Validation!$A:$D,4,0)</f>
        <v>0</v>
      </c>
      <c r="AR758" s="487" t="s">
        <v>299</v>
      </c>
      <c r="AS758" s="487">
        <f>+VLOOKUP($AJ758,Data_Validation!$A:$E,5,0)</f>
        <v>0</v>
      </c>
      <c r="AT758" s="904" t="str">
        <f t="shared" si="69"/>
        <v>G48700</v>
      </c>
      <c r="AU758" s="488" t="str">
        <f t="shared" si="70"/>
        <v>*ESCOMPTES DE VOLUME</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customHeight="1">
      <c r="A759" s="706" t="s">
        <v>1148</v>
      </c>
      <c r="B759" s="706">
        <v>2026</v>
      </c>
      <c r="C759" s="706" t="s">
        <v>2567</v>
      </c>
      <c r="D759" s="706" t="s">
        <v>2568</v>
      </c>
      <c r="E759" s="706" t="s">
        <v>333</v>
      </c>
      <c r="F759" s="706" t="s">
        <v>1149</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G48800</v>
      </c>
      <c r="AK759" s="905" t="str">
        <f t="shared" si="73"/>
        <v>*RECTIFIC.STOCK PIECES</v>
      </c>
      <c r="AL759" s="905">
        <f>IFERROR(INDEX(G759:R759,1,MATCH(Parametres!$B$3,G$1:R$1,0)-1)*IF(OR(F759="L",F759="S",F759="I"),-1,1),"")</f>
        <v>0</v>
      </c>
      <c r="AM759" s="905">
        <f t="shared" si="68"/>
        <v>0</v>
      </c>
      <c r="AN759" s="905">
        <f>INDEX(G759:R759,1,MATCH(Parametres!$B$3,G$1:R$1,0))*IF(OR(F759="L",F759="S",F759="I"),-1,1)</f>
        <v>0</v>
      </c>
      <c r="AO759" s="487" t="str">
        <f>+VLOOKUP($AJ759,Data_Validation!$A:$D,1,0)</f>
        <v>G48800</v>
      </c>
      <c r="AP759" s="487">
        <f>+VLOOKUP($AJ759,Data_Validation!$A:$D,3,0)</f>
        <v>0</v>
      </c>
      <c r="AQ759" s="487">
        <f>+VLOOKUP($AJ759,Data_Validation!$A:$D,4,0)</f>
        <v>0</v>
      </c>
      <c r="AR759" s="487" t="s">
        <v>299</v>
      </c>
      <c r="AS759" s="487">
        <f>+VLOOKUP($AJ759,Data_Validation!$A:$E,5,0)</f>
        <v>0</v>
      </c>
      <c r="AT759" s="904" t="str">
        <f t="shared" si="69"/>
        <v>G48800</v>
      </c>
      <c r="AU759" s="488" t="str">
        <f t="shared" si="70"/>
        <v>*RECTIFIC.STOCK PIECES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customHeight="1">
      <c r="A760" s="706" t="s">
        <v>1148</v>
      </c>
      <c r="B760" s="706">
        <v>2026</v>
      </c>
      <c r="C760" s="706" t="s">
        <v>2569</v>
      </c>
      <c r="D760" s="706" t="s">
        <v>2570</v>
      </c>
      <c r="E760" s="706" t="s">
        <v>1151</v>
      </c>
      <c r="F760" s="706" t="s">
        <v>1149</v>
      </c>
      <c r="G760" s="706">
        <v>40036.18</v>
      </c>
      <c r="H760" s="706">
        <v>70738.16</v>
      </c>
      <c r="I760" s="706">
        <v>87648.34</v>
      </c>
      <c r="J760" s="706">
        <v>113298.18</v>
      </c>
      <c r="K760" s="706">
        <v>128407.36</v>
      </c>
      <c r="L760" s="706">
        <v>147040.26999999999</v>
      </c>
      <c r="M760" s="706">
        <v>151175.75</v>
      </c>
      <c r="N760" s="706">
        <v>0</v>
      </c>
      <c r="O760" s="706">
        <v>0</v>
      </c>
      <c r="P760" s="706">
        <v>0</v>
      </c>
      <c r="Q760" s="706">
        <v>0</v>
      </c>
      <c r="R760" s="706">
        <v>0</v>
      </c>
      <c r="S760" s="706">
        <v>24506.71</v>
      </c>
      <c r="T760" s="706">
        <v>24506.71</v>
      </c>
      <c r="U760" s="706">
        <v>0</v>
      </c>
      <c r="V760" s="706">
        <v>39</v>
      </c>
      <c r="W760" s="706">
        <v>72</v>
      </c>
      <c r="X760" s="706">
        <v>86</v>
      </c>
      <c r="Y760" s="706">
        <v>115</v>
      </c>
      <c r="Z760" s="706">
        <v>132</v>
      </c>
      <c r="AA760" s="706">
        <v>152</v>
      </c>
      <c r="AB760" s="706">
        <v>157</v>
      </c>
      <c r="AC760" s="706">
        <v>0</v>
      </c>
      <c r="AD760" s="706">
        <v>0</v>
      </c>
      <c r="AE760" s="706">
        <v>0</v>
      </c>
      <c r="AF760" s="706">
        <v>0</v>
      </c>
      <c r="AG760" s="706">
        <v>0</v>
      </c>
      <c r="AH760" s="706">
        <v>25</v>
      </c>
      <c r="AI760" s="706">
        <v>25</v>
      </c>
      <c r="AJ760" s="905" t="str">
        <f t="shared" si="72"/>
        <v>G49000</v>
      </c>
      <c r="AK760" s="905" t="str">
        <f t="shared" si="73"/>
        <v>VTES-DE PNEUS</v>
      </c>
      <c r="AL760" s="905">
        <f>IFERROR(INDEX(G760:R760,1,MATCH(Parametres!$B$3,G$1:R$1,0)-1)*IF(OR(F760="L",F760="S",F760="I"),-1,1),"")</f>
        <v>-128407.36</v>
      </c>
      <c r="AM760" s="905">
        <f t="shared" si="68"/>
        <v>-18632.909999999989</v>
      </c>
      <c r="AN760" s="905">
        <f>INDEX(G760:R760,1,MATCH(Parametres!$B$3,G$1:R$1,0))*IF(OR(F760="L",F760="S",F760="I"),-1,1)</f>
        <v>-147040.26999999999</v>
      </c>
      <c r="AO760" s="487" t="str">
        <f>+VLOOKUP($AJ760,Data_Validation!$A:$D,1,0)</f>
        <v>G49000</v>
      </c>
      <c r="AP760" s="487" t="str">
        <f>+VLOOKUP($AJ760,Data_Validation!$A:$D,3,0)</f>
        <v>Pièces</v>
      </c>
      <c r="AQ760" s="487" t="str">
        <f>+VLOOKUP($AJ760,Data_Validation!$A:$D,4,0)</f>
        <v>Ventes Pneus</v>
      </c>
      <c r="AR760" s="487" t="s">
        <v>299</v>
      </c>
      <c r="AS760" s="487" t="str">
        <f>+VLOOKUP($AJ760,Data_Validation!$A:$E,5,0)</f>
        <v>Oui</v>
      </c>
      <c r="AT760" s="904" t="str">
        <f t="shared" si="69"/>
        <v>G49000</v>
      </c>
      <c r="AU760" s="488" t="str">
        <f t="shared" si="70"/>
        <v>VTES-DE PNEUS</v>
      </c>
      <c r="AV760" s="899">
        <f>IFERROR(INDEX(V760:AG760,1,MATCH(Parametres!$B$3,V$1:AG$1,0)-1)*IF(OR(C760="L",C760="S",C760="I"),-1,1),"")</f>
        <v>132</v>
      </c>
      <c r="AW760" s="899">
        <f t="shared" si="71"/>
        <v>20</v>
      </c>
      <c r="AX760" s="899">
        <f>INDEX(V760:AG760,1,MATCH(Parametres!$B$3,V$1:AG$1,0))*IF(OR(C760="L",C760="S",C760="I"),-1,1)</f>
        <v>152</v>
      </c>
      <c r="AY760" s="487" t="s">
        <v>337</v>
      </c>
      <c r="AZ760" s="487" t="str">
        <f>+VLOOKUP($AJ760,Data_Validation!$A:$E,5,0)</f>
        <v>Oui</v>
      </c>
    </row>
    <row r="761" spans="1:52" ht="15" customHeight="1">
      <c r="A761" s="706" t="s">
        <v>1148</v>
      </c>
      <c r="B761" s="706">
        <v>2026</v>
      </c>
      <c r="C761" s="706" t="s">
        <v>2571</v>
      </c>
      <c r="D761" s="706" t="s">
        <v>2572</v>
      </c>
      <c r="E761" s="706" t="s">
        <v>1151</v>
      </c>
      <c r="F761" s="706" t="s">
        <v>1149</v>
      </c>
      <c r="G761" s="706">
        <v>9627.3799999999992</v>
      </c>
      <c r="H761" s="706">
        <v>19499.64</v>
      </c>
      <c r="I761" s="706">
        <v>32785.910000000003</v>
      </c>
      <c r="J761" s="706">
        <v>44242.82</v>
      </c>
      <c r="K761" s="706">
        <v>55841.85</v>
      </c>
      <c r="L761" s="706">
        <v>70711.05</v>
      </c>
      <c r="M761" s="706">
        <v>76905.22</v>
      </c>
      <c r="N761" s="706">
        <v>0</v>
      </c>
      <c r="O761" s="706">
        <v>0</v>
      </c>
      <c r="P761" s="706">
        <v>0</v>
      </c>
      <c r="Q761" s="706">
        <v>0</v>
      </c>
      <c r="R761" s="706">
        <v>0</v>
      </c>
      <c r="S761" s="706">
        <v>11785.18</v>
      </c>
      <c r="T761" s="706">
        <v>11785.18</v>
      </c>
      <c r="U761" s="706">
        <v>0</v>
      </c>
      <c r="V761" s="706">
        <v>140</v>
      </c>
      <c r="W761" s="706">
        <v>273</v>
      </c>
      <c r="X761" s="706">
        <v>453</v>
      </c>
      <c r="Y761" s="706">
        <v>656</v>
      </c>
      <c r="Z761" s="706">
        <v>845</v>
      </c>
      <c r="AA761" s="706">
        <v>1067</v>
      </c>
      <c r="AB761" s="706">
        <v>1154</v>
      </c>
      <c r="AC761" s="706">
        <v>0</v>
      </c>
      <c r="AD761" s="706">
        <v>0</v>
      </c>
      <c r="AE761" s="706">
        <v>0</v>
      </c>
      <c r="AF761" s="706">
        <v>0</v>
      </c>
      <c r="AG761" s="706">
        <v>0</v>
      </c>
      <c r="AH761" s="706">
        <v>178</v>
      </c>
      <c r="AI761" s="706">
        <v>178</v>
      </c>
      <c r="AJ761" s="905" t="str">
        <f t="shared" si="72"/>
        <v>G49100</v>
      </c>
      <c r="AK761" s="905" t="str">
        <f t="shared" si="73"/>
        <v>VTES-HUILES &amp; GRAISSE</v>
      </c>
      <c r="AL761" s="905">
        <f>IFERROR(INDEX(G761:R761,1,MATCH(Parametres!$B$3,G$1:R$1,0)-1)*IF(OR(F761="L",F761="S",F761="I"),-1,1),"")</f>
        <v>-55841.85</v>
      </c>
      <c r="AM761" s="905">
        <f t="shared" si="68"/>
        <v>-14869.200000000004</v>
      </c>
      <c r="AN761" s="905">
        <f>INDEX(G761:R761,1,MATCH(Parametres!$B$3,G$1:R$1,0))*IF(OR(F761="L",F761="S",F761="I"),-1,1)</f>
        <v>-70711.05</v>
      </c>
      <c r="AO761" s="487" t="str">
        <f>+VLOOKUP($AJ761,Data_Validation!$A:$D,1,0)</f>
        <v>G49100</v>
      </c>
      <c r="AP761" s="487" t="str">
        <f>+VLOOKUP($AJ761,Data_Validation!$A:$D,3,0)</f>
        <v>Pièces</v>
      </c>
      <c r="AQ761" s="487" t="str">
        <f>+VLOOKUP($AJ761,Data_Validation!$A:$D,4,0)</f>
        <v>Huiles et Graisse</v>
      </c>
      <c r="AR761" s="487" t="s">
        <v>299</v>
      </c>
      <c r="AS761" s="487" t="str">
        <f>+VLOOKUP($AJ761,Data_Validation!$A:$E,5,0)</f>
        <v>Oui</v>
      </c>
      <c r="AT761" s="904" t="str">
        <f t="shared" si="69"/>
        <v>G49100</v>
      </c>
      <c r="AU761" s="488" t="str">
        <f t="shared" si="70"/>
        <v>VTES-HUILES &amp; GRAISSE</v>
      </c>
      <c r="AV761" s="899">
        <f>IFERROR(INDEX(V761:AG761,1,MATCH(Parametres!$B$3,V$1:AG$1,0)-1)*IF(OR(C761="L",C761="S",C761="I"),-1,1),"")</f>
        <v>845</v>
      </c>
      <c r="AW761" s="899">
        <f t="shared" si="71"/>
        <v>222</v>
      </c>
      <c r="AX761" s="899">
        <f>INDEX(V761:AG761,1,MATCH(Parametres!$B$3,V$1:AG$1,0))*IF(OR(C761="L",C761="S",C761="I"),-1,1)</f>
        <v>1067</v>
      </c>
      <c r="AY761" s="487" t="s">
        <v>337</v>
      </c>
      <c r="AZ761" s="487" t="str">
        <f>+VLOOKUP($AJ761,Data_Validation!$A:$E,5,0)</f>
        <v>Oui</v>
      </c>
    </row>
    <row r="762" spans="1:52" ht="15" customHeight="1">
      <c r="A762" s="706" t="s">
        <v>1148</v>
      </c>
      <c r="B762" s="706">
        <v>2026</v>
      </c>
      <c r="C762" s="706" t="s">
        <v>2573</v>
      </c>
      <c r="D762" s="706" t="s">
        <v>2574</v>
      </c>
      <c r="E762" s="706" t="s">
        <v>333</v>
      </c>
      <c r="F762" s="706" t="s">
        <v>1150</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G50210</v>
      </c>
      <c r="AK762" s="905" t="str">
        <f t="shared" si="73"/>
        <v>REVENUS LOCATION SERVICE</v>
      </c>
      <c r="AL762" s="905">
        <f>IFERROR(INDEX(G762:R762,1,MATCH(Parametres!$B$3,G$1:R$1,0)-1)*IF(OR(F762="L",F762="S",F762="I"),-1,1),"")</f>
        <v>0</v>
      </c>
      <c r="AM762" s="905">
        <f t="shared" si="68"/>
        <v>0</v>
      </c>
      <c r="AN762" s="905">
        <f>INDEX(G762:R762,1,MATCH(Parametres!$B$3,G$1:R$1,0))*IF(OR(F762="L",F762="S",F762="I"),-1,1)</f>
        <v>0</v>
      </c>
      <c r="AO762" s="487" t="str">
        <f>+VLOOKUP($AJ762,Data_Validation!$A:$D,1,0)</f>
        <v>G50210</v>
      </c>
      <c r="AP762" s="487" t="str">
        <f>+VLOOKUP($AJ762,Data_Validation!$A:$D,3,0)</f>
        <v>Service</v>
      </c>
      <c r="AQ762" s="487" t="str">
        <f>+VLOOKUP($AJ762,Data_Validation!$A:$D,4,0)</f>
        <v>Frais véhicules de cie</v>
      </c>
      <c r="AR762" s="487" t="s">
        <v>299</v>
      </c>
      <c r="AS762" s="487">
        <f>+VLOOKUP($AJ762,Data_Validation!$A:$E,5,0)</f>
        <v>0</v>
      </c>
      <c r="AT762" s="904" t="str">
        <f t="shared" si="69"/>
        <v>G50210</v>
      </c>
      <c r="AU762" s="488" t="str">
        <f t="shared" si="70"/>
        <v>REVENUS LOCATION SERVICE</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customHeight="1">
      <c r="A763" s="706" t="s">
        <v>1148</v>
      </c>
      <c r="B763" s="706">
        <v>2026</v>
      </c>
      <c r="C763" s="706" t="s">
        <v>2575</v>
      </c>
      <c r="D763" s="706" t="s">
        <v>2576</v>
      </c>
      <c r="E763" s="706" t="s">
        <v>333</v>
      </c>
      <c r="F763" s="706" t="s">
        <v>1150</v>
      </c>
      <c r="G763" s="706">
        <v>0</v>
      </c>
      <c r="H763" s="706">
        <v>-3076.58</v>
      </c>
      <c r="I763" s="706">
        <v>-3310.58</v>
      </c>
      <c r="J763" s="706">
        <v>-4666.43</v>
      </c>
      <c r="K763" s="706">
        <v>-5040.79</v>
      </c>
      <c r="L763" s="706">
        <v>-5092.79</v>
      </c>
      <c r="M763" s="706">
        <v>-5092.79</v>
      </c>
      <c r="N763" s="706">
        <v>0</v>
      </c>
      <c r="O763" s="706">
        <v>0</v>
      </c>
      <c r="P763" s="706">
        <v>0</v>
      </c>
      <c r="Q763" s="706">
        <v>0</v>
      </c>
      <c r="R763" s="706">
        <v>0</v>
      </c>
      <c r="S763" s="706">
        <v>-848.8</v>
      </c>
      <c r="T763" s="706">
        <v>-848.8</v>
      </c>
      <c r="U763" s="706">
        <v>0</v>
      </c>
      <c r="V763" s="706">
        <v>0</v>
      </c>
      <c r="W763" s="706">
        <v>-4</v>
      </c>
      <c r="X763" s="706">
        <v>-5</v>
      </c>
      <c r="Y763" s="706">
        <v>-6</v>
      </c>
      <c r="Z763" s="706">
        <v>-7</v>
      </c>
      <c r="AA763" s="706">
        <v>-8</v>
      </c>
      <c r="AB763" s="706">
        <v>-8</v>
      </c>
      <c r="AC763" s="706">
        <v>0</v>
      </c>
      <c r="AD763" s="706">
        <v>0</v>
      </c>
      <c r="AE763" s="706">
        <v>0</v>
      </c>
      <c r="AF763" s="706">
        <v>0</v>
      </c>
      <c r="AG763" s="706">
        <v>0</v>
      </c>
      <c r="AH763" s="706">
        <v>-1</v>
      </c>
      <c r="AI763" s="706">
        <v>-1</v>
      </c>
      <c r="AJ763" s="905" t="str">
        <f t="shared" si="72"/>
        <v>G50220</v>
      </c>
      <c r="AK763" s="905" t="str">
        <f t="shared" si="73"/>
        <v>REVENUS LOCATION BODY</v>
      </c>
      <c r="AL763" s="905">
        <f>IFERROR(INDEX(G763:R763,1,MATCH(Parametres!$B$3,G$1:R$1,0)-1)*IF(OR(F763="L",F763="S",F763="I"),-1,1),"")</f>
        <v>5040.79</v>
      </c>
      <c r="AM763" s="905">
        <f t="shared" si="68"/>
        <v>52</v>
      </c>
      <c r="AN763" s="905">
        <f>INDEX(G763:R763,1,MATCH(Parametres!$B$3,G$1:R$1,0))*IF(OR(F763="L",F763="S",F763="I"),-1,1)</f>
        <v>5092.79</v>
      </c>
      <c r="AO763" s="487" t="str">
        <f>+VLOOKUP($AJ763,Data_Validation!$A:$D,1,0)</f>
        <v>G50220</v>
      </c>
      <c r="AP763" s="487" t="str">
        <f>+VLOOKUP($AJ763,Data_Validation!$A:$D,3,0)</f>
        <v>Carrosserie</v>
      </c>
      <c r="AQ763" s="487" t="str">
        <f>+VLOOKUP($AJ763,Data_Validation!$A:$D,4,0)</f>
        <v>Frais véhicules de cie</v>
      </c>
      <c r="AR763" s="487" t="s">
        <v>299</v>
      </c>
      <c r="AS763" s="487">
        <f>+VLOOKUP($AJ763,Data_Validation!$A:$E,5,0)</f>
        <v>0</v>
      </c>
      <c r="AT763" s="904" t="str">
        <f t="shared" si="69"/>
        <v>G50220</v>
      </c>
      <c r="AU763" s="488" t="str">
        <f t="shared" si="70"/>
        <v>REVENUS LOCATION BODY</v>
      </c>
      <c r="AV763" s="899">
        <f>IFERROR(INDEX(V763:AG763,1,MATCH(Parametres!$B$3,V$1:AG$1,0)-1)*IF(OR(C763="L",C763="S",C763="I"),-1,1),"")</f>
        <v>-7</v>
      </c>
      <c r="AW763" s="899">
        <f t="shared" si="71"/>
        <v>-1</v>
      </c>
      <c r="AX763" s="899">
        <f>INDEX(V763:AG763,1,MATCH(Parametres!$B$3,V$1:AG$1,0))*IF(OR(C763="L",C763="S",C763="I"),-1,1)</f>
        <v>-8</v>
      </c>
      <c r="AY763" s="487" t="s">
        <v>337</v>
      </c>
      <c r="AZ763" s="487">
        <f>+VLOOKUP($AJ763,Data_Validation!$A:$E,5,0)</f>
        <v>0</v>
      </c>
    </row>
    <row r="764" spans="1:52" ht="15" customHeight="1">
      <c r="A764" s="706" t="s">
        <v>1148</v>
      </c>
      <c r="B764" s="706">
        <v>2026</v>
      </c>
      <c r="C764" s="706" t="s">
        <v>2577</v>
      </c>
      <c r="D764" s="706" t="s">
        <v>2578</v>
      </c>
      <c r="E764" s="706" t="s">
        <v>333</v>
      </c>
      <c r="F764" s="706" t="s">
        <v>1150</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G511</v>
      </c>
      <c r="AK764" s="905" t="str">
        <f t="shared" si="73"/>
        <v>PMNT PER. LOC.BAIL-SIMPLE</v>
      </c>
      <c r="AL764" s="905">
        <f>IFERROR(INDEX(G764:R764,1,MATCH(Parametres!$B$3,G$1:R$1,0)-1)*IF(OR(F764="L",F764="S",F764="I"),-1,1),"")</f>
        <v>0</v>
      </c>
      <c r="AM764" s="905">
        <f t="shared" si="68"/>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t="str">
        <f t="shared" si="69"/>
        <v>G511</v>
      </c>
      <c r="AU764" s="488" t="str">
        <f t="shared" si="70"/>
        <v>PMNT PER. LOC.BAIL-SIMPLE</v>
      </c>
      <c r="AV764" s="899">
        <f>IFERROR(INDEX(V764:AG764,1,MATCH(Parametres!$B$3,V$1:AG$1,0)-1)*IF(OR(C764="L",C764="S",C764="I"),-1,1),"")</f>
        <v>0</v>
      </c>
      <c r="AW764" s="899">
        <f t="shared" si="71"/>
        <v>0</v>
      </c>
      <c r="AX764" s="899">
        <f>INDEX(V764:AG764,1,MATCH(Parametres!$B$3,V$1:AG$1,0))*IF(OR(C764="L",C764="S",C764="I"),-1,1)</f>
        <v>0</v>
      </c>
      <c r="AY764" s="487" t="s">
        <v>337</v>
      </c>
      <c r="AZ764" s="487" t="e">
        <f>+VLOOKUP($AJ764,Data_Validation!$A:$E,5,0)</f>
        <v>#N/A</v>
      </c>
    </row>
    <row r="765" spans="1:52" ht="15" customHeight="1">
      <c r="A765" s="706" t="s">
        <v>1148</v>
      </c>
      <c r="B765" s="706">
        <v>2026</v>
      </c>
      <c r="C765" s="706" t="s">
        <v>2579</v>
      </c>
      <c r="D765" s="706" t="s">
        <v>2580</v>
      </c>
      <c r="E765" s="706" t="s">
        <v>333</v>
      </c>
      <c r="F765" s="706" t="s">
        <v>1150</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G512</v>
      </c>
      <c r="AK765" s="905" t="str">
        <f t="shared" si="73"/>
        <v>REVENU ENTRETIEN  -SIMPLE</v>
      </c>
      <c r="AL765" s="905">
        <f>IFERROR(INDEX(G765:R765,1,MATCH(Parametres!$B$3,G$1:R$1,0)-1)*IF(OR(F765="L",F765="S",F765="I"),-1,1),"")</f>
        <v>0</v>
      </c>
      <c r="AM765" s="905">
        <f t="shared" si="68"/>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t="str">
        <f t="shared" si="69"/>
        <v>G512</v>
      </c>
      <c r="AU765" s="488" t="str">
        <f t="shared" si="70"/>
        <v>REVENU ENTRETIEN  -SIMPLE</v>
      </c>
      <c r="AV765" s="899">
        <f>IFERROR(INDEX(V765:AG765,1,MATCH(Parametres!$B$3,V$1:AG$1,0)-1)*IF(OR(C765="L",C765="S",C765="I"),-1,1),"")</f>
        <v>0</v>
      </c>
      <c r="AW765" s="899">
        <f t="shared" si="71"/>
        <v>0</v>
      </c>
      <c r="AX765" s="899">
        <f>INDEX(V765:AG765,1,MATCH(Parametres!$B$3,V$1:AG$1,0))*IF(OR(C765="L",C765="S",C765="I"),-1,1)</f>
        <v>0</v>
      </c>
      <c r="AY765" s="487" t="s">
        <v>337</v>
      </c>
      <c r="AZ765" s="487" t="e">
        <f>+VLOOKUP($AJ765,Data_Validation!$A:$E,5,0)</f>
        <v>#N/A</v>
      </c>
    </row>
    <row r="766" spans="1:52" ht="15" customHeight="1">
      <c r="A766" s="706" t="s">
        <v>1148</v>
      </c>
      <c r="B766" s="706">
        <v>2026</v>
      </c>
      <c r="C766" s="706" t="s">
        <v>2581</v>
      </c>
      <c r="D766" s="706" t="s">
        <v>2582</v>
      </c>
      <c r="E766" s="706" t="s">
        <v>333</v>
      </c>
      <c r="F766" s="706" t="s">
        <v>1150</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G513</v>
      </c>
      <c r="AK766" s="905" t="str">
        <f t="shared" si="73"/>
        <v>REV.PARTIEL MOIS  -SIMPLE</v>
      </c>
      <c r="AL766" s="905">
        <f>IFERROR(INDEX(G766:R766,1,MATCH(Parametres!$B$3,G$1:R$1,0)-1)*IF(OR(F766="L",F766="S",F766="I"),-1,1),"")</f>
        <v>0</v>
      </c>
      <c r="AM766" s="905">
        <f t="shared" si="68"/>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t="str">
        <f t="shared" si="69"/>
        <v>G513</v>
      </c>
      <c r="AU766" s="488" t="str">
        <f t="shared" si="70"/>
        <v>REV.PARTIEL MOIS  -SIMPLE</v>
      </c>
      <c r="AV766" s="899">
        <f>IFERROR(INDEX(V766:AG766,1,MATCH(Parametres!$B$3,V$1:AG$1,0)-1)*IF(OR(C766="L",C766="S",C766="I"),-1,1),"")</f>
        <v>0</v>
      </c>
      <c r="AW766" s="899">
        <f t="shared" si="71"/>
        <v>0</v>
      </c>
      <c r="AX766" s="899">
        <f>INDEX(V766:AG766,1,MATCH(Parametres!$B$3,V$1:AG$1,0))*IF(OR(C766="L",C766="S",C766="I"),-1,1)</f>
        <v>0</v>
      </c>
      <c r="AY766" s="487" t="s">
        <v>337</v>
      </c>
      <c r="AZ766" s="487" t="e">
        <f>+VLOOKUP($AJ766,Data_Validation!$A:$E,5,0)</f>
        <v>#N/A</v>
      </c>
    </row>
    <row r="767" spans="1:52" ht="15" customHeight="1">
      <c r="A767" s="706" t="s">
        <v>1148</v>
      </c>
      <c r="B767" s="706">
        <v>2026</v>
      </c>
      <c r="C767" s="706" t="s">
        <v>2583</v>
      </c>
      <c r="D767" s="706" t="s">
        <v>2584</v>
      </c>
      <c r="E767" s="706" t="s">
        <v>333</v>
      </c>
      <c r="F767" s="706" t="s">
        <v>1150</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G514</v>
      </c>
      <c r="AK767" s="905" t="str">
        <f t="shared" si="73"/>
        <v>FRAIS PMNT TARDIF -SIMPLE</v>
      </c>
      <c r="AL767" s="905">
        <f>IFERROR(INDEX(G767:R767,1,MATCH(Parametres!$B$3,G$1:R$1,0)-1)*IF(OR(F767="L",F767="S",F767="I"),-1,1),"")</f>
        <v>0</v>
      </c>
      <c r="AM767" s="905">
        <f t="shared" si="68"/>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t="str">
        <f t="shared" si="69"/>
        <v>G514</v>
      </c>
      <c r="AU767" s="488" t="str">
        <f t="shared" si="70"/>
        <v>FRAIS PMNT TARDIF -SIMPLE</v>
      </c>
      <c r="AV767" s="899">
        <f>IFERROR(INDEX(V767:AG767,1,MATCH(Parametres!$B$3,V$1:AG$1,0)-1)*IF(OR(C767="L",C767="S",C767="I"),-1,1),"")</f>
        <v>0</v>
      </c>
      <c r="AW767" s="899">
        <f t="shared" si="71"/>
        <v>0</v>
      </c>
      <c r="AX767" s="899">
        <f>INDEX(V767:AG767,1,MATCH(Parametres!$B$3,V$1:AG$1,0))*IF(OR(C767="L",C767="S",C767="I"),-1,1)</f>
        <v>0</v>
      </c>
      <c r="AY767" s="487" t="s">
        <v>337</v>
      </c>
      <c r="AZ767" s="487" t="e">
        <f>+VLOOKUP($AJ767,Data_Validation!$A:$E,5,0)</f>
        <v>#N/A</v>
      </c>
    </row>
    <row r="768" spans="1:52" ht="15" customHeight="1">
      <c r="A768" s="706" t="s">
        <v>1148</v>
      </c>
      <c r="B768" s="706">
        <v>2026</v>
      </c>
      <c r="C768" s="706" t="s">
        <v>2585</v>
      </c>
      <c r="D768" s="706" t="s">
        <v>2586</v>
      </c>
      <c r="E768" s="706" t="s">
        <v>333</v>
      </c>
      <c r="F768" s="706" t="s">
        <v>1150</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G516</v>
      </c>
      <c r="AK768" s="905" t="str">
        <f t="shared" si="73"/>
        <v>FRAIS ADMINIST.   -SIMPLE</v>
      </c>
      <c r="AL768" s="905">
        <f>IFERROR(INDEX(G768:R768,1,MATCH(Parametres!$B$3,G$1:R$1,0)-1)*IF(OR(F768="L",F768="S",F768="I"),-1,1),"")</f>
        <v>0</v>
      </c>
      <c r="AM768" s="905">
        <f t="shared" si="68"/>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t="str">
        <f t="shared" si="69"/>
        <v>G516</v>
      </c>
      <c r="AU768" s="488" t="str">
        <f t="shared" si="70"/>
        <v>FRAIS ADMINIST.   -SIMPLE</v>
      </c>
      <c r="AV768" s="899">
        <f>IFERROR(INDEX(V768:AG768,1,MATCH(Parametres!$B$3,V$1:AG$1,0)-1)*IF(OR(C768="L",C768="S",C768="I"),-1,1),"")</f>
        <v>0</v>
      </c>
      <c r="AW768" s="899">
        <f t="shared" si="71"/>
        <v>0</v>
      </c>
      <c r="AX768" s="899">
        <f>INDEX(V768:AG768,1,MATCH(Parametres!$B$3,V$1:AG$1,0))*IF(OR(C768="L",C768="S",C768="I"),-1,1)</f>
        <v>0</v>
      </c>
      <c r="AY768" s="487" t="s">
        <v>337</v>
      </c>
      <c r="AZ768" s="487" t="e">
        <f>+VLOOKUP($AJ768,Data_Validation!$A:$E,5,0)</f>
        <v>#N/A</v>
      </c>
    </row>
    <row r="769" spans="1:52" ht="15" customHeight="1">
      <c r="A769" s="706" t="s">
        <v>1148</v>
      </c>
      <c r="B769" s="706">
        <v>2026</v>
      </c>
      <c r="C769" s="706" t="s">
        <v>2587</v>
      </c>
      <c r="D769" s="706" t="s">
        <v>2588</v>
      </c>
      <c r="E769" s="706" t="s">
        <v>333</v>
      </c>
      <c r="F769" s="706" t="s">
        <v>1150</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G517</v>
      </c>
      <c r="AK769" s="905" t="str">
        <f t="shared" si="73"/>
        <v>AUTRES REV.LOCAT. -SIMPLE</v>
      </c>
      <c r="AL769" s="905">
        <f>IFERROR(INDEX(G769:R769,1,MATCH(Parametres!$B$3,G$1:R$1,0)-1)*IF(OR(F769="L",F769="S",F769="I"),-1,1),"")</f>
        <v>0</v>
      </c>
      <c r="AM769" s="905">
        <f t="shared" si="68"/>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t="str">
        <f t="shared" si="69"/>
        <v>G517</v>
      </c>
      <c r="AU769" s="488" t="str">
        <f t="shared" si="70"/>
        <v>AUTRES REV.LOCAT. -SIMPLE</v>
      </c>
      <c r="AV769" s="899">
        <f>IFERROR(INDEX(V769:AG769,1,MATCH(Parametres!$B$3,V$1:AG$1,0)-1)*IF(OR(C769="L",C769="S",C769="I"),-1,1),"")</f>
        <v>0</v>
      </c>
      <c r="AW769" s="899">
        <f t="shared" si="71"/>
        <v>0</v>
      </c>
      <c r="AX769" s="899">
        <f>INDEX(V769:AG769,1,MATCH(Parametres!$B$3,V$1:AG$1,0))*IF(OR(C769="L",C769="S",C769="I"),-1,1)</f>
        <v>0</v>
      </c>
      <c r="AY769" s="487" t="s">
        <v>337</v>
      </c>
      <c r="AZ769" s="487" t="e">
        <f>+VLOOKUP($AJ769,Data_Validation!$A:$E,5,0)</f>
        <v>#N/A</v>
      </c>
    </row>
    <row r="770" spans="1:52" ht="15" customHeight="1">
      <c r="A770" s="706" t="s">
        <v>1148</v>
      </c>
      <c r="B770" s="706">
        <v>2026</v>
      </c>
      <c r="C770" s="706" t="s">
        <v>2589</v>
      </c>
      <c r="D770" s="706" t="s">
        <v>2590</v>
      </c>
      <c r="E770" s="706" t="s">
        <v>333</v>
      </c>
      <c r="F770" s="706" t="s">
        <v>1150</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G521</v>
      </c>
      <c r="AK770" s="905" t="str">
        <f t="shared" si="73"/>
        <v>PMNT PER. LOC.BAIL-ALEATO</v>
      </c>
      <c r="AL770" s="905">
        <f>IFERROR(INDEX(G770:R770,1,MATCH(Parametres!$B$3,G$1:R$1,0)-1)*IF(OR(F770="L",F770="S",F770="I"),-1,1),"")</f>
        <v>0</v>
      </c>
      <c r="AM770" s="905">
        <f t="shared" si="68"/>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t="str">
        <f t="shared" si="69"/>
        <v>G521</v>
      </c>
      <c r="AU770" s="488" t="str">
        <f t="shared" si="70"/>
        <v>PMNT PER. LOC.BAIL-ALEATO</v>
      </c>
      <c r="AV770" s="899">
        <f>IFERROR(INDEX(V770:AG770,1,MATCH(Parametres!$B$3,V$1:AG$1,0)-1)*IF(OR(C770="L",C770="S",C770="I"),-1,1),"")</f>
        <v>0</v>
      </c>
      <c r="AW770" s="899">
        <f t="shared" si="71"/>
        <v>0</v>
      </c>
      <c r="AX770" s="899">
        <f>INDEX(V770:AG770,1,MATCH(Parametres!$B$3,V$1:AG$1,0))*IF(OR(C770="L",C770="S",C770="I"),-1,1)</f>
        <v>0</v>
      </c>
      <c r="AY770" s="487" t="s">
        <v>337</v>
      </c>
      <c r="AZ770" s="487" t="e">
        <f>+VLOOKUP($AJ770,Data_Validation!$A:$E,5,0)</f>
        <v>#N/A</v>
      </c>
    </row>
    <row r="771" spans="1:52" ht="15" customHeight="1">
      <c r="A771" s="706" t="s">
        <v>1148</v>
      </c>
      <c r="B771" s="706">
        <v>2026</v>
      </c>
      <c r="C771" s="706" t="s">
        <v>2591</v>
      </c>
      <c r="D771" s="706" t="s">
        <v>2592</v>
      </c>
      <c r="E771" s="706" t="s">
        <v>333</v>
      </c>
      <c r="F771" s="706" t="s">
        <v>1150</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G522</v>
      </c>
      <c r="AK771" s="905" t="str">
        <f t="shared" si="73"/>
        <v>REVENU ENTRETIEN  -ALEATO</v>
      </c>
      <c r="AL771" s="905">
        <f>IFERROR(INDEX(G771:R771,1,MATCH(Parametres!$B$3,G$1:R$1,0)-1)*IF(OR(F771="L",F771="S",F771="I"),-1,1),"")</f>
        <v>0</v>
      </c>
      <c r="AM771" s="905">
        <f t="shared" si="68"/>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t="str">
        <f t="shared" si="69"/>
        <v>G522</v>
      </c>
      <c r="AU771" s="488" t="str">
        <f t="shared" si="70"/>
        <v>REVENU ENTRETIEN  -ALEATO</v>
      </c>
      <c r="AV771" s="899">
        <f>IFERROR(INDEX(V771:AG771,1,MATCH(Parametres!$B$3,V$1:AG$1,0)-1)*IF(OR(C771="L",C771="S",C771="I"),-1,1),"")</f>
        <v>0</v>
      </c>
      <c r="AW771" s="899">
        <f t="shared" si="71"/>
        <v>0</v>
      </c>
      <c r="AX771" s="899">
        <f>INDEX(V771:AG771,1,MATCH(Parametres!$B$3,V$1:AG$1,0))*IF(OR(C771="L",C771="S",C771="I"),-1,1)</f>
        <v>0</v>
      </c>
      <c r="AY771" s="487" t="s">
        <v>337</v>
      </c>
      <c r="AZ771" s="487" t="e">
        <f>+VLOOKUP($AJ771,Data_Validation!$A:$E,5,0)</f>
        <v>#N/A</v>
      </c>
    </row>
    <row r="772" spans="1:52" ht="15" customHeight="1">
      <c r="A772" s="706" t="s">
        <v>1148</v>
      </c>
      <c r="B772" s="706">
        <v>2026</v>
      </c>
      <c r="C772" s="706" t="s">
        <v>2593</v>
      </c>
      <c r="D772" s="706" t="s">
        <v>2594</v>
      </c>
      <c r="E772" s="706" t="s">
        <v>333</v>
      </c>
      <c r="F772" s="706" t="s">
        <v>1150</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G523</v>
      </c>
      <c r="AK772" s="905" t="str">
        <f t="shared" si="73"/>
        <v>REV.PARTIEL MOIS  -ALEATO</v>
      </c>
      <c r="AL772" s="905">
        <f>IFERROR(INDEX(G772:R772,1,MATCH(Parametres!$B$3,G$1:R$1,0)-1)*IF(OR(F772="L",F772="S",F772="I"),-1,1),"")</f>
        <v>0</v>
      </c>
      <c r="AM772" s="905">
        <f t="shared" ref="AM772:AM794" si="74">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t="str">
        <f t="shared" ref="AT772:AT794" si="75">C772</f>
        <v>G523</v>
      </c>
      <c r="AU772" s="488" t="str">
        <f t="shared" ref="AU772:AU794" si="76">D772</f>
        <v>REV.PARTIEL MOIS  -ALEATO</v>
      </c>
      <c r="AV772" s="899">
        <f>IFERROR(INDEX(V772:AG772,1,MATCH(Parametres!$B$3,V$1:AG$1,0)-1)*IF(OR(C772="L",C772="S",C772="I"),-1,1),"")</f>
        <v>0</v>
      </c>
      <c r="AW772" s="899">
        <f t="shared" ref="AW772:AW794" si="77">AX772-AV772</f>
        <v>0</v>
      </c>
      <c r="AX772" s="899">
        <f>INDEX(V772:AG772,1,MATCH(Parametres!$B$3,V$1:AG$1,0))*IF(OR(C772="L",C772="S",C772="I"),-1,1)</f>
        <v>0</v>
      </c>
      <c r="AY772" s="487" t="s">
        <v>337</v>
      </c>
      <c r="AZ772" s="487" t="e">
        <f>+VLOOKUP($AJ772,Data_Validation!$A:$E,5,0)</f>
        <v>#N/A</v>
      </c>
    </row>
    <row r="773" spans="1:52" ht="15" customHeight="1">
      <c r="A773" s="706" t="s">
        <v>1148</v>
      </c>
      <c r="B773" s="706">
        <v>2026</v>
      </c>
      <c r="C773" s="706" t="s">
        <v>2595</v>
      </c>
      <c r="D773" s="706" t="s">
        <v>2596</v>
      </c>
      <c r="E773" s="706" t="s">
        <v>333</v>
      </c>
      <c r="F773" s="706" t="s">
        <v>1150</v>
      </c>
      <c r="G773" s="706">
        <v>0</v>
      </c>
      <c r="H773" s="706">
        <v>0</v>
      </c>
      <c r="I773" s="706">
        <v>0</v>
      </c>
      <c r="J773" s="706">
        <v>0</v>
      </c>
      <c r="K773" s="706">
        <v>0</v>
      </c>
      <c r="L773" s="706">
        <v>0</v>
      </c>
      <c r="M773" s="706">
        <v>0</v>
      </c>
      <c r="N773" s="706">
        <v>0</v>
      </c>
      <c r="O773" s="706">
        <v>0</v>
      </c>
      <c r="P773" s="706">
        <v>0</v>
      </c>
      <c r="Q773" s="706">
        <v>0</v>
      </c>
      <c r="R773" s="706">
        <v>0</v>
      </c>
      <c r="S773" s="706">
        <v>0</v>
      </c>
      <c r="T773" s="706">
        <v>0</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G524</v>
      </c>
      <c r="AK773" s="905" t="str">
        <f t="shared" si="73"/>
        <v>FRAIS PMNT TARDIF -ALEATO</v>
      </c>
      <c r="AL773" s="905">
        <f>IFERROR(INDEX(G773:R773,1,MATCH(Parametres!$B$3,G$1:R$1,0)-1)*IF(OR(F773="L",F773="S",F773="I"),-1,1),"")</f>
        <v>0</v>
      </c>
      <c r="AM773" s="905">
        <f t="shared" si="74"/>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t="str">
        <f t="shared" si="75"/>
        <v>G524</v>
      </c>
      <c r="AU773" s="488" t="str">
        <f t="shared" si="76"/>
        <v>FRAIS PMNT TARDIF -ALEATO</v>
      </c>
      <c r="AV773" s="899">
        <f>IFERROR(INDEX(V773:AG773,1,MATCH(Parametres!$B$3,V$1:AG$1,0)-1)*IF(OR(C773="L",C773="S",C773="I"),-1,1),"")</f>
        <v>0</v>
      </c>
      <c r="AW773" s="899">
        <f t="shared" si="77"/>
        <v>0</v>
      </c>
      <c r="AX773" s="899">
        <f>INDEX(V773:AG773,1,MATCH(Parametres!$B$3,V$1:AG$1,0))*IF(OR(C773="L",C773="S",C773="I"),-1,1)</f>
        <v>0</v>
      </c>
      <c r="AY773" s="487" t="s">
        <v>337</v>
      </c>
      <c r="AZ773" s="487" t="e">
        <f>+VLOOKUP($AJ773,Data_Validation!$A:$E,5,0)</f>
        <v>#N/A</v>
      </c>
    </row>
    <row r="774" spans="1:52" ht="15" customHeight="1">
      <c r="A774" s="706" t="s">
        <v>1148</v>
      </c>
      <c r="B774" s="706">
        <v>2026</v>
      </c>
      <c r="C774" s="706" t="s">
        <v>2597</v>
      </c>
      <c r="D774" s="706" t="s">
        <v>2598</v>
      </c>
      <c r="E774" s="706" t="s">
        <v>333</v>
      </c>
      <c r="F774" s="706" t="s">
        <v>1150</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G526</v>
      </c>
      <c r="AK774" s="905" t="str">
        <f t="shared" si="73"/>
        <v>FRAIS ADMINIST.   -ALEATO</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G526</v>
      </c>
      <c r="AU774" s="488" t="str">
        <f t="shared" si="76"/>
        <v>FRAIS ADMINIST.   -ALEATO</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2026</v>
      </c>
      <c r="C775" s="706" t="s">
        <v>2599</v>
      </c>
      <c r="D775" s="706" t="s">
        <v>2600</v>
      </c>
      <c r="E775" s="706" t="s">
        <v>333</v>
      </c>
      <c r="F775" s="706" t="s">
        <v>1150</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G527</v>
      </c>
      <c r="AK775" s="905" t="str">
        <f t="shared" si="73"/>
        <v>AUTRES REV.LOCAT. -ALEATO</v>
      </c>
      <c r="AL775" s="905">
        <f>IFERROR(INDEX(G775:R775,1,MATCH(Parametres!$B$3,G$1:R$1,0)-1)*IF(OR(F775="L",F775="S",F775="I"),-1,1),"")</f>
        <v>0</v>
      </c>
      <c r="AM775" s="905">
        <f t="shared" si="74"/>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t="str">
        <f t="shared" si="75"/>
        <v>G527</v>
      </c>
      <c r="AU775" s="488" t="str">
        <f t="shared" si="76"/>
        <v>AUTRES REV.LOCAT. -ALEATO</v>
      </c>
      <c r="AV775" s="899">
        <f>IFERROR(INDEX(V775:AG775,1,MATCH(Parametres!$B$3,V$1:AG$1,0)-1)*IF(OR(C775="L",C775="S",C775="I"),-1,1),"")</f>
        <v>0</v>
      </c>
      <c r="AW775" s="899">
        <f t="shared" si="77"/>
        <v>0</v>
      </c>
      <c r="AX775" s="899">
        <f>INDEX(V775:AG775,1,MATCH(Parametres!$B$3,V$1:AG$1,0))*IF(OR(C775="L",C775="S",C775="I"),-1,1)</f>
        <v>0</v>
      </c>
      <c r="AY775" s="487" t="s">
        <v>337</v>
      </c>
      <c r="AZ775" s="487" t="e">
        <f>+VLOOKUP($AJ775,Data_Validation!$A:$E,5,0)</f>
        <v>#N/A</v>
      </c>
    </row>
    <row r="776" spans="1:52" ht="15" customHeight="1">
      <c r="A776" s="706" t="s">
        <v>1148</v>
      </c>
      <c r="B776" s="706">
        <v>2026</v>
      </c>
      <c r="C776" s="706" t="s">
        <v>2601</v>
      </c>
      <c r="D776" s="706" t="s">
        <v>2602</v>
      </c>
      <c r="E776" s="706" t="s">
        <v>333</v>
      </c>
      <c r="F776" s="706" t="s">
        <v>1150</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G53000</v>
      </c>
      <c r="AK776" s="905" t="str">
        <f t="shared" si="73"/>
        <v>PRIX VTE VEHICULES CEDES</v>
      </c>
      <c r="AL776" s="905">
        <f>IFERROR(INDEX(G776:R776,1,MATCH(Parametres!$B$3,G$1:R$1,0)-1)*IF(OR(F776="L",F776="S",F776="I"),-1,1),"")</f>
        <v>0</v>
      </c>
      <c r="AM776" s="905">
        <f t="shared" si="74"/>
        <v>0</v>
      </c>
      <c r="AN776" s="905">
        <f>INDEX(G776:R776,1,MATCH(Parametres!$B$3,G$1:R$1,0))*IF(OR(F776="L",F776="S",F776="I"),-1,1)</f>
        <v>0</v>
      </c>
      <c r="AO776" s="487" t="str">
        <f>+VLOOKUP($AJ776,Data_Validation!$A:$D,1,0)</f>
        <v>G53000</v>
      </c>
      <c r="AP776" s="487">
        <f>+VLOOKUP($AJ776,Data_Validation!$A:$D,3,0)</f>
        <v>0</v>
      </c>
      <c r="AQ776" s="487">
        <f>+VLOOKUP($AJ776,Data_Validation!$A:$D,4,0)</f>
        <v>0</v>
      </c>
      <c r="AR776" s="487" t="s">
        <v>299</v>
      </c>
      <c r="AS776" s="487">
        <f>+VLOOKUP($AJ776,Data_Validation!$A:$E,5,0)</f>
        <v>0</v>
      </c>
      <c r="AT776" s="904" t="str">
        <f t="shared" si="75"/>
        <v>G53000</v>
      </c>
      <c r="AU776" s="488" t="str">
        <f t="shared" si="76"/>
        <v>PRIX VTE VEHICULES CEDES</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2026</v>
      </c>
      <c r="C777" s="706" t="s">
        <v>2603</v>
      </c>
      <c r="D777" s="706" t="s">
        <v>2604</v>
      </c>
      <c r="E777" s="706" t="s">
        <v>333</v>
      </c>
      <c r="F777" s="706" t="s">
        <v>1150</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G534</v>
      </c>
      <c r="AK777" s="905" t="str">
        <f t="shared" si="73"/>
        <v>FRAIS PMNT TARDIF    -C/T</v>
      </c>
      <c r="AL777" s="905">
        <f>IFERROR(INDEX(G777:R777,1,MATCH(Parametres!$B$3,G$1:R$1,0)-1)*IF(OR(F777="L",F777="S",F777="I"),-1,1),"")</f>
        <v>0</v>
      </c>
      <c r="AM777" s="905">
        <f t="shared" si="74"/>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5"/>
        <v>G534</v>
      </c>
      <c r="AU777" s="488" t="str">
        <f t="shared" si="76"/>
        <v>FRAIS PMNT TARDIF    -C/T</v>
      </c>
      <c r="AV777" s="899">
        <f>IFERROR(INDEX(V777:AG777,1,MATCH(Parametres!$B$3,V$1:AG$1,0)-1)*IF(OR(C777="L",C777="S",C777="I"),-1,1),"")</f>
        <v>0</v>
      </c>
      <c r="AW777" s="899">
        <f t="shared" si="77"/>
        <v>0</v>
      </c>
      <c r="AX777" s="899">
        <f>INDEX(V777:AG777,1,MATCH(Parametres!$B$3,V$1:AG$1,0))*IF(OR(C777="L",C777="S",C777="I"),-1,1)</f>
        <v>0</v>
      </c>
      <c r="AY777" s="487" t="s">
        <v>337</v>
      </c>
      <c r="AZ777" s="487" t="e">
        <f>+VLOOKUP($AJ777,Data_Validation!$A:$E,5,0)</f>
        <v>#N/A</v>
      </c>
    </row>
    <row r="778" spans="1:52" ht="15" customHeight="1">
      <c r="A778" s="706" t="s">
        <v>1148</v>
      </c>
      <c r="B778" s="706">
        <v>2026</v>
      </c>
      <c r="C778" s="706" t="s">
        <v>2605</v>
      </c>
      <c r="D778" s="706" t="s">
        <v>2606</v>
      </c>
      <c r="E778" s="706" t="s">
        <v>333</v>
      </c>
      <c r="F778" s="706" t="s">
        <v>1150</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G535</v>
      </c>
      <c r="AK778" s="905" t="str">
        <f t="shared" si="73"/>
        <v>REV.LOCATION C/T     -C/T</v>
      </c>
      <c r="AL778" s="905">
        <f>IFERROR(INDEX(G778:R778,1,MATCH(Parametres!$B$3,G$1:R$1,0)-1)*IF(OR(F778="L",F778="S",F778="I"),-1,1),"")</f>
        <v>0</v>
      </c>
      <c r="AM778" s="905">
        <f t="shared" si="74"/>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5"/>
        <v>G535</v>
      </c>
      <c r="AU778" s="488" t="str">
        <f t="shared" si="76"/>
        <v>REV.LOCATION C/T     -C/T</v>
      </c>
      <c r="AV778" s="899">
        <f>IFERROR(INDEX(V778:AG778,1,MATCH(Parametres!$B$3,V$1:AG$1,0)-1)*IF(OR(C778="L",C778="S",C778="I"),-1,1),"")</f>
        <v>0</v>
      </c>
      <c r="AW778" s="899">
        <f t="shared" si="77"/>
        <v>0</v>
      </c>
      <c r="AX778" s="899">
        <f>INDEX(V778:AG778,1,MATCH(Parametres!$B$3,V$1:AG$1,0))*IF(OR(C778="L",C778="S",C778="I"),-1,1)</f>
        <v>0</v>
      </c>
      <c r="AY778" s="487" t="s">
        <v>337</v>
      </c>
      <c r="AZ778" s="487" t="e">
        <f>+VLOOKUP($AJ778,Data_Validation!$A:$E,5,0)</f>
        <v>#N/A</v>
      </c>
    </row>
    <row r="779" spans="1:52" ht="15" customHeight="1">
      <c r="A779" s="706" t="s">
        <v>1148</v>
      </c>
      <c r="B779" s="706">
        <v>2026</v>
      </c>
      <c r="C779" s="706" t="s">
        <v>2607</v>
      </c>
      <c r="D779" s="706" t="s">
        <v>2608</v>
      </c>
      <c r="E779" s="706" t="s">
        <v>333</v>
      </c>
      <c r="F779" s="706" t="s">
        <v>1150</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G53500</v>
      </c>
      <c r="AK779" s="905" t="str">
        <f t="shared" si="73"/>
        <v>REVENUS LOCATION C/TERME</v>
      </c>
      <c r="AL779" s="905">
        <f>IFERROR(INDEX(G779:R779,1,MATCH(Parametres!$B$3,G$1:R$1,0)-1)*IF(OR(F779="L",F779="S",F779="I"),-1,1),"")</f>
        <v>0</v>
      </c>
      <c r="AM779" s="905">
        <f t="shared" si="74"/>
        <v>0</v>
      </c>
      <c r="AN779" s="905">
        <f>INDEX(G779:R779,1,MATCH(Parametres!$B$3,G$1:R$1,0))*IF(OR(F779="L",F779="S",F779="I"),-1,1)</f>
        <v>0</v>
      </c>
      <c r="AO779" s="487" t="str">
        <f>+VLOOKUP($AJ779,Data_Validation!$A:$D,1,0)</f>
        <v>G53500</v>
      </c>
      <c r="AP779" s="487">
        <f>+VLOOKUP($AJ779,Data_Validation!$A:$D,3,0)</f>
        <v>0</v>
      </c>
      <c r="AQ779" s="487">
        <f>+VLOOKUP($AJ779,Data_Validation!$A:$D,4,0)</f>
        <v>0</v>
      </c>
      <c r="AR779" s="487" t="s">
        <v>299</v>
      </c>
      <c r="AS779" s="487">
        <f>+VLOOKUP($AJ779,Data_Validation!$A:$E,5,0)</f>
        <v>0</v>
      </c>
      <c r="AT779" s="904" t="str">
        <f t="shared" si="75"/>
        <v>G53500</v>
      </c>
      <c r="AU779" s="488" t="str">
        <f t="shared" si="76"/>
        <v>REVENUS LOCATION C/TERME</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2026</v>
      </c>
      <c r="C780" s="706" t="s">
        <v>2609</v>
      </c>
      <c r="D780" s="706" t="s">
        <v>2610</v>
      </c>
      <c r="E780" s="706" t="s">
        <v>333</v>
      </c>
      <c r="F780" s="706" t="s">
        <v>1150</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G536</v>
      </c>
      <c r="AK780" s="905" t="str">
        <f t="shared" si="73"/>
        <v>FRAIS ADMINIST.      -C/T</v>
      </c>
      <c r="AL780" s="905">
        <f>IFERROR(INDEX(G780:R780,1,MATCH(Parametres!$B$3,G$1:R$1,0)-1)*IF(OR(F780="L",F780="S",F780="I"),-1,1),"")</f>
        <v>0</v>
      </c>
      <c r="AM780" s="905">
        <f t="shared" si="74"/>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t="str">
        <f t="shared" si="75"/>
        <v>G536</v>
      </c>
      <c r="AU780" s="488" t="str">
        <f t="shared" si="76"/>
        <v>FRAIS ADMINIST.      -C/T</v>
      </c>
      <c r="AV780" s="899">
        <f>IFERROR(INDEX(V780:AG780,1,MATCH(Parametres!$B$3,V$1:AG$1,0)-1)*IF(OR(C780="L",C780="S",C780="I"),-1,1),"")</f>
        <v>0</v>
      </c>
      <c r="AW780" s="899">
        <f t="shared" si="77"/>
        <v>0</v>
      </c>
      <c r="AX780" s="899">
        <f>INDEX(V780:AG780,1,MATCH(Parametres!$B$3,V$1:AG$1,0))*IF(OR(C780="L",C780="S",C780="I"),-1,1)</f>
        <v>0</v>
      </c>
      <c r="AY780" s="487" t="s">
        <v>337</v>
      </c>
      <c r="AZ780" s="487" t="e">
        <f>+VLOOKUP($AJ780,Data_Validation!$A:$E,5,0)</f>
        <v>#N/A</v>
      </c>
    </row>
    <row r="781" spans="1:52" ht="15" customHeight="1">
      <c r="A781" s="706" t="s">
        <v>1148</v>
      </c>
      <c r="B781" s="706">
        <v>2026</v>
      </c>
      <c r="C781" s="706" t="s">
        <v>2611</v>
      </c>
      <c r="D781" s="706" t="s">
        <v>2612</v>
      </c>
      <c r="E781" s="706" t="s">
        <v>333</v>
      </c>
      <c r="F781" s="706" t="s">
        <v>1149</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G541</v>
      </c>
      <c r="AK781" s="905" t="str">
        <f t="shared" si="73"/>
        <v>COMM.ENCAISSE/ASS LOC C&amp;L</v>
      </c>
      <c r="AL781" s="905">
        <f>IFERROR(INDEX(G781:R781,1,MATCH(Parametres!$B$3,G$1:R$1,0)-1)*IF(OR(F781="L",F781="S",F781="I"),-1,1),"")</f>
        <v>0</v>
      </c>
      <c r="AM781" s="905">
        <f t="shared" si="74"/>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5"/>
        <v>G541</v>
      </c>
      <c r="AU781" s="488" t="str">
        <f t="shared" si="76"/>
        <v>COMM.ENCAISSE/ASS LOC C&amp;L</v>
      </c>
      <c r="AV781" s="899">
        <f>IFERROR(INDEX(V781:AG781,1,MATCH(Parametres!$B$3,V$1:AG$1,0)-1)*IF(OR(C781="L",C781="S",C781="I"),-1,1),"")</f>
        <v>0</v>
      </c>
      <c r="AW781" s="899">
        <f t="shared" si="77"/>
        <v>0</v>
      </c>
      <c r="AX781" s="899">
        <f>INDEX(V781:AG781,1,MATCH(Parametres!$B$3,V$1:AG$1,0))*IF(OR(C781="L",C781="S",C781="I"),-1,1)</f>
        <v>0</v>
      </c>
      <c r="AY781" s="487" t="s">
        <v>337</v>
      </c>
      <c r="AZ781" s="487" t="e">
        <f>+VLOOKUP($AJ781,Data_Validation!$A:$E,5,0)</f>
        <v>#N/A</v>
      </c>
    </row>
    <row r="782" spans="1:52" ht="15" customHeight="1">
      <c r="A782" s="706" t="s">
        <v>1148</v>
      </c>
      <c r="B782" s="706">
        <v>2026</v>
      </c>
      <c r="C782" s="706" t="s">
        <v>2613</v>
      </c>
      <c r="D782" s="706" t="s">
        <v>2614</v>
      </c>
      <c r="E782" s="706" t="s">
        <v>333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G541C</v>
      </c>
      <c r="AK782" s="905" t="str">
        <f t="shared" si="73"/>
        <v>*COMM.ENCAISSE/ASS.LOC</v>
      </c>
      <c r="AL782" s="905">
        <f>IFERROR(INDEX(G782:R782,1,MATCH(Parametres!$B$3,G$1:R$1,0)-1)*IF(OR(F782="L",F782="S",F782="I"),-1,1),"")</f>
        <v>0</v>
      </c>
      <c r="AM782" s="905">
        <f t="shared" si="74"/>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t="str">
        <f t="shared" si="75"/>
        <v>G541C</v>
      </c>
      <c r="AU782" s="488" t="str">
        <f t="shared" si="76"/>
        <v>*COMM.ENCAISSE/ASS.LOC</v>
      </c>
      <c r="AV782" s="899">
        <f>IFERROR(INDEX(V782:AG782,1,MATCH(Parametres!$B$3,V$1:AG$1,0)-1)*IF(OR(C782="L",C782="S",C782="I"),-1,1),"")</f>
        <v>0</v>
      </c>
      <c r="AW782" s="899">
        <f t="shared" si="77"/>
        <v>0</v>
      </c>
      <c r="AX782" s="899">
        <f>INDEX(V782:AG782,1,MATCH(Parametres!$B$3,V$1:AG$1,0))*IF(OR(C782="L",C782="S",C782="I"),-1,1)</f>
        <v>0</v>
      </c>
      <c r="AY782" s="487" t="s">
        <v>337</v>
      </c>
      <c r="AZ782" s="487" t="e">
        <f>+VLOOKUP($AJ782,Data_Validation!$A:$E,5,0)</f>
        <v>#N/A</v>
      </c>
    </row>
    <row r="783" spans="1:52" ht="15" customHeight="1">
      <c r="A783" s="706" t="s">
        <v>1148</v>
      </c>
      <c r="B783" s="706">
        <v>2026</v>
      </c>
      <c r="C783" s="706" t="s">
        <v>2615</v>
      </c>
      <c r="D783" s="706" t="s">
        <v>2616</v>
      </c>
      <c r="E783" s="706" t="s">
        <v>333</v>
      </c>
      <c r="F783" s="706" t="s">
        <v>1149</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G542</v>
      </c>
      <c r="AK783" s="905" t="str">
        <f t="shared" si="73"/>
        <v>ACCESSOIRES LOC C&amp;L TERME</v>
      </c>
      <c r="AL783" s="905">
        <f>IFERROR(INDEX(G783:R783,1,MATCH(Parametres!$B$3,G$1:R$1,0)-1)*IF(OR(F783="L",F783="S",F783="I"),-1,1),"")</f>
        <v>0</v>
      </c>
      <c r="AM783" s="905">
        <f t="shared" si="74"/>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t="str">
        <f t="shared" si="75"/>
        <v>G542</v>
      </c>
      <c r="AU783" s="488" t="str">
        <f t="shared" si="76"/>
        <v>ACCESSOIRES LOC C&amp;L TERME</v>
      </c>
      <c r="AV783" s="899">
        <f>IFERROR(INDEX(V783:AG783,1,MATCH(Parametres!$B$3,V$1:AG$1,0)-1)*IF(OR(C783="L",C783="S",C783="I"),-1,1),"")</f>
        <v>0</v>
      </c>
      <c r="AW783" s="899">
        <f t="shared" si="77"/>
        <v>0</v>
      </c>
      <c r="AX783" s="899">
        <f>INDEX(V783:AG783,1,MATCH(Parametres!$B$3,V$1:AG$1,0))*IF(OR(C783="L",C783="S",C783="I"),-1,1)</f>
        <v>0</v>
      </c>
      <c r="AY783" s="487" t="s">
        <v>337</v>
      </c>
      <c r="AZ783" s="487" t="e">
        <f>+VLOOKUP($AJ783,Data_Validation!$A:$E,5,0)</f>
        <v>#N/A</v>
      </c>
    </row>
    <row r="784" spans="1:52" ht="15" customHeight="1">
      <c r="A784" s="706" t="s">
        <v>1148</v>
      </c>
      <c r="B784" s="706">
        <v>2026</v>
      </c>
      <c r="C784" s="706" t="s">
        <v>2617</v>
      </c>
      <c r="D784" s="706" t="s">
        <v>2616</v>
      </c>
      <c r="E784" s="706" t="s">
        <v>333</v>
      </c>
      <c r="F784" s="706" t="s">
        <v>1152</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G542C</v>
      </c>
      <c r="AK784" s="905" t="str">
        <f t="shared" si="73"/>
        <v>ACCESSOIRES LOC C&amp;L TERME</v>
      </c>
      <c r="AL784" s="905">
        <f>IFERROR(INDEX(G784:R784,1,MATCH(Parametres!$B$3,G$1:R$1,0)-1)*IF(OR(F784="L",F784="S",F784="I"),-1,1),"")</f>
        <v>0</v>
      </c>
      <c r="AM784" s="905">
        <f t="shared" si="74"/>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t="str">
        <f t="shared" si="75"/>
        <v>G542C</v>
      </c>
      <c r="AU784" s="488" t="str">
        <f t="shared" si="76"/>
        <v>ACCESSOIRES LOC C&amp;L TERME</v>
      </c>
      <c r="AV784" s="899">
        <f>IFERROR(INDEX(V784:AG784,1,MATCH(Parametres!$B$3,V$1:AG$1,0)-1)*IF(OR(C784="L",C784="S",C784="I"),-1,1),"")</f>
        <v>0</v>
      </c>
      <c r="AW784" s="899">
        <f t="shared" si="77"/>
        <v>0</v>
      </c>
      <c r="AX784" s="899">
        <f>INDEX(V784:AG784,1,MATCH(Parametres!$B$3,V$1:AG$1,0))*IF(OR(C784="L",C784="S",C784="I"),-1,1)</f>
        <v>0</v>
      </c>
      <c r="AY784" s="487" t="s">
        <v>337</v>
      </c>
      <c r="AZ784" s="487" t="e">
        <f>+VLOOKUP($AJ784,Data_Validation!$A:$E,5,0)</f>
        <v>#N/A</v>
      </c>
    </row>
    <row r="785" spans="1:52" ht="15" customHeight="1">
      <c r="A785" s="706" t="s">
        <v>1148</v>
      </c>
      <c r="B785" s="706">
        <v>2026</v>
      </c>
      <c r="C785" s="706" t="s">
        <v>2618</v>
      </c>
      <c r="D785" s="706" t="s">
        <v>2619</v>
      </c>
      <c r="E785" s="706" t="s">
        <v>333</v>
      </c>
      <c r="F785" s="706" t="s">
        <v>1149</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G543</v>
      </c>
      <c r="AK785" s="905" t="str">
        <f t="shared" si="73"/>
        <v>PLAN PROT.GM LOC C&amp;L TERM</v>
      </c>
      <c r="AL785" s="905">
        <f>IFERROR(INDEX(G785:R785,1,MATCH(Parametres!$B$3,G$1:R$1,0)-1)*IF(OR(F785="L",F785="S",F785="I"),-1,1),"")</f>
        <v>0</v>
      </c>
      <c r="AM785" s="905">
        <f t="shared" si="74"/>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5"/>
        <v>G543</v>
      </c>
      <c r="AU785" s="488" t="str">
        <f t="shared" si="76"/>
        <v>PLAN PROT.GM LOC C&amp;L TERM</v>
      </c>
      <c r="AV785" s="899">
        <f>IFERROR(INDEX(V785:AG785,1,MATCH(Parametres!$B$3,V$1:AG$1,0)-1)*IF(OR(C785="L",C785="S",C785="I"),-1,1),"")</f>
        <v>0</v>
      </c>
      <c r="AW785" s="899">
        <f t="shared" si="77"/>
        <v>0</v>
      </c>
      <c r="AX785" s="899">
        <f>INDEX(V785:AG785,1,MATCH(Parametres!$B$3,V$1:AG$1,0))*IF(OR(C785="L",C785="S",C785="I"),-1,1)</f>
        <v>0</v>
      </c>
      <c r="AY785" s="487" t="s">
        <v>337</v>
      </c>
      <c r="AZ785" s="487" t="e">
        <f>+VLOOKUP($AJ785,Data_Validation!$A:$E,5,0)</f>
        <v>#N/A</v>
      </c>
    </row>
    <row r="786" spans="1:52" ht="15" customHeight="1">
      <c r="A786" s="706" t="s">
        <v>1148</v>
      </c>
      <c r="B786" s="706">
        <v>2026</v>
      </c>
      <c r="C786" s="706" t="s">
        <v>2620</v>
      </c>
      <c r="D786" s="706" t="s">
        <v>2619</v>
      </c>
      <c r="E786" s="706" t="s">
        <v>333</v>
      </c>
      <c r="F786" s="706" t="s">
        <v>1152</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G543C</v>
      </c>
      <c r="AK786" s="905" t="str">
        <f t="shared" si="73"/>
        <v>PLAN PROT.GM LOC C&amp;L TERM</v>
      </c>
      <c r="AL786" s="905">
        <f>IFERROR(INDEX(G786:R786,1,MATCH(Parametres!$B$3,G$1:R$1,0)-1)*IF(OR(F786="L",F786="S",F786="I"),-1,1),"")</f>
        <v>0</v>
      </c>
      <c r="AM786" s="905">
        <f t="shared" si="74"/>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5"/>
        <v>G543C</v>
      </c>
      <c r="AU786" s="488" t="str">
        <f t="shared" si="76"/>
        <v>PLAN PROT.GM LOC C&amp;L TERM</v>
      </c>
      <c r="AV786" s="899">
        <f>IFERROR(INDEX(V786:AG786,1,MATCH(Parametres!$B$3,V$1:AG$1,0)-1)*IF(OR(C786="L",C786="S",C786="I"),-1,1),"")</f>
        <v>0</v>
      </c>
      <c r="AW786" s="899">
        <f t="shared" si="77"/>
        <v>0</v>
      </c>
      <c r="AX786" s="899">
        <f>INDEX(V786:AG786,1,MATCH(Parametres!$B$3,V$1:AG$1,0))*IF(OR(C786="L",C786="S",C786="I"),-1,1)</f>
        <v>0</v>
      </c>
      <c r="AY786" s="487" t="s">
        <v>337</v>
      </c>
      <c r="AZ786" s="487" t="e">
        <f>+VLOOKUP($AJ786,Data_Validation!$A:$E,5,0)</f>
        <v>#N/A</v>
      </c>
    </row>
    <row r="787" spans="1:52" ht="15" customHeight="1">
      <c r="A787" s="706" t="s">
        <v>1148</v>
      </c>
      <c r="B787" s="706">
        <v>2026</v>
      </c>
      <c r="C787" s="706" t="s">
        <v>2621</v>
      </c>
      <c r="D787" s="706" t="s">
        <v>2622</v>
      </c>
      <c r="E787" s="706" t="s">
        <v>333</v>
      </c>
      <c r="F787" s="706" t="s">
        <v>1149</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78">C787</f>
        <v>G544</v>
      </c>
      <c r="AK787" s="905" t="str">
        <f t="shared" ref="AK787:AK794" si="79">D787</f>
        <v>AUTRES PLAN PROT. LOC C&amp;L</v>
      </c>
      <c r="AL787" s="905">
        <f>IFERROR(INDEX(G787:R787,1,MATCH(Parametres!$B$3,G$1:R$1,0)-1)*IF(OR(F787="L",F787="S",F787="I"),-1,1),"")</f>
        <v>0</v>
      </c>
      <c r="AM787" s="905">
        <f t="shared" si="74"/>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t="str">
        <f t="shared" si="75"/>
        <v>G544</v>
      </c>
      <c r="AU787" s="488" t="str">
        <f t="shared" si="76"/>
        <v>AUTRES PLAN PROT. LOC C&amp;L</v>
      </c>
      <c r="AV787" s="899">
        <f>IFERROR(INDEX(V787:AG787,1,MATCH(Parametres!$B$3,V$1:AG$1,0)-1)*IF(OR(C787="L",C787="S",C787="I"),-1,1),"")</f>
        <v>0</v>
      </c>
      <c r="AW787" s="899">
        <f t="shared" si="77"/>
        <v>0</v>
      </c>
      <c r="AX787" s="899">
        <f>INDEX(V787:AG787,1,MATCH(Parametres!$B$3,V$1:AG$1,0))*IF(OR(C787="L",C787="S",C787="I"),-1,1)</f>
        <v>0</v>
      </c>
      <c r="AY787" s="487" t="s">
        <v>337</v>
      </c>
      <c r="AZ787" s="487" t="e">
        <f>+VLOOKUP($AJ787,Data_Validation!$A:$E,5,0)</f>
        <v>#N/A</v>
      </c>
    </row>
    <row r="788" spans="1:52" ht="15" customHeight="1">
      <c r="A788" s="706" t="s">
        <v>1148</v>
      </c>
      <c r="B788" s="706">
        <v>2026</v>
      </c>
      <c r="C788" s="706" t="s">
        <v>2623</v>
      </c>
      <c r="D788" s="706" t="s">
        <v>2624</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8"/>
        <v>G544C</v>
      </c>
      <c r="AK788" s="905" t="str">
        <f t="shared" si="79"/>
        <v>AUTRES PLAN PROT.LOC C&amp;L</v>
      </c>
      <c r="AL788" s="905">
        <f>IFERROR(INDEX(G788:R788,1,MATCH(Parametres!$B$3,G$1:R$1,0)-1)*IF(OR(F788="L",F788="S",F788="I"),-1,1),"")</f>
        <v>0</v>
      </c>
      <c r="AM788" s="905">
        <f t="shared" si="74"/>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5"/>
        <v>G544C</v>
      </c>
      <c r="AU788" s="488" t="str">
        <f t="shared" si="76"/>
        <v>AUTRES PLAN PROT.LOC C&amp;L</v>
      </c>
      <c r="AV788" s="899">
        <f>IFERROR(INDEX(V788:AG788,1,MATCH(Parametres!$B$3,V$1:AG$1,0)-1)*IF(OR(C788="L",C788="S",C788="I"),-1,1),"")</f>
        <v>0</v>
      </c>
      <c r="AW788" s="899">
        <f t="shared" si="77"/>
        <v>0</v>
      </c>
      <c r="AX788" s="899">
        <f>INDEX(V788:AG788,1,MATCH(Parametres!$B$3,V$1:AG$1,0))*IF(OR(C788="L",C788="S",C788="I"),-1,1)</f>
        <v>0</v>
      </c>
      <c r="AY788" s="487" t="s">
        <v>337</v>
      </c>
      <c r="AZ788" s="487" t="e">
        <f>+VLOOKUP($AJ788,Data_Validation!$A:$E,5,0)</f>
        <v>#N/A</v>
      </c>
    </row>
    <row r="789" spans="1:52" ht="15" customHeight="1">
      <c r="A789" s="706" t="s">
        <v>1148</v>
      </c>
      <c r="B789" s="706">
        <v>2026</v>
      </c>
      <c r="C789" s="706" t="s">
        <v>2625</v>
      </c>
      <c r="D789" s="706" t="s">
        <v>2626</v>
      </c>
      <c r="E789" s="706" t="s">
        <v>1143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8"/>
        <v>G60000</v>
      </c>
      <c r="AK789" s="905" t="str">
        <f t="shared" si="79"/>
        <v>COUT- VOLT</v>
      </c>
      <c r="AL789" s="905">
        <f>IFERROR(INDEX(G789:R789,1,MATCH(Parametres!$B$3,G$1:R$1,0)-1)*IF(OR(F789="L",F789="S",F789="I"),-1,1),"")</f>
        <v>0</v>
      </c>
      <c r="AM789" s="905">
        <f t="shared" si="74"/>
        <v>0</v>
      </c>
      <c r="AN789" s="905">
        <f>INDEX(G789:R789,1,MATCH(Parametres!$B$3,G$1:R$1,0))*IF(OR(F789="L",F789="S",F789="I"),-1,1)</f>
        <v>0</v>
      </c>
      <c r="AO789" s="487" t="str">
        <f>+VLOOKUP($AJ789,Data_Validation!$A:$D,1,0)</f>
        <v>G60000</v>
      </c>
      <c r="AP789" s="487" t="str">
        <f>+VLOOKUP($AJ789,Data_Validation!$A:$D,3,0)</f>
        <v>Véhicules neufs</v>
      </c>
      <c r="AQ789" s="487" t="str">
        <f>+VLOOKUP($AJ789,Data_Validation!$A:$D,4,0)</f>
        <v>Autos détail</v>
      </c>
      <c r="AR789" s="487" t="s">
        <v>299</v>
      </c>
      <c r="AS789" s="487">
        <f>+VLOOKUP($AJ789,Data_Validation!$A:$E,5,0)</f>
        <v>0</v>
      </c>
      <c r="AT789" s="904" t="str">
        <f t="shared" si="75"/>
        <v>G60000</v>
      </c>
      <c r="AU789" s="488" t="str">
        <f t="shared" si="76"/>
        <v>COUT- VOLT</v>
      </c>
      <c r="AV789" s="899">
        <f>IFERROR(INDEX(V789:AG789,1,MATCH(Parametres!$B$3,V$1:AG$1,0)-1)*IF(OR(C789="L",C789="S",C789="I"),-1,1),"")</f>
        <v>0</v>
      </c>
      <c r="AW789" s="899">
        <f t="shared" si="77"/>
        <v>0</v>
      </c>
      <c r="AX789" s="899">
        <f>INDEX(V789:AG789,1,MATCH(Parametres!$B$3,V$1:AG$1,0))*IF(OR(C789="L",C789="S",C789="I"),-1,1)</f>
        <v>0</v>
      </c>
      <c r="AY789" s="487" t="s">
        <v>337</v>
      </c>
      <c r="AZ789" s="487">
        <f>+VLOOKUP($AJ789,Data_Validation!$A:$E,5,0)</f>
        <v>0</v>
      </c>
    </row>
    <row r="790" spans="1:52" ht="15" customHeight="1">
      <c r="A790" s="706" t="s">
        <v>1148</v>
      </c>
      <c r="B790" s="706">
        <v>2026</v>
      </c>
      <c r="C790" s="706" t="s">
        <v>2627</v>
      </c>
      <c r="D790" s="706" t="s">
        <v>2628</v>
      </c>
      <c r="E790" s="706" t="s">
        <v>1143</v>
      </c>
      <c r="F790" s="706" t="s">
        <v>1152</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8"/>
        <v>G60004</v>
      </c>
      <c r="AK790" s="905" t="str">
        <f t="shared" si="79"/>
        <v>COUTANT BUICK REGAL</v>
      </c>
      <c r="AL790" s="905">
        <f>IFERROR(INDEX(G790:R790,1,MATCH(Parametres!$B$3,G$1:R$1,0)-1)*IF(OR(F790="L",F790="S",F790="I"),-1,1),"")</f>
        <v>0</v>
      </c>
      <c r="AM790" s="905">
        <f t="shared" si="74"/>
        <v>0</v>
      </c>
      <c r="AN790" s="905">
        <f>INDEX(G790:R790,1,MATCH(Parametres!$B$3,G$1:R$1,0))*IF(OR(F790="L",F790="S",F790="I"),-1,1)</f>
        <v>0</v>
      </c>
      <c r="AO790" s="487" t="str">
        <f>+VLOOKUP($AJ790,Data_Validation!$A:$D,1,0)</f>
        <v>G60004</v>
      </c>
      <c r="AP790" s="487" t="str">
        <f>+VLOOKUP($AJ790,Data_Validation!$A:$D,3,0)</f>
        <v>Véhicules neufs</v>
      </c>
      <c r="AQ790" s="487" t="str">
        <f>+VLOOKUP($AJ790,Data_Validation!$A:$D,4,0)</f>
        <v>Autos détail</v>
      </c>
      <c r="AR790" s="487" t="s">
        <v>299</v>
      </c>
      <c r="AS790" s="487">
        <f>+VLOOKUP($AJ790,Data_Validation!$A:$E,5,0)</f>
        <v>0</v>
      </c>
      <c r="AT790" s="904" t="str">
        <f t="shared" si="75"/>
        <v>G60004</v>
      </c>
      <c r="AU790" s="488" t="str">
        <f t="shared" si="76"/>
        <v>COUTANT BUICK REGAL</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customHeight="1">
      <c r="A791" s="706" t="s">
        <v>1148</v>
      </c>
      <c r="B791" s="706">
        <v>2026</v>
      </c>
      <c r="C791" s="706" t="s">
        <v>2629</v>
      </c>
      <c r="D791" s="706" t="s">
        <v>2630</v>
      </c>
      <c r="E791" s="706" t="s">
        <v>1143</v>
      </c>
      <c r="F791" s="706" t="s">
        <v>1152</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8"/>
        <v>G60100</v>
      </c>
      <c r="AK791" s="905" t="str">
        <f t="shared" si="79"/>
        <v>COUTANT MALIBU</v>
      </c>
      <c r="AL791" s="905">
        <f>IFERROR(INDEX(G791:R791,1,MATCH(Parametres!$B$3,G$1:R$1,0)-1)*IF(OR(F791="L",F791="S",F791="I"),-1,1),"")</f>
        <v>0</v>
      </c>
      <c r="AM791" s="905">
        <f t="shared" si="74"/>
        <v>0</v>
      </c>
      <c r="AN791" s="905">
        <f>INDEX(G791:R791,1,MATCH(Parametres!$B$3,G$1:R$1,0))*IF(OR(F791="L",F791="S",F791="I"),-1,1)</f>
        <v>0</v>
      </c>
      <c r="AO791" s="487" t="str">
        <f>+VLOOKUP($AJ791,Data_Validation!$A:$D,1,0)</f>
        <v>G60100</v>
      </c>
      <c r="AP791" s="487" t="str">
        <f>+VLOOKUP($AJ791,Data_Validation!$A:$D,3,0)</f>
        <v>Véhicules neufs</v>
      </c>
      <c r="AQ791" s="487" t="str">
        <f>+VLOOKUP($AJ791,Data_Validation!$A:$D,4,0)</f>
        <v>Autos détail</v>
      </c>
      <c r="AR791" s="487" t="s">
        <v>299</v>
      </c>
      <c r="AS791" s="487">
        <f>+VLOOKUP($AJ791,Data_Validation!$A:$E,5,0)</f>
        <v>0</v>
      </c>
      <c r="AT791" s="904" t="str">
        <f t="shared" si="75"/>
        <v>G60100</v>
      </c>
      <c r="AU791" s="488" t="str">
        <f t="shared" si="76"/>
        <v>COUTANT MALIBU</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customHeight="1">
      <c r="A792" s="706" t="s">
        <v>1148</v>
      </c>
      <c r="B792" s="706">
        <v>2026</v>
      </c>
      <c r="C792" s="706" t="s">
        <v>2631</v>
      </c>
      <c r="D792" s="706" t="s">
        <v>2632</v>
      </c>
      <c r="E792" s="706" t="s">
        <v>1143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78"/>
        <v>G60101</v>
      </c>
      <c r="AK792" s="905" t="str">
        <f t="shared" si="79"/>
        <v>COUTANT BUICK LACROSSE</v>
      </c>
      <c r="AL792" s="905">
        <f>IFERROR(INDEX(G792:R792,1,MATCH(Parametres!$B$3,G$1:R$1,0)-1)*IF(OR(F792="L",F792="S",F792="I"),-1,1),"")</f>
        <v>0</v>
      </c>
      <c r="AM792" s="905">
        <f t="shared" si="74"/>
        <v>0</v>
      </c>
      <c r="AN792" s="905">
        <f>INDEX(G792:R792,1,MATCH(Parametres!$B$3,G$1:R$1,0))*IF(OR(F792="L",F792="S",F792="I"),-1,1)</f>
        <v>0</v>
      </c>
      <c r="AO792" s="487" t="str">
        <f>+VLOOKUP($AJ792,Data_Validation!$A:$D,1,0)</f>
        <v>G60101</v>
      </c>
      <c r="AP792" s="487" t="str">
        <f>+VLOOKUP($AJ792,Data_Validation!$A:$D,3,0)</f>
        <v>Véhicules neufs</v>
      </c>
      <c r="AQ792" s="487" t="str">
        <f>+VLOOKUP($AJ792,Data_Validation!$A:$D,4,0)</f>
        <v>Autos détail</v>
      </c>
      <c r="AR792" s="487" t="s">
        <v>299</v>
      </c>
      <c r="AS792" s="487">
        <f>+VLOOKUP($AJ792,Data_Validation!$A:$E,5,0)</f>
        <v>0</v>
      </c>
      <c r="AT792" s="904" t="str">
        <f t="shared" si="75"/>
        <v>G60101</v>
      </c>
      <c r="AU792" s="488" t="str">
        <f t="shared" si="76"/>
        <v>COUTANT BUICK LACROSSE</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customHeight="1">
      <c r="A793" s="706" t="s">
        <v>1148</v>
      </c>
      <c r="B793" s="706">
        <v>2026</v>
      </c>
      <c r="C793" s="706" t="s">
        <v>2633</v>
      </c>
      <c r="D793" s="706" t="s">
        <v>2634</v>
      </c>
      <c r="E793" s="706" t="s">
        <v>1143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78"/>
        <v>G60120</v>
      </c>
      <c r="AK793" s="905" t="str">
        <f t="shared" si="79"/>
        <v>COUT-MALIBU          -LOC</v>
      </c>
      <c r="AL793" s="905">
        <f>IFERROR(INDEX(G793:R793,1,MATCH(Parametres!$B$3,G$1:R$1,0)-1)*IF(OR(F793="L",F793="S",F793="I"),-1,1),"")</f>
        <v>0</v>
      </c>
      <c r="AM793" s="905">
        <f t="shared" si="74"/>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75"/>
        <v>G60120</v>
      </c>
      <c r="AU793" s="488" t="str">
        <f t="shared" si="76"/>
        <v>COUT-MALIBU          -LOC</v>
      </c>
      <c r="AV793" s="899">
        <f>IFERROR(INDEX(V793:AG793,1,MATCH(Parametres!$B$3,V$1:AG$1,0)-1)*IF(OR(C793="L",C793="S",C793="I"),-1,1),"")</f>
        <v>0</v>
      </c>
      <c r="AW793" s="899">
        <f t="shared" si="77"/>
        <v>0</v>
      </c>
      <c r="AX793" s="899">
        <f>INDEX(V793:AG793,1,MATCH(Parametres!$B$3,V$1:AG$1,0))*IF(OR(C793="L",C793="S",C793="I"),-1,1)</f>
        <v>0</v>
      </c>
      <c r="AY793" s="487" t="s">
        <v>337</v>
      </c>
      <c r="AZ793" s="487" t="e">
        <f>+VLOOKUP($AJ793,Data_Validation!$A:$E,5,0)</f>
        <v>#N/A</v>
      </c>
    </row>
    <row r="794" spans="1:52" ht="15" customHeight="1">
      <c r="A794" s="706" t="s">
        <v>1148</v>
      </c>
      <c r="B794" s="706">
        <v>2026</v>
      </c>
      <c r="C794" s="706" t="s">
        <v>2635</v>
      </c>
      <c r="D794" s="706" t="s">
        <v>2636</v>
      </c>
      <c r="E794" s="706" t="s">
        <v>1143</v>
      </c>
      <c r="F794" s="706" t="s">
        <v>1152</v>
      </c>
      <c r="G794" s="706">
        <v>0</v>
      </c>
      <c r="H794" s="706">
        <v>0</v>
      </c>
      <c r="I794" s="706">
        <v>0</v>
      </c>
      <c r="J794" s="706">
        <v>0</v>
      </c>
      <c r="K794" s="706">
        <v>0</v>
      </c>
      <c r="L794" s="706">
        <v>0</v>
      </c>
      <c r="M794" s="706">
        <v>0</v>
      </c>
      <c r="N794" s="706">
        <v>0</v>
      </c>
      <c r="O794" s="706">
        <v>0</v>
      </c>
      <c r="P794" s="706">
        <v>0</v>
      </c>
      <c r="Q794" s="706">
        <v>0</v>
      </c>
      <c r="R794" s="706">
        <v>0</v>
      </c>
      <c r="S794" s="706">
        <v>0</v>
      </c>
      <c r="T794" s="706">
        <v>0</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78"/>
        <v>G602</v>
      </c>
      <c r="AK794" s="905" t="str">
        <f t="shared" si="79"/>
        <v>COUT - GMC CANYON</v>
      </c>
      <c r="AL794" s="905">
        <f>IFERROR(INDEX(G794:R794,1,MATCH(Parametres!$B$3,G$1:R$1,0)-1)*IF(OR(F794="L",F794="S",F794="I"),-1,1),"")</f>
        <v>0</v>
      </c>
      <c r="AM794" s="905">
        <f t="shared" si="74"/>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t="str">
        <f t="shared" si="75"/>
        <v>G602</v>
      </c>
      <c r="AU794" s="488" t="str">
        <f t="shared" si="76"/>
        <v>COUT - GMC CANYON</v>
      </c>
      <c r="AV794" s="899">
        <f>IFERROR(INDEX(V794:AG794,1,MATCH(Parametres!$B$3,V$1:AG$1,0)-1)*IF(OR(C794="L",C794="S",C794="I"),-1,1),"")</f>
        <v>0</v>
      </c>
      <c r="AW794" s="899">
        <f t="shared" si="77"/>
        <v>0</v>
      </c>
      <c r="AX794" s="899">
        <f>INDEX(V794:AG794,1,MATCH(Parametres!$B$3,V$1:AG$1,0))*IF(OR(C794="L",C794="S",C794="I"),-1,1)</f>
        <v>0</v>
      </c>
      <c r="AY794" s="487" t="s">
        <v>337</v>
      </c>
      <c r="AZ794" s="487" t="e">
        <f>+VLOOKUP($AJ794,Data_Validation!$A:$E,5,0)</f>
        <v>#N/A</v>
      </c>
    </row>
    <row r="795" spans="1:52" ht="15" customHeight="1">
      <c r="A795" s="706" t="s">
        <v>1148</v>
      </c>
      <c r="B795" s="706">
        <v>2026</v>
      </c>
      <c r="C795" s="706" t="s">
        <v>2637</v>
      </c>
      <c r="D795" s="706" t="s">
        <v>2638</v>
      </c>
      <c r="E795" s="706" t="s">
        <v>1143</v>
      </c>
      <c r="F795" s="706" t="s">
        <v>1152</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0">C795</f>
        <v>G60200</v>
      </c>
      <c r="AK795" s="905" t="str">
        <f t="shared" ref="AK795:AK858" si="81">D795</f>
        <v>COUT-MALIBU MAXX</v>
      </c>
      <c r="AL795" s="905">
        <f>IFERROR(INDEX(G795:R795,1,MATCH(Parametres!$B$3,G$1:R$1,0)-1)*IF(OR(F795="L",F795="S",F795="I"),-1,1),"")</f>
        <v>0</v>
      </c>
      <c r="AM795" s="905">
        <f t="shared" ref="AM795:AM858" si="82">AN795-AL795</f>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ref="AT795:AT858" si="83">C795</f>
        <v>G60200</v>
      </c>
      <c r="AU795" s="488" t="str">
        <f t="shared" ref="AU795:AU858" si="84">D795</f>
        <v>COUT-MALIBU MAXX</v>
      </c>
      <c r="AV795" s="899">
        <f>IFERROR(INDEX(V795:AG795,1,MATCH(Parametres!$B$3,V$1:AG$1,0)-1)*IF(OR(C795="L",C795="S",C795="I"),-1,1),"")</f>
        <v>0</v>
      </c>
      <c r="AW795" s="899">
        <f t="shared" ref="AW795:AW858" si="85">AX795-AV795</f>
        <v>0</v>
      </c>
      <c r="AX795" s="899">
        <f>INDEX(V795:AG795,1,MATCH(Parametres!$B$3,V$1:AG$1,0))*IF(OR(C795="L",C795="S",C795="I"),-1,1)</f>
        <v>0</v>
      </c>
      <c r="AY795" s="487" t="s">
        <v>337</v>
      </c>
      <c r="AZ795" s="487" t="e">
        <f>+VLOOKUP($AJ795,Data_Validation!$A:$E,5,0)</f>
        <v>#N/A</v>
      </c>
    </row>
    <row r="796" spans="1:52" ht="15" customHeight="1">
      <c r="A796" s="706" t="s">
        <v>1148</v>
      </c>
      <c r="B796" s="706">
        <v>2026</v>
      </c>
      <c r="C796" s="706" t="s">
        <v>2639</v>
      </c>
      <c r="D796" s="706" t="s">
        <v>2640</v>
      </c>
      <c r="E796" s="706" t="s">
        <v>1143</v>
      </c>
      <c r="F796" s="706" t="s">
        <v>1152</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G60201</v>
      </c>
      <c r="AK796" s="905" t="str">
        <f t="shared" si="81"/>
        <v>COUT - SONIC</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G60201</v>
      </c>
      <c r="AU796" s="488" t="str">
        <f t="shared" si="84"/>
        <v>COUT - SONIC</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customHeight="1">
      <c r="A797" s="706" t="s">
        <v>1148</v>
      </c>
      <c r="B797" s="706">
        <v>2026</v>
      </c>
      <c r="C797" s="706" t="s">
        <v>2641</v>
      </c>
      <c r="D797" s="706" t="s">
        <v>2642</v>
      </c>
      <c r="E797" s="706" t="s">
        <v>1143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G60204</v>
      </c>
      <c r="AK797" s="905" t="str">
        <f t="shared" si="81"/>
        <v>COUTANT-VERANO</v>
      </c>
      <c r="AL797" s="905">
        <f>IFERROR(INDEX(G797:R797,1,MATCH(Parametres!$B$3,G$1:R$1,0)-1)*IF(OR(F797="L",F797="S",F797="I"),-1,1),"")</f>
        <v>0</v>
      </c>
      <c r="AM797" s="905">
        <f t="shared" si="82"/>
        <v>0</v>
      </c>
      <c r="AN797" s="905">
        <f>INDEX(G797:R797,1,MATCH(Parametres!$B$3,G$1:R$1,0))*IF(OR(F797="L",F797="S",F797="I"),-1,1)</f>
        <v>0</v>
      </c>
      <c r="AO797" s="487" t="str">
        <f>+VLOOKUP($AJ797,Data_Validation!$A:$D,1,0)</f>
        <v>G60204</v>
      </c>
      <c r="AP797" s="487" t="str">
        <f>+VLOOKUP($AJ797,Data_Validation!$A:$D,3,0)</f>
        <v>Véhicules neufs</v>
      </c>
      <c r="AQ797" s="487" t="str">
        <f>+VLOOKUP($AJ797,Data_Validation!$A:$D,4,0)</f>
        <v>Autos détail</v>
      </c>
      <c r="AR797" s="487" t="s">
        <v>299</v>
      </c>
      <c r="AS797" s="487">
        <f>+VLOOKUP($AJ797,Data_Validation!$A:$E,5,0)</f>
        <v>0</v>
      </c>
      <c r="AT797" s="904" t="str">
        <f t="shared" si="83"/>
        <v>G60204</v>
      </c>
      <c r="AU797" s="488" t="str">
        <f t="shared" si="84"/>
        <v>COUTANT-VERANO</v>
      </c>
      <c r="AV797" s="899">
        <f>IFERROR(INDEX(V797:AG797,1,MATCH(Parametres!$B$3,V$1:AG$1,0)-1)*IF(OR(C797="L",C797="S",C797="I"),-1,1),"")</f>
        <v>0</v>
      </c>
      <c r="AW797" s="899">
        <f t="shared" si="85"/>
        <v>0</v>
      </c>
      <c r="AX797" s="899">
        <f>INDEX(V797:AG797,1,MATCH(Parametres!$B$3,V$1:AG$1,0))*IF(OR(C797="L",C797="S",C797="I"),-1,1)</f>
        <v>0</v>
      </c>
      <c r="AY797" s="487" t="s">
        <v>337</v>
      </c>
      <c r="AZ797" s="487">
        <f>+VLOOKUP($AJ797,Data_Validation!$A:$E,5,0)</f>
        <v>0</v>
      </c>
    </row>
    <row r="798" spans="1:52" ht="15" customHeight="1">
      <c r="A798" s="706" t="s">
        <v>1148</v>
      </c>
      <c r="B798" s="706">
        <v>2026</v>
      </c>
      <c r="C798" s="706" t="s">
        <v>2643</v>
      </c>
      <c r="D798" s="706" t="s">
        <v>2644</v>
      </c>
      <c r="E798" s="706" t="s">
        <v>1143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G60300</v>
      </c>
      <c r="AK798" s="905" t="str">
        <f t="shared" si="81"/>
        <v>COUT-IMPALA</v>
      </c>
      <c r="AL798" s="905">
        <f>IFERROR(INDEX(G798:R798,1,MATCH(Parametres!$B$3,G$1:R$1,0)-1)*IF(OR(F798="L",F798="S",F798="I"),-1,1),"")</f>
        <v>0</v>
      </c>
      <c r="AM798" s="1047">
        <f t="shared" si="82"/>
        <v>0</v>
      </c>
      <c r="AN798" s="905">
        <f>INDEX(G798:R798,1,MATCH(Parametres!$B$3,G$1:R$1,0))*IF(OR(F798="L",F798="S",F798="I"),-1,1)</f>
        <v>0</v>
      </c>
      <c r="AO798" s="487" t="str">
        <f>+VLOOKUP($AJ798,Data_Validation!$A:$D,1,0)</f>
        <v>G60300</v>
      </c>
      <c r="AP798" s="487" t="str">
        <f>+VLOOKUP($AJ798,Data_Validation!$A:$D,3,0)</f>
        <v>Véhicules neufs</v>
      </c>
      <c r="AQ798" s="487" t="str">
        <f>+VLOOKUP($AJ798,Data_Validation!$A:$D,4,0)</f>
        <v>Autos détail</v>
      </c>
      <c r="AR798" s="487" t="s">
        <v>299</v>
      </c>
      <c r="AS798" s="487">
        <f>+VLOOKUP($AJ798,Data_Validation!$A:$E,5,0)</f>
        <v>0</v>
      </c>
      <c r="AT798" s="904" t="str">
        <f t="shared" si="83"/>
        <v>G60300</v>
      </c>
      <c r="AU798" s="488" t="str">
        <f t="shared" si="84"/>
        <v>COUT-IMPALA</v>
      </c>
      <c r="AV798" s="899">
        <f>IFERROR(INDEX(V798:AG798,1,MATCH(Parametres!$B$3,V$1:AG$1,0)-1)*IF(OR(C798="L",C798="S",C798="I"),-1,1),"")</f>
        <v>0</v>
      </c>
      <c r="AW798" s="899">
        <f t="shared" si="85"/>
        <v>0</v>
      </c>
      <c r="AX798" s="899">
        <f>INDEX(V798:AG798,1,MATCH(Parametres!$B$3,V$1:AG$1,0))*IF(OR(C798="L",C798="S",C798="I"),-1,1)</f>
        <v>0</v>
      </c>
      <c r="AY798" s="487" t="s">
        <v>337</v>
      </c>
      <c r="AZ798" s="487">
        <f>+VLOOKUP($AJ798,Data_Validation!$A:$E,5,0)</f>
        <v>0</v>
      </c>
    </row>
    <row r="799" spans="1:52" ht="15" customHeight="1">
      <c r="A799" s="706" t="s">
        <v>1148</v>
      </c>
      <c r="B799" s="706">
        <v>2026</v>
      </c>
      <c r="C799" s="706" t="s">
        <v>2645</v>
      </c>
      <c r="D799" s="706" t="s">
        <v>2646</v>
      </c>
      <c r="E799" s="706" t="s">
        <v>1143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G60320</v>
      </c>
      <c r="AK799" s="905" t="str">
        <f t="shared" si="81"/>
        <v>COUT-IMPALA          -LOC</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G60320</v>
      </c>
      <c r="AU799" s="488" t="str">
        <f t="shared" si="84"/>
        <v>COUT-IMPALA          -LOC</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2647</v>
      </c>
      <c r="D800" s="706" t="s">
        <v>2648</v>
      </c>
      <c r="E800" s="706" t="s">
        <v>1143</v>
      </c>
      <c r="F800" s="706" t="s">
        <v>1152</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G60400</v>
      </c>
      <c r="AK800" s="905" t="str">
        <f t="shared" si="81"/>
        <v>COUT- SPARK</v>
      </c>
      <c r="AL800" s="905">
        <f>IFERROR(INDEX(G800:R800,1,MATCH(Parametres!$B$3,G$1:R$1,0)-1)*IF(OR(F800="L",F800="S",F800="I"),-1,1),"")</f>
        <v>0</v>
      </c>
      <c r="AM800" s="905">
        <f t="shared" si="82"/>
        <v>0</v>
      </c>
      <c r="AN800" s="905">
        <f>INDEX(G800:R800,1,MATCH(Parametres!$B$3,G$1:R$1,0))*IF(OR(F800="L",F800="S",F800="I"),-1,1)</f>
        <v>0</v>
      </c>
      <c r="AO800" s="487" t="str">
        <f>+VLOOKUP($AJ800,Data_Validation!$A:$D,1,0)</f>
        <v>G60400</v>
      </c>
      <c r="AP800" s="487" t="str">
        <f>+VLOOKUP($AJ800,Data_Validation!$A:$D,3,0)</f>
        <v>Véhicules neufs</v>
      </c>
      <c r="AQ800" s="487" t="str">
        <f>+VLOOKUP($AJ800,Data_Validation!$A:$D,4,0)</f>
        <v>Autos détail</v>
      </c>
      <c r="AR800" s="487" t="s">
        <v>299</v>
      </c>
      <c r="AS800" s="487">
        <f>+VLOOKUP($AJ800,Data_Validation!$A:$E,5,0)</f>
        <v>0</v>
      </c>
      <c r="AT800" s="904" t="str">
        <f t="shared" si="83"/>
        <v>G60400</v>
      </c>
      <c r="AU800" s="488" t="str">
        <f t="shared" si="84"/>
        <v>COUT- SPARK</v>
      </c>
      <c r="AV800" s="899">
        <f>IFERROR(INDEX(V800:AG800,1,MATCH(Parametres!$B$3,V$1:AG$1,0)-1)*IF(OR(C800="L",C800="S",C800="I"),-1,1),"")</f>
        <v>0</v>
      </c>
      <c r="AW800" s="899">
        <f t="shared" si="85"/>
        <v>0</v>
      </c>
      <c r="AX800" s="899">
        <f>INDEX(V800:AG800,1,MATCH(Parametres!$B$3,V$1:AG$1,0))*IF(OR(C800="L",C800="S",C800="I"),-1,1)</f>
        <v>0</v>
      </c>
      <c r="AY800" s="487" t="s">
        <v>337</v>
      </c>
      <c r="AZ800" s="487">
        <f>+VLOOKUP($AJ800,Data_Validation!$A:$E,5,0)</f>
        <v>0</v>
      </c>
    </row>
    <row r="801" spans="1:52" ht="15" customHeight="1">
      <c r="A801" s="706" t="s">
        <v>1148</v>
      </c>
      <c r="B801" s="706">
        <v>2026</v>
      </c>
      <c r="C801" s="706" t="s">
        <v>2649</v>
      </c>
      <c r="D801" s="706" t="s">
        <v>2650</v>
      </c>
      <c r="E801" s="706" t="s">
        <v>1143</v>
      </c>
      <c r="F801" s="706" t="s">
        <v>1152</v>
      </c>
      <c r="G801" s="706">
        <v>0</v>
      </c>
      <c r="H801" s="706">
        <v>0</v>
      </c>
      <c r="I801" s="706">
        <v>0</v>
      </c>
      <c r="J801" s="706">
        <v>98056.9</v>
      </c>
      <c r="K801" s="706">
        <v>197263.99</v>
      </c>
      <c r="L801" s="706">
        <v>339316.99</v>
      </c>
      <c r="M801" s="706">
        <v>339316.99</v>
      </c>
      <c r="N801" s="706">
        <v>0</v>
      </c>
      <c r="O801" s="706">
        <v>0</v>
      </c>
      <c r="P801" s="706">
        <v>0</v>
      </c>
      <c r="Q801" s="706">
        <v>0</v>
      </c>
      <c r="R801" s="706">
        <v>0</v>
      </c>
      <c r="S801" s="706">
        <v>56552.83</v>
      </c>
      <c r="T801" s="706">
        <v>56552.83</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G60500</v>
      </c>
      <c r="AK801" s="905" t="str">
        <f t="shared" si="81"/>
        <v>COUT-CORVETTE</v>
      </c>
      <c r="AL801" s="905">
        <f>IFERROR(INDEX(G801:R801,1,MATCH(Parametres!$B$3,G$1:R$1,0)-1)*IF(OR(F801="L",F801="S",F801="I"),-1,1),"")</f>
        <v>197263.99</v>
      </c>
      <c r="AM801" s="905">
        <f t="shared" si="82"/>
        <v>142053</v>
      </c>
      <c r="AN801" s="905">
        <f>INDEX(G801:R801,1,MATCH(Parametres!$B$3,G$1:R$1,0))*IF(OR(F801="L",F801="S",F801="I"),-1,1)</f>
        <v>339316.99</v>
      </c>
      <c r="AO801" s="487" t="str">
        <f>+VLOOKUP($AJ801,Data_Validation!$A:$D,1,0)</f>
        <v>G60500</v>
      </c>
      <c r="AP801" s="487" t="str">
        <f>+VLOOKUP($AJ801,Data_Validation!$A:$D,3,0)</f>
        <v>Véhicules neufs</v>
      </c>
      <c r="AQ801" s="487" t="str">
        <f>+VLOOKUP($AJ801,Data_Validation!$A:$D,4,0)</f>
        <v>Autos détail</v>
      </c>
      <c r="AR801" s="487" t="s">
        <v>299</v>
      </c>
      <c r="AS801" s="487">
        <f>+VLOOKUP($AJ801,Data_Validation!$A:$E,5,0)</f>
        <v>0</v>
      </c>
      <c r="AT801" s="904" t="str">
        <f t="shared" si="83"/>
        <v>G60500</v>
      </c>
      <c r="AU801" s="488" t="str">
        <f t="shared" si="84"/>
        <v>COUT-CORVETTE</v>
      </c>
      <c r="AV801" s="899">
        <f>IFERROR(INDEX(V801:AG801,1,MATCH(Parametres!$B$3,V$1:AG$1,0)-1)*IF(OR(C801="L",C801="S",C801="I"),-1,1),"")</f>
        <v>0</v>
      </c>
      <c r="AW801" s="899">
        <f t="shared" si="85"/>
        <v>0</v>
      </c>
      <c r="AX801" s="899">
        <f>INDEX(V801:AG801,1,MATCH(Parametres!$B$3,V$1:AG$1,0))*IF(OR(C801="L",C801="S",C801="I"),-1,1)</f>
        <v>0</v>
      </c>
      <c r="AY801" s="487" t="s">
        <v>337</v>
      </c>
      <c r="AZ801" s="487">
        <f>+VLOOKUP($AJ801,Data_Validation!$A:$E,5,0)</f>
        <v>0</v>
      </c>
    </row>
    <row r="802" spans="1:52" ht="15" customHeight="1">
      <c r="A802" s="706" t="s">
        <v>1148</v>
      </c>
      <c r="B802" s="706">
        <v>2026</v>
      </c>
      <c r="C802" s="706" t="s">
        <v>2651</v>
      </c>
      <c r="D802" s="706" t="s">
        <v>2652</v>
      </c>
      <c r="E802" s="706" t="s">
        <v>1143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G60600</v>
      </c>
      <c r="AK802" s="905" t="str">
        <f t="shared" si="81"/>
        <v>COUT-AVEO</v>
      </c>
      <c r="AL802" s="905">
        <f>IFERROR(INDEX(G802:R802,1,MATCH(Parametres!$B$3,G$1:R$1,0)-1)*IF(OR(F802="L",F802="S",F802="I"),-1,1),"")</f>
        <v>0</v>
      </c>
      <c r="AM802" s="905">
        <f t="shared" si="82"/>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3"/>
        <v>G60600</v>
      </c>
      <c r="AU802" s="488" t="str">
        <f t="shared" si="84"/>
        <v>COUT-AVEO</v>
      </c>
      <c r="AV802" s="899">
        <f>IFERROR(INDEX(V802:AG802,1,MATCH(Parametres!$B$3,V$1:AG$1,0)-1)*IF(OR(C802="L",C802="S",C802="I"),-1,1),"")</f>
        <v>0</v>
      </c>
      <c r="AW802" s="899">
        <f t="shared" si="85"/>
        <v>0</v>
      </c>
      <c r="AX802" s="899">
        <f>INDEX(V802:AG802,1,MATCH(Parametres!$B$3,V$1:AG$1,0))*IF(OR(C802="L",C802="S",C802="I"),-1,1)</f>
        <v>0</v>
      </c>
      <c r="AY802" s="487" t="s">
        <v>337</v>
      </c>
      <c r="AZ802" s="487" t="e">
        <f>+VLOOKUP($AJ802,Data_Validation!$A:$E,5,0)</f>
        <v>#N/A</v>
      </c>
    </row>
    <row r="803" spans="1:52" ht="15" customHeight="1">
      <c r="A803" s="706" t="s">
        <v>1148</v>
      </c>
      <c r="B803" s="706">
        <v>2026</v>
      </c>
      <c r="C803" s="706" t="s">
        <v>2653</v>
      </c>
      <c r="D803" s="706" t="s">
        <v>2654</v>
      </c>
      <c r="E803" s="706" t="s">
        <v>1143</v>
      </c>
      <c r="F803" s="706" t="s">
        <v>1152</v>
      </c>
      <c r="G803" s="706">
        <v>0</v>
      </c>
      <c r="H803" s="706">
        <v>0</v>
      </c>
      <c r="I803" s="706">
        <v>0</v>
      </c>
      <c r="J803" s="706">
        <v>0</v>
      </c>
      <c r="K803" s="706">
        <v>0</v>
      </c>
      <c r="L803" s="706">
        <v>0</v>
      </c>
      <c r="M803" s="706">
        <v>0</v>
      </c>
      <c r="N803" s="706">
        <v>0</v>
      </c>
      <c r="O803" s="706">
        <v>0</v>
      </c>
      <c r="P803" s="706">
        <v>0</v>
      </c>
      <c r="Q803" s="706">
        <v>0</v>
      </c>
      <c r="R803" s="706">
        <v>0</v>
      </c>
      <c r="S803" s="706">
        <v>0</v>
      </c>
      <c r="T803" s="706">
        <v>0</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G60620</v>
      </c>
      <c r="AK803" s="905" t="str">
        <f t="shared" si="81"/>
        <v>COUT-AVEO            -LOC</v>
      </c>
      <c r="AL803" s="905">
        <f>IFERROR(INDEX(G803:R803,1,MATCH(Parametres!$B$3,G$1:R$1,0)-1)*IF(OR(F803="L",F803="S",F803="I"),-1,1),"")</f>
        <v>0</v>
      </c>
      <c r="AM803" s="905">
        <f t="shared" si="82"/>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t="str">
        <f t="shared" si="83"/>
        <v>G60620</v>
      </c>
      <c r="AU803" s="488" t="str">
        <f t="shared" si="84"/>
        <v>COUT-AVEO            -LOC</v>
      </c>
      <c r="AV803" s="899">
        <f>IFERROR(INDEX(V803:AG803,1,MATCH(Parametres!$B$3,V$1:AG$1,0)-1)*IF(OR(C803="L",C803="S",C803="I"),-1,1),"")</f>
        <v>0</v>
      </c>
      <c r="AW803" s="899">
        <f t="shared" si="85"/>
        <v>0</v>
      </c>
      <c r="AX803" s="899">
        <f>INDEX(V803:AG803,1,MATCH(Parametres!$B$3,V$1:AG$1,0))*IF(OR(C803="L",C803="S",C803="I"),-1,1)</f>
        <v>0</v>
      </c>
      <c r="AY803" s="487" t="s">
        <v>337</v>
      </c>
      <c r="AZ803" s="487" t="e">
        <f>+VLOOKUP($AJ803,Data_Validation!$A:$E,5,0)</f>
        <v>#N/A</v>
      </c>
    </row>
    <row r="804" spans="1:52" ht="15" customHeight="1">
      <c r="A804" s="706" t="s">
        <v>1148</v>
      </c>
      <c r="B804" s="706">
        <v>2026</v>
      </c>
      <c r="C804" s="706" t="s">
        <v>2655</v>
      </c>
      <c r="D804" s="706" t="s">
        <v>2656</v>
      </c>
      <c r="E804" s="706" t="s">
        <v>1143</v>
      </c>
      <c r="F804" s="706" t="s">
        <v>1152</v>
      </c>
      <c r="G804" s="706">
        <v>0</v>
      </c>
      <c r="H804" s="706">
        <v>0</v>
      </c>
      <c r="I804" s="706">
        <v>0</v>
      </c>
      <c r="J804" s="706">
        <v>0</v>
      </c>
      <c r="K804" s="706">
        <v>44805.04</v>
      </c>
      <c r="L804" s="706">
        <v>44805.04</v>
      </c>
      <c r="M804" s="706">
        <v>44805.04</v>
      </c>
      <c r="N804" s="706">
        <v>0</v>
      </c>
      <c r="O804" s="706">
        <v>0</v>
      </c>
      <c r="P804" s="706">
        <v>0</v>
      </c>
      <c r="Q804" s="706">
        <v>0</v>
      </c>
      <c r="R804" s="706">
        <v>0</v>
      </c>
      <c r="S804" s="706">
        <v>7467.51</v>
      </c>
      <c r="T804" s="706">
        <v>7467.51</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G60700</v>
      </c>
      <c r="AK804" s="905" t="str">
        <f t="shared" si="81"/>
        <v>COUT BOLT - EV</v>
      </c>
      <c r="AL804" s="905">
        <f>IFERROR(INDEX(G804:R804,1,MATCH(Parametres!$B$3,G$1:R$1,0)-1)*IF(OR(F804="L",F804="S",F804="I"),-1,1),"")</f>
        <v>44805.04</v>
      </c>
      <c r="AM804" s="905">
        <f t="shared" si="82"/>
        <v>0</v>
      </c>
      <c r="AN804" s="905">
        <f>INDEX(G804:R804,1,MATCH(Parametres!$B$3,G$1:R$1,0))*IF(OR(F804="L",F804="S",F804="I"),-1,1)</f>
        <v>44805.04</v>
      </c>
      <c r="AO804" s="487" t="str">
        <f>+VLOOKUP($AJ804,Data_Validation!$A:$D,1,0)</f>
        <v>G60700</v>
      </c>
      <c r="AP804" s="487" t="str">
        <f>+VLOOKUP($AJ804,Data_Validation!$A:$D,3,0)</f>
        <v>Véhicules neufs</v>
      </c>
      <c r="AQ804" s="487" t="str">
        <f>+VLOOKUP($AJ804,Data_Validation!$A:$D,4,0)</f>
        <v>Camions electriques</v>
      </c>
      <c r="AR804" s="487" t="s">
        <v>299</v>
      </c>
      <c r="AS804" s="487">
        <f>+VLOOKUP($AJ804,Data_Validation!$A:$E,5,0)</f>
        <v>0</v>
      </c>
      <c r="AT804" s="904" t="str">
        <f t="shared" si="83"/>
        <v>G60700</v>
      </c>
      <c r="AU804" s="488" t="str">
        <f t="shared" si="84"/>
        <v>COUT BOLT - EV</v>
      </c>
      <c r="AV804" s="899">
        <f>IFERROR(INDEX(V804:AG804,1,MATCH(Parametres!$B$3,V$1:AG$1,0)-1)*IF(OR(C804="L",C804="S",C804="I"),-1,1),"")</f>
        <v>0</v>
      </c>
      <c r="AW804" s="899">
        <f t="shared" si="85"/>
        <v>0</v>
      </c>
      <c r="AX804" s="899">
        <f>INDEX(V804:AG804,1,MATCH(Parametres!$B$3,V$1:AG$1,0))*IF(OR(C804="L",C804="S",C804="I"),-1,1)</f>
        <v>0</v>
      </c>
      <c r="AY804" s="487" t="s">
        <v>337</v>
      </c>
      <c r="AZ804" s="487">
        <f>+VLOOKUP($AJ804,Data_Validation!$A:$E,5,0)</f>
        <v>0</v>
      </c>
    </row>
    <row r="805" spans="1:52" ht="15" customHeight="1">
      <c r="A805" s="706" t="s">
        <v>1148</v>
      </c>
      <c r="B805" s="706">
        <v>2026</v>
      </c>
      <c r="C805" s="706" t="s">
        <v>2657</v>
      </c>
      <c r="D805" s="706" t="s">
        <v>2658</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G60720</v>
      </c>
      <c r="AK805" s="905" t="str">
        <f t="shared" si="81"/>
        <v>COUT-OPTRA           -LOC</v>
      </c>
      <c r="AL805" s="905">
        <f>IFERROR(INDEX(G805:R805,1,MATCH(Parametres!$B$3,G$1:R$1,0)-1)*IF(OR(F805="L",F805="S",F805="I"),-1,1),"")</f>
        <v>0</v>
      </c>
      <c r="AM805" s="905">
        <f t="shared" si="82"/>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G60720</v>
      </c>
      <c r="AU805" s="488" t="str">
        <f t="shared" si="84"/>
        <v>COUT-OPTRA           -LOC</v>
      </c>
      <c r="AV805" s="899">
        <f>IFERROR(INDEX(V805:AG805,1,MATCH(Parametres!$B$3,V$1:AG$1,0)-1)*IF(OR(C805="L",C805="S",C805="I"),-1,1),"")</f>
        <v>0</v>
      </c>
      <c r="AW805" s="899">
        <f t="shared" si="85"/>
        <v>0</v>
      </c>
      <c r="AX805" s="899">
        <f>INDEX(V805:AG805,1,MATCH(Parametres!$B$3,V$1:AG$1,0))*IF(OR(C805="L",C805="S",C805="I"),-1,1)</f>
        <v>0</v>
      </c>
      <c r="AY805" s="487" t="s">
        <v>337</v>
      </c>
      <c r="AZ805" s="487" t="e">
        <f>+VLOOKUP($AJ805,Data_Validation!$A:$E,5,0)</f>
        <v>#N/A</v>
      </c>
    </row>
    <row r="806" spans="1:52" ht="15" customHeight="1">
      <c r="A806" s="706" t="s">
        <v>1148</v>
      </c>
      <c r="B806" s="706">
        <v>2026</v>
      </c>
      <c r="C806" s="706" t="s">
        <v>2659</v>
      </c>
      <c r="D806" s="706" t="s">
        <v>2660</v>
      </c>
      <c r="E806" s="706" t="s">
        <v>1143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G60800</v>
      </c>
      <c r="AK806" s="905" t="str">
        <f t="shared" si="81"/>
        <v>COUT-EPICA</v>
      </c>
      <c r="AL806" s="905">
        <f>IFERROR(INDEX(G806:R806,1,MATCH(Parametres!$B$3,G$1:R$1,0)-1)*IF(OR(F806="L",F806="S",F806="I"),-1,1),"")</f>
        <v>0</v>
      </c>
      <c r="AM806" s="905">
        <f t="shared" si="82"/>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t="str">
        <f t="shared" si="83"/>
        <v>G60800</v>
      </c>
      <c r="AU806" s="488" t="str">
        <f t="shared" si="84"/>
        <v>COUT-EPICA</v>
      </c>
      <c r="AV806" s="899">
        <f>IFERROR(INDEX(V806:AG806,1,MATCH(Parametres!$B$3,V$1:AG$1,0)-1)*IF(OR(C806="L",C806="S",C806="I"),-1,1),"")</f>
        <v>0</v>
      </c>
      <c r="AW806" s="899">
        <f t="shared" si="85"/>
        <v>0</v>
      </c>
      <c r="AX806" s="899">
        <f>INDEX(V806:AG806,1,MATCH(Parametres!$B$3,V$1:AG$1,0))*IF(OR(C806="L",C806="S",C806="I"),-1,1)</f>
        <v>0</v>
      </c>
      <c r="AY806" s="487" t="s">
        <v>337</v>
      </c>
      <c r="AZ806" s="487" t="e">
        <f>+VLOOKUP($AJ806,Data_Validation!$A:$E,5,0)</f>
        <v>#N/A</v>
      </c>
    </row>
    <row r="807" spans="1:52" ht="15" customHeight="1">
      <c r="A807" s="706" t="s">
        <v>1148</v>
      </c>
      <c r="B807" s="706">
        <v>2026</v>
      </c>
      <c r="C807" s="706" t="s">
        <v>2661</v>
      </c>
      <c r="D807" s="706" t="s">
        <v>2662</v>
      </c>
      <c r="E807" s="706" t="s">
        <v>1143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G60820</v>
      </c>
      <c r="AK807" s="905" t="str">
        <f t="shared" si="81"/>
        <v>COUT-EPICA           -LOC</v>
      </c>
      <c r="AL807" s="905">
        <f>IFERROR(INDEX(G807:R807,1,MATCH(Parametres!$B$3,G$1:R$1,0)-1)*IF(OR(F807="L",F807="S",F807="I"),-1,1),"")</f>
        <v>0</v>
      </c>
      <c r="AM807" s="905">
        <f t="shared" si="82"/>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t="str">
        <f t="shared" si="83"/>
        <v>G60820</v>
      </c>
      <c r="AU807" s="488" t="str">
        <f t="shared" si="84"/>
        <v>COUT-EPICA           -LOC</v>
      </c>
      <c r="AV807" s="899">
        <f>IFERROR(INDEX(V807:AG807,1,MATCH(Parametres!$B$3,V$1:AG$1,0)-1)*IF(OR(C807="L",C807="S",C807="I"),-1,1),"")</f>
        <v>0</v>
      </c>
      <c r="AW807" s="899">
        <f t="shared" si="85"/>
        <v>0</v>
      </c>
      <c r="AX807" s="899">
        <f>INDEX(V807:AG807,1,MATCH(Parametres!$B$3,V$1:AG$1,0))*IF(OR(C807="L",C807="S",C807="I"),-1,1)</f>
        <v>0</v>
      </c>
      <c r="AY807" s="487" t="s">
        <v>337</v>
      </c>
      <c r="AZ807" s="487" t="e">
        <f>+VLOOKUP($AJ807,Data_Validation!$A:$E,5,0)</f>
        <v>#N/A</v>
      </c>
    </row>
    <row r="808" spans="1:52" ht="15" customHeight="1">
      <c r="A808" s="706" t="s">
        <v>1148</v>
      </c>
      <c r="B808" s="706">
        <v>2026</v>
      </c>
      <c r="C808" s="706" t="s">
        <v>2663</v>
      </c>
      <c r="D808" s="706" t="s">
        <v>2664</v>
      </c>
      <c r="E808" s="706" t="s">
        <v>1143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G60900</v>
      </c>
      <c r="AK808" s="905" t="str">
        <f t="shared" si="81"/>
        <v>COUT-COBALT</v>
      </c>
      <c r="AL808" s="905">
        <f>IFERROR(INDEX(G808:R808,1,MATCH(Parametres!$B$3,G$1:R$1,0)-1)*IF(OR(F808="L",F808="S",F808="I"),-1,1),"")</f>
        <v>0</v>
      </c>
      <c r="AM808" s="905">
        <f t="shared" si="82"/>
        <v>0</v>
      </c>
      <c r="AN808" s="905">
        <f>INDEX(G808:R808,1,MATCH(Parametres!$B$3,G$1:R$1,0))*IF(OR(F808="L",F808="S",F808="I"),-1,1)</f>
        <v>0</v>
      </c>
      <c r="AO808" s="487" t="str">
        <f>+VLOOKUP($AJ808,Data_Validation!$A:$D,1,0)</f>
        <v>G60900</v>
      </c>
      <c r="AP808" s="487" t="str">
        <f>+VLOOKUP($AJ808,Data_Validation!$A:$D,3,0)</f>
        <v>Véhicules neufs</v>
      </c>
      <c r="AQ808" s="487" t="str">
        <f>+VLOOKUP($AJ808,Data_Validation!$A:$D,4,0)</f>
        <v>Autos détail</v>
      </c>
      <c r="AR808" s="487" t="s">
        <v>299</v>
      </c>
      <c r="AS808" s="487">
        <f>+VLOOKUP($AJ808,Data_Validation!$A:$E,5,0)</f>
        <v>0</v>
      </c>
      <c r="AT808" s="904" t="str">
        <f t="shared" si="83"/>
        <v>G60900</v>
      </c>
      <c r="AU808" s="488" t="str">
        <f t="shared" si="84"/>
        <v>COUT-COBALT</v>
      </c>
      <c r="AV808" s="899">
        <f>IFERROR(INDEX(V808:AG808,1,MATCH(Parametres!$B$3,V$1:AG$1,0)-1)*IF(OR(C808="L",C808="S",C808="I"),-1,1),"")</f>
        <v>0</v>
      </c>
      <c r="AW808" s="899">
        <f t="shared" si="85"/>
        <v>0</v>
      </c>
      <c r="AX808" s="899">
        <f>INDEX(V808:AG808,1,MATCH(Parametres!$B$3,V$1:AG$1,0))*IF(OR(C808="L",C808="S",C808="I"),-1,1)</f>
        <v>0</v>
      </c>
      <c r="AY808" s="487" t="s">
        <v>337</v>
      </c>
      <c r="AZ808" s="487">
        <f>+VLOOKUP($AJ808,Data_Validation!$A:$E,5,0)</f>
        <v>0</v>
      </c>
    </row>
    <row r="809" spans="1:52" ht="15" customHeight="1">
      <c r="A809" s="706" t="s">
        <v>1148</v>
      </c>
      <c r="B809" s="706">
        <v>2026</v>
      </c>
      <c r="C809" s="706" t="s">
        <v>2665</v>
      </c>
      <c r="D809" s="706" t="s">
        <v>2666</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G60920</v>
      </c>
      <c r="AK809" s="905" t="str">
        <f t="shared" si="81"/>
        <v>COUT-COBALT          -LOC</v>
      </c>
      <c r="AL809" s="905">
        <f>IFERROR(INDEX(G809:R809,1,MATCH(Parametres!$B$3,G$1:R$1,0)-1)*IF(OR(F809="L",F809="S",F809="I"),-1,1),"")</f>
        <v>0</v>
      </c>
      <c r="AM809" s="905">
        <f t="shared" si="82"/>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t="str">
        <f t="shared" si="83"/>
        <v>G60920</v>
      </c>
      <c r="AU809" s="488" t="str">
        <f t="shared" si="84"/>
        <v>COUT-COBALT          -LOC</v>
      </c>
      <c r="AV809" s="899">
        <f>IFERROR(INDEX(V809:AG809,1,MATCH(Parametres!$B$3,V$1:AG$1,0)-1)*IF(OR(C809="L",C809="S",C809="I"),-1,1),"")</f>
        <v>0</v>
      </c>
      <c r="AW809" s="899">
        <f t="shared" si="85"/>
        <v>0</v>
      </c>
      <c r="AX809" s="899">
        <f>INDEX(V809:AG809,1,MATCH(Parametres!$B$3,V$1:AG$1,0))*IF(OR(C809="L",C809="S",C809="I"),-1,1)</f>
        <v>0</v>
      </c>
      <c r="AY809" s="487" t="s">
        <v>337</v>
      </c>
      <c r="AZ809" s="487" t="e">
        <f>+VLOOKUP($AJ809,Data_Validation!$A:$E,5,0)</f>
        <v>#N/A</v>
      </c>
    </row>
    <row r="810" spans="1:52" ht="15" customHeight="1">
      <c r="A810" s="706" t="s">
        <v>1148</v>
      </c>
      <c r="B810" s="706">
        <v>2026</v>
      </c>
      <c r="C810" s="706" t="s">
        <v>2667</v>
      </c>
      <c r="D810" s="706" t="s">
        <v>2668</v>
      </c>
      <c r="E810" s="706" t="s">
        <v>1143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G61000</v>
      </c>
      <c r="AK810" s="905" t="str">
        <f t="shared" si="81"/>
        <v>COUT - CAMARO</v>
      </c>
      <c r="AL810" s="905">
        <f>IFERROR(INDEX(G810:R810,1,MATCH(Parametres!$B$3,G$1:R$1,0)-1)*IF(OR(F810="L",F810="S",F810="I"),-1,1),"")</f>
        <v>0</v>
      </c>
      <c r="AM810" s="905">
        <f t="shared" si="82"/>
        <v>0</v>
      </c>
      <c r="AN810" s="905">
        <f>INDEX(G810:R810,1,MATCH(Parametres!$B$3,G$1:R$1,0))*IF(OR(F810="L",F810="S",F810="I"),-1,1)</f>
        <v>0</v>
      </c>
      <c r="AO810" s="487" t="str">
        <f>+VLOOKUP($AJ810,Data_Validation!$A:$D,1,0)</f>
        <v>G61000</v>
      </c>
      <c r="AP810" s="487" t="str">
        <f>+VLOOKUP($AJ810,Data_Validation!$A:$D,3,0)</f>
        <v>Véhicules neufs</v>
      </c>
      <c r="AQ810" s="487" t="str">
        <f>+VLOOKUP($AJ810,Data_Validation!$A:$D,4,0)</f>
        <v>Autos détail</v>
      </c>
      <c r="AR810" s="487" t="s">
        <v>299</v>
      </c>
      <c r="AS810" s="487">
        <f>+VLOOKUP($AJ810,Data_Validation!$A:$E,5,0)</f>
        <v>0</v>
      </c>
      <c r="AT810" s="904" t="str">
        <f t="shared" si="83"/>
        <v>G61000</v>
      </c>
      <c r="AU810" s="488" t="str">
        <f t="shared" si="84"/>
        <v>COUT - CAMARO</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customHeight="1">
      <c r="A811" s="706" t="s">
        <v>1148</v>
      </c>
      <c r="B811" s="706">
        <v>2026</v>
      </c>
      <c r="C811" s="706" t="s">
        <v>2669</v>
      </c>
      <c r="D811" s="706" t="s">
        <v>2670</v>
      </c>
      <c r="E811" s="706" t="s">
        <v>1143</v>
      </c>
      <c r="F811" s="706" t="s">
        <v>1152</v>
      </c>
      <c r="G811" s="706">
        <v>0</v>
      </c>
      <c r="H811" s="706">
        <v>0</v>
      </c>
      <c r="I811" s="706">
        <v>0</v>
      </c>
      <c r="J811" s="706">
        <v>0</v>
      </c>
      <c r="K811" s="706">
        <v>0</v>
      </c>
      <c r="L811" s="706">
        <v>0</v>
      </c>
      <c r="M811" s="706">
        <v>0</v>
      </c>
      <c r="N811" s="706">
        <v>0</v>
      </c>
      <c r="O811" s="706">
        <v>0</v>
      </c>
      <c r="P811" s="706">
        <v>0</v>
      </c>
      <c r="Q811" s="706">
        <v>0</v>
      </c>
      <c r="R811" s="706">
        <v>0</v>
      </c>
      <c r="S811" s="706">
        <v>0</v>
      </c>
      <c r="T811" s="706">
        <v>0</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G61100</v>
      </c>
      <c r="AK811" s="905" t="str">
        <f t="shared" si="81"/>
        <v>COUTANT CRUZE</v>
      </c>
      <c r="AL811" s="905">
        <f>IFERROR(INDEX(G811:R811,1,MATCH(Parametres!$B$3,G$1:R$1,0)-1)*IF(OR(F811="L",F811="S",F811="I"),-1,1),"")</f>
        <v>0</v>
      </c>
      <c r="AM811" s="905">
        <f t="shared" si="82"/>
        <v>0</v>
      </c>
      <c r="AN811" s="905">
        <f>INDEX(G811:R811,1,MATCH(Parametres!$B$3,G$1:R$1,0))*IF(OR(F811="L",F811="S",F811="I"),-1,1)</f>
        <v>0</v>
      </c>
      <c r="AO811" s="487" t="str">
        <f>+VLOOKUP($AJ811,Data_Validation!$A:$D,1,0)</f>
        <v>G61100</v>
      </c>
      <c r="AP811" s="487" t="str">
        <f>+VLOOKUP($AJ811,Data_Validation!$A:$D,3,0)</f>
        <v>Véhicules neufs</v>
      </c>
      <c r="AQ811" s="487" t="str">
        <f>+VLOOKUP($AJ811,Data_Validation!$A:$D,4,0)</f>
        <v>Autos détail</v>
      </c>
      <c r="AR811" s="487" t="s">
        <v>299</v>
      </c>
      <c r="AS811" s="487">
        <f>+VLOOKUP($AJ811,Data_Validation!$A:$E,5,0)</f>
        <v>0</v>
      </c>
      <c r="AT811" s="904" t="str">
        <f t="shared" si="83"/>
        <v>G61100</v>
      </c>
      <c r="AU811" s="488" t="str">
        <f t="shared" si="84"/>
        <v>COUTANT CRUZE</v>
      </c>
      <c r="AV811" s="899">
        <f>IFERROR(INDEX(V811:AG811,1,MATCH(Parametres!$B$3,V$1:AG$1,0)-1)*IF(OR(C811="L",C811="S",C811="I"),-1,1),"")</f>
        <v>0</v>
      </c>
      <c r="AW811" s="899">
        <f t="shared" si="85"/>
        <v>0</v>
      </c>
      <c r="AX811" s="899">
        <f>INDEX(V811:AG811,1,MATCH(Parametres!$B$3,V$1:AG$1,0))*IF(OR(C811="L",C811="S",C811="I"),-1,1)</f>
        <v>0</v>
      </c>
      <c r="AY811" s="487" t="s">
        <v>337</v>
      </c>
      <c r="AZ811" s="487">
        <f>+VLOOKUP($AJ811,Data_Validation!$A:$E,5,0)</f>
        <v>0</v>
      </c>
    </row>
    <row r="812" spans="1:52" ht="15" customHeight="1">
      <c r="A812" s="706" t="s">
        <v>1148</v>
      </c>
      <c r="B812" s="706">
        <v>2026</v>
      </c>
      <c r="C812" s="706" t="s">
        <v>2671</v>
      </c>
      <c r="D812" s="706" t="s">
        <v>2672</v>
      </c>
      <c r="E812" s="706" t="s">
        <v>333</v>
      </c>
      <c r="F812" s="706" t="s">
        <v>1152</v>
      </c>
      <c r="G812" s="706">
        <v>0</v>
      </c>
      <c r="H812" s="706">
        <v>0</v>
      </c>
      <c r="I812" s="706">
        <v>0</v>
      </c>
      <c r="J812" s="706">
        <v>0</v>
      </c>
      <c r="K812" s="706">
        <v>0</v>
      </c>
      <c r="L812" s="706">
        <v>0</v>
      </c>
      <c r="M812" s="706">
        <v>0</v>
      </c>
      <c r="N812" s="706">
        <v>0</v>
      </c>
      <c r="O812" s="706">
        <v>0</v>
      </c>
      <c r="P812" s="706">
        <v>0</v>
      </c>
      <c r="Q812" s="706">
        <v>0</v>
      </c>
      <c r="R812" s="706">
        <v>0</v>
      </c>
      <c r="S812" s="706">
        <v>0</v>
      </c>
      <c r="T812" s="706">
        <v>0</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G61600</v>
      </c>
      <c r="AK812" s="905" t="str">
        <f t="shared" si="81"/>
        <v>INDEMNITE MARKETING AUTOS</v>
      </c>
      <c r="AL812" s="905">
        <f>IFERROR(INDEX(G812:R812,1,MATCH(Parametres!$B$3,G$1:R$1,0)-1)*IF(OR(F812="L",F812="S",F812="I"),-1,1),"")</f>
        <v>0</v>
      </c>
      <c r="AM812" s="905">
        <f t="shared" si="82"/>
        <v>0</v>
      </c>
      <c r="AN812" s="905">
        <f>INDEX(G812:R812,1,MATCH(Parametres!$B$3,G$1:R$1,0))*IF(OR(F812="L",F812="S",F812="I"),-1,1)</f>
        <v>0</v>
      </c>
      <c r="AO812" s="487" t="str">
        <f>+VLOOKUP($AJ812,Data_Validation!$A:$D,1,0)</f>
        <v>G61600</v>
      </c>
      <c r="AP812" s="487">
        <f>+VLOOKUP($AJ812,Data_Validation!$A:$D,3,0)</f>
        <v>0</v>
      </c>
      <c r="AQ812" s="487">
        <f>+VLOOKUP($AJ812,Data_Validation!$A:$D,4,0)</f>
        <v>0</v>
      </c>
      <c r="AR812" s="487" t="s">
        <v>299</v>
      </c>
      <c r="AS812" s="487">
        <f>+VLOOKUP($AJ812,Data_Validation!$A:$E,5,0)</f>
        <v>0</v>
      </c>
      <c r="AT812" s="904" t="str">
        <f t="shared" si="83"/>
        <v>G61600</v>
      </c>
      <c r="AU812" s="488" t="str">
        <f t="shared" si="84"/>
        <v>INDEMNITE MARKETING AUTOS</v>
      </c>
      <c r="AV812" s="899">
        <f>IFERROR(INDEX(V812:AG812,1,MATCH(Parametres!$B$3,V$1:AG$1,0)-1)*IF(OR(C812="L",C812="S",C812="I"),-1,1),"")</f>
        <v>0</v>
      </c>
      <c r="AW812" s="899">
        <f t="shared" si="85"/>
        <v>0</v>
      </c>
      <c r="AX812" s="899">
        <f>INDEX(V812:AG812,1,MATCH(Parametres!$B$3,V$1:AG$1,0))*IF(OR(C812="L",C812="S",C812="I"),-1,1)</f>
        <v>0</v>
      </c>
      <c r="AY812" s="487" t="s">
        <v>337</v>
      </c>
      <c r="AZ812" s="487">
        <f>+VLOOKUP($AJ812,Data_Validation!$A:$E,5,0)</f>
        <v>0</v>
      </c>
    </row>
    <row r="813" spans="1:52" ht="15" customHeight="1">
      <c r="A813" s="706" t="s">
        <v>1148</v>
      </c>
      <c r="B813" s="706">
        <v>2026</v>
      </c>
      <c r="C813" s="706" t="s">
        <v>2673</v>
      </c>
      <c r="D813" s="706" t="s">
        <v>2674</v>
      </c>
      <c r="E813" s="706" t="s">
        <v>1143</v>
      </c>
      <c r="F813" s="706" t="s">
        <v>1152</v>
      </c>
      <c r="G813" s="706">
        <v>0</v>
      </c>
      <c r="H813" s="706">
        <v>0</v>
      </c>
      <c r="I813" s="706">
        <v>0</v>
      </c>
      <c r="J813" s="706">
        <v>0</v>
      </c>
      <c r="K813" s="706">
        <v>0</v>
      </c>
      <c r="L813" s="706">
        <v>0</v>
      </c>
      <c r="M813" s="706">
        <v>0</v>
      </c>
      <c r="N813" s="706">
        <v>0</v>
      </c>
      <c r="O813" s="706">
        <v>0</v>
      </c>
      <c r="P813" s="706">
        <v>0</v>
      </c>
      <c r="Q813" s="706">
        <v>0</v>
      </c>
      <c r="R813" s="706">
        <v>0</v>
      </c>
      <c r="S813" s="706">
        <v>0</v>
      </c>
      <c r="T813" s="706">
        <v>0</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G61700</v>
      </c>
      <c r="AK813" s="905" t="str">
        <f t="shared" si="81"/>
        <v>COUT-AUTRES CHEV AUTOS</v>
      </c>
      <c r="AL813" s="905">
        <f>IFERROR(INDEX(G813:R813,1,MATCH(Parametres!$B$3,G$1:R$1,0)-1)*IF(OR(F813="L",F813="S",F813="I"),-1,1),"")</f>
        <v>0</v>
      </c>
      <c r="AM813" s="905">
        <f t="shared" si="82"/>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t="str">
        <f t="shared" si="83"/>
        <v>G61700</v>
      </c>
      <c r="AU813" s="488" t="str">
        <f t="shared" si="84"/>
        <v>COUT-AUTRES CHEV AUTOS</v>
      </c>
      <c r="AV813" s="899">
        <f>IFERROR(INDEX(V813:AG813,1,MATCH(Parametres!$B$3,V$1:AG$1,0)-1)*IF(OR(C813="L",C813="S",C813="I"),-1,1),"")</f>
        <v>0</v>
      </c>
      <c r="AW813" s="899">
        <f t="shared" si="85"/>
        <v>0</v>
      </c>
      <c r="AX813" s="899">
        <f>INDEX(V813:AG813,1,MATCH(Parametres!$B$3,V$1:AG$1,0))*IF(OR(C813="L",C813="S",C813="I"),-1,1)</f>
        <v>0</v>
      </c>
      <c r="AY813" s="487" t="s">
        <v>337</v>
      </c>
      <c r="AZ813" s="487" t="e">
        <f>+VLOOKUP($AJ813,Data_Validation!$A:$E,5,0)</f>
        <v>#N/A</v>
      </c>
    </row>
    <row r="814" spans="1:52" ht="15" customHeight="1">
      <c r="A814" s="706" t="s">
        <v>1148</v>
      </c>
      <c r="B814" s="706">
        <v>2026</v>
      </c>
      <c r="C814" s="706" t="s">
        <v>2675</v>
      </c>
      <c r="D814" s="706" t="s">
        <v>2676</v>
      </c>
      <c r="E814" s="706" t="s">
        <v>1143</v>
      </c>
      <c r="F814" s="706" t="s">
        <v>1152</v>
      </c>
      <c r="G814" s="706">
        <v>0</v>
      </c>
      <c r="H814" s="706">
        <v>0</v>
      </c>
      <c r="I814" s="706">
        <v>0</v>
      </c>
      <c r="J814" s="706">
        <v>0</v>
      </c>
      <c r="K814" s="706">
        <v>0</v>
      </c>
      <c r="L814" s="706">
        <v>0</v>
      </c>
      <c r="M814" s="706">
        <v>0</v>
      </c>
      <c r="N814" s="706">
        <v>0</v>
      </c>
      <c r="O814" s="706">
        <v>0</v>
      </c>
      <c r="P814" s="706">
        <v>0</v>
      </c>
      <c r="Q814" s="706">
        <v>0</v>
      </c>
      <c r="R814" s="706">
        <v>0</v>
      </c>
      <c r="S814" s="706">
        <v>0</v>
      </c>
      <c r="T814" s="706">
        <v>0</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G61720</v>
      </c>
      <c r="AK814" s="905" t="str">
        <f t="shared" si="81"/>
        <v>COUT-AUTRE CHEV.AUTOS-LOC</v>
      </c>
      <c r="AL814" s="905">
        <f>IFERROR(INDEX(G814:R814,1,MATCH(Parametres!$B$3,G$1:R$1,0)-1)*IF(OR(F814="L",F814="S",F814="I"),-1,1),"")</f>
        <v>0</v>
      </c>
      <c r="AM814" s="905">
        <f t="shared" si="82"/>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t="str">
        <f t="shared" si="83"/>
        <v>G61720</v>
      </c>
      <c r="AU814" s="488" t="str">
        <f t="shared" si="84"/>
        <v>COUT-AUTRE CHEV.AUTOS-LOC</v>
      </c>
      <c r="AV814" s="899">
        <f>IFERROR(INDEX(V814:AG814,1,MATCH(Parametres!$B$3,V$1:AG$1,0)-1)*IF(OR(C814="L",C814="S",C814="I"),-1,1),"")</f>
        <v>0</v>
      </c>
      <c r="AW814" s="899">
        <f t="shared" si="85"/>
        <v>0</v>
      </c>
      <c r="AX814" s="899">
        <f>INDEX(V814:AG814,1,MATCH(Parametres!$B$3,V$1:AG$1,0))*IF(OR(C814="L",C814="S",C814="I"),-1,1)</f>
        <v>0</v>
      </c>
      <c r="AY814" s="487" t="s">
        <v>337</v>
      </c>
      <c r="AZ814" s="487" t="e">
        <f>+VLOOKUP($AJ814,Data_Validation!$A:$E,5,0)</f>
        <v>#N/A</v>
      </c>
    </row>
    <row r="815" spans="1:52" ht="15" customHeight="1">
      <c r="A815" s="706" t="s">
        <v>1148</v>
      </c>
      <c r="B815" s="706">
        <v>2026</v>
      </c>
      <c r="C815" s="706" t="s">
        <v>2677</v>
      </c>
      <c r="D815" s="706" t="s">
        <v>2678</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G61799</v>
      </c>
      <c r="AK815" s="905" t="str">
        <f t="shared" si="81"/>
        <v>COUT-ECHANGE CONCESSION.</v>
      </c>
      <c r="AL815" s="905">
        <f>IFERROR(INDEX(G815:R815,1,MATCH(Parametres!$B$3,G$1:R$1,0)-1)*IF(OR(F815="L",F815="S",F815="I"),-1,1),"")</f>
        <v>0</v>
      </c>
      <c r="AM815" s="905">
        <f t="shared" si="82"/>
        <v>0</v>
      </c>
      <c r="AN815" s="905">
        <f>INDEX(G815:R815,1,MATCH(Parametres!$B$3,G$1:R$1,0))*IF(OR(F815="L",F815="S",F815="I"),-1,1)</f>
        <v>0</v>
      </c>
      <c r="AO815" s="487" t="str">
        <f>+VLOOKUP($AJ815,Data_Validation!$A:$D,1,0)</f>
        <v>G61799</v>
      </c>
      <c r="AP815" s="487">
        <f>+VLOOKUP($AJ815,Data_Validation!$A:$D,3,0)</f>
        <v>0</v>
      </c>
      <c r="AQ815" s="487">
        <f>+VLOOKUP($AJ815,Data_Validation!$A:$D,4,0)</f>
        <v>0</v>
      </c>
      <c r="AR815" s="487" t="s">
        <v>299</v>
      </c>
      <c r="AS815" s="487">
        <f>+VLOOKUP($AJ815,Data_Validation!$A:$E,5,0)</f>
        <v>0</v>
      </c>
      <c r="AT815" s="904" t="str">
        <f t="shared" si="83"/>
        <v>G61799</v>
      </c>
      <c r="AU815" s="488" t="str">
        <f t="shared" si="84"/>
        <v>COUT-ECHANGE CONCESSION.</v>
      </c>
      <c r="AV815" s="899">
        <f>IFERROR(INDEX(V815:AG815,1,MATCH(Parametres!$B$3,V$1:AG$1,0)-1)*IF(OR(C815="L",C815="S",C815="I"),-1,1),"")</f>
        <v>0</v>
      </c>
      <c r="AW815" s="899">
        <f t="shared" si="85"/>
        <v>0</v>
      </c>
      <c r="AX815" s="899">
        <f>INDEX(V815:AG815,1,MATCH(Parametres!$B$3,V$1:AG$1,0))*IF(OR(C815="L",C815="S",C815="I"),-1,1)</f>
        <v>0</v>
      </c>
      <c r="AY815" s="487" t="s">
        <v>337</v>
      </c>
      <c r="AZ815" s="487">
        <f>+VLOOKUP($AJ815,Data_Validation!$A:$E,5,0)</f>
        <v>0</v>
      </c>
    </row>
    <row r="816" spans="1:52" ht="15" customHeight="1">
      <c r="A816" s="706" t="s">
        <v>1148</v>
      </c>
      <c r="B816" s="706">
        <v>2026</v>
      </c>
      <c r="C816" s="706" t="s">
        <v>2679</v>
      </c>
      <c r="D816" s="706" t="s">
        <v>2680</v>
      </c>
      <c r="E816" s="706" t="s">
        <v>1143</v>
      </c>
      <c r="F816" s="706" t="s">
        <v>1152</v>
      </c>
      <c r="G816" s="706">
        <v>0</v>
      </c>
      <c r="H816" s="706">
        <v>0</v>
      </c>
      <c r="I816" s="706">
        <v>0</v>
      </c>
      <c r="J816" s="706">
        <v>0</v>
      </c>
      <c r="K816" s="706">
        <v>0</v>
      </c>
      <c r="L816" s="706">
        <v>0</v>
      </c>
      <c r="M816" s="706">
        <v>0</v>
      </c>
      <c r="N816" s="706">
        <v>0</v>
      </c>
      <c r="O816" s="706">
        <v>0</v>
      </c>
      <c r="P816" s="706">
        <v>0</v>
      </c>
      <c r="Q816" s="706">
        <v>0</v>
      </c>
      <c r="R816" s="706">
        <v>0</v>
      </c>
      <c r="S816" s="706">
        <v>0</v>
      </c>
      <c r="T816" s="706">
        <v>0</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G61800</v>
      </c>
      <c r="AK816" s="905" t="str">
        <f t="shared" si="81"/>
        <v>COUTANT AUTRE CHEVROLET</v>
      </c>
      <c r="AL816" s="905">
        <f>IFERROR(INDEX(G816:R816,1,MATCH(Parametres!$B$3,G$1:R$1,0)-1)*IF(OR(F816="L",F816="S",F816="I"),-1,1),"")</f>
        <v>0</v>
      </c>
      <c r="AM816" s="905">
        <f t="shared" si="82"/>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t="str">
        <f t="shared" si="83"/>
        <v>G61800</v>
      </c>
      <c r="AU816" s="488" t="str">
        <f t="shared" si="84"/>
        <v>COUTANT AUTRE CHEVROLET</v>
      </c>
      <c r="AV816" s="899">
        <f>IFERROR(INDEX(V816:AG816,1,MATCH(Parametres!$B$3,V$1:AG$1,0)-1)*IF(OR(C816="L",C816="S",C816="I"),-1,1),"")</f>
        <v>0</v>
      </c>
      <c r="AW816" s="899">
        <f t="shared" si="85"/>
        <v>0</v>
      </c>
      <c r="AX816" s="899">
        <f>INDEX(V816:AG816,1,MATCH(Parametres!$B$3,V$1:AG$1,0))*IF(OR(C816="L",C816="S",C816="I"),-1,1)</f>
        <v>0</v>
      </c>
      <c r="AY816" s="487" t="s">
        <v>337</v>
      </c>
      <c r="AZ816" s="487" t="e">
        <f>+VLOOKUP($AJ816,Data_Validation!$A:$E,5,0)</f>
        <v>#N/A</v>
      </c>
    </row>
    <row r="817" spans="1:52" ht="15" customHeight="1">
      <c r="A817" s="706" t="s">
        <v>1148</v>
      </c>
      <c r="B817" s="706">
        <v>2026</v>
      </c>
      <c r="C817" s="706" t="s">
        <v>2681</v>
      </c>
      <c r="D817" s="706" t="s">
        <v>2682</v>
      </c>
      <c r="E817" s="706" t="s">
        <v>1143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G62000</v>
      </c>
      <c r="AK817" s="905" t="str">
        <f t="shared" si="81"/>
        <v>COUT-PARC VOITURES</v>
      </c>
      <c r="AL817" s="905">
        <f>IFERROR(INDEX(G817:R817,1,MATCH(Parametres!$B$3,G$1:R$1,0)-1)*IF(OR(F817="L",F817="S",F817="I"),-1,1),"")</f>
        <v>0</v>
      </c>
      <c r="AM817" s="905">
        <f t="shared" si="82"/>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t="str">
        <f t="shared" si="83"/>
        <v>G62000</v>
      </c>
      <c r="AU817" s="488" t="str">
        <f t="shared" si="84"/>
        <v>COUT-PARC VOITURES</v>
      </c>
      <c r="AV817" s="899">
        <f>IFERROR(INDEX(V817:AG817,1,MATCH(Parametres!$B$3,V$1:AG$1,0)-1)*IF(OR(C817="L",C817="S",C817="I"),-1,1),"")</f>
        <v>0</v>
      </c>
      <c r="AW817" s="899">
        <f t="shared" si="85"/>
        <v>0</v>
      </c>
      <c r="AX817" s="899">
        <f>INDEX(V817:AG817,1,MATCH(Parametres!$B$3,V$1:AG$1,0))*IF(OR(C817="L",C817="S",C817="I"),-1,1)</f>
        <v>0</v>
      </c>
      <c r="AY817" s="487" t="s">
        <v>337</v>
      </c>
      <c r="AZ817" s="487" t="e">
        <f>+VLOOKUP($AJ817,Data_Validation!$A:$E,5,0)</f>
        <v>#N/A</v>
      </c>
    </row>
    <row r="818" spans="1:52" ht="15" customHeight="1">
      <c r="A818" s="706" t="s">
        <v>1148</v>
      </c>
      <c r="B818" s="706">
        <v>2026</v>
      </c>
      <c r="C818" s="706" t="s">
        <v>2683</v>
      </c>
      <c r="D818" s="706" t="s">
        <v>2684</v>
      </c>
      <c r="E818" s="706" t="s">
        <v>1143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G62100</v>
      </c>
      <c r="AK818" s="905" t="str">
        <f t="shared" si="81"/>
        <v>COUT-VOITURES INTERNE</v>
      </c>
      <c r="AL818" s="905">
        <f>IFERROR(INDEX(G818:R818,1,MATCH(Parametres!$B$3,G$1:R$1,0)-1)*IF(OR(F818="L",F818="S",F818="I"),-1,1),"")</f>
        <v>0</v>
      </c>
      <c r="AM818" s="905">
        <f t="shared" si="82"/>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3"/>
        <v>G62100</v>
      </c>
      <c r="AU818" s="488" t="str">
        <f t="shared" si="84"/>
        <v>COUT-VOITURES INTERNE</v>
      </c>
      <c r="AV818" s="899">
        <f>IFERROR(INDEX(V818:AG818,1,MATCH(Parametres!$B$3,V$1:AG$1,0)-1)*IF(OR(C818="L",C818="S",C818="I"),-1,1),"")</f>
        <v>0</v>
      </c>
      <c r="AW818" s="899">
        <f t="shared" si="85"/>
        <v>0</v>
      </c>
      <c r="AX818" s="899">
        <f>INDEX(V818:AG818,1,MATCH(Parametres!$B$3,V$1:AG$1,0))*IF(OR(C818="L",C818="S",C818="I"),-1,1)</f>
        <v>0</v>
      </c>
      <c r="AY818" s="487" t="s">
        <v>337</v>
      </c>
      <c r="AZ818" s="487" t="e">
        <f>+VLOOKUP($AJ818,Data_Validation!$A:$E,5,0)</f>
        <v>#N/A</v>
      </c>
    </row>
    <row r="819" spans="1:52" ht="15" customHeight="1">
      <c r="A819" s="706" t="s">
        <v>1148</v>
      </c>
      <c r="B819" s="706">
        <v>2026</v>
      </c>
      <c r="C819" s="706" t="s">
        <v>2685</v>
      </c>
      <c r="D819" s="706" t="s">
        <v>2686</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G62300</v>
      </c>
      <c r="AK819" s="905" t="str">
        <f t="shared" si="81"/>
        <v>COUT-VENTURE-UPLANDER</v>
      </c>
      <c r="AL819" s="905">
        <f>IFERROR(INDEX(G819:R819,1,MATCH(Parametres!$B$3,G$1:R$1,0)-1)*IF(OR(F819="L",F819="S",F819="I"),-1,1),"")</f>
        <v>0</v>
      </c>
      <c r="AM819" s="905">
        <f t="shared" si="82"/>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t="str">
        <f t="shared" si="83"/>
        <v>G62300</v>
      </c>
      <c r="AU819" s="488" t="str">
        <f t="shared" si="84"/>
        <v>COUT-VENTURE-UPLANDER</v>
      </c>
      <c r="AV819" s="899">
        <f>IFERROR(INDEX(V819:AG819,1,MATCH(Parametres!$B$3,V$1:AG$1,0)-1)*IF(OR(C819="L",C819="S",C819="I"),-1,1),"")</f>
        <v>0</v>
      </c>
      <c r="AW819" s="899">
        <f t="shared" si="85"/>
        <v>0</v>
      </c>
      <c r="AX819" s="899">
        <f>INDEX(V819:AG819,1,MATCH(Parametres!$B$3,V$1:AG$1,0))*IF(OR(C819="L",C819="S",C819="I"),-1,1)</f>
        <v>0</v>
      </c>
      <c r="AY819" s="487" t="s">
        <v>337</v>
      </c>
      <c r="AZ819" s="487" t="e">
        <f>+VLOOKUP($AJ819,Data_Validation!$A:$E,5,0)</f>
        <v>#N/A</v>
      </c>
    </row>
    <row r="820" spans="1:52" ht="15" customHeight="1">
      <c r="A820" s="706" t="s">
        <v>1148</v>
      </c>
      <c r="B820" s="706">
        <v>2026</v>
      </c>
      <c r="C820" s="706" t="s">
        <v>2687</v>
      </c>
      <c r="D820" s="706" t="s">
        <v>2688</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G62312</v>
      </c>
      <c r="AK820" s="905" t="str">
        <f t="shared" si="81"/>
        <v>COUT-KODIAK/TOPKICK 4/5</v>
      </c>
      <c r="AL820" s="905">
        <f>IFERROR(INDEX(G820:R820,1,MATCH(Parametres!$B$3,G$1:R$1,0)-1)*IF(OR(F820="L",F820="S",F820="I"),-1,1),"")</f>
        <v>0</v>
      </c>
      <c r="AM820" s="1047">
        <f t="shared" si="82"/>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t="str">
        <f t="shared" si="83"/>
        <v>G62312</v>
      </c>
      <c r="AU820" s="488" t="str">
        <f t="shared" si="84"/>
        <v>COUT-KODIAK/TOPKICK 4/5</v>
      </c>
      <c r="AV820" s="899">
        <f>IFERROR(INDEX(V820:AG820,1,MATCH(Parametres!$B$3,V$1:AG$1,0)-1)*IF(OR(C820="L",C820="S",C820="I"),-1,1),"")</f>
        <v>0</v>
      </c>
      <c r="AW820" s="899">
        <f t="shared" si="85"/>
        <v>0</v>
      </c>
      <c r="AX820" s="899">
        <f>INDEX(V820:AG820,1,MATCH(Parametres!$B$3,V$1:AG$1,0))*IF(OR(C820="L",C820="S",C820="I"),-1,1)</f>
        <v>0</v>
      </c>
      <c r="AY820" s="487" t="s">
        <v>337</v>
      </c>
      <c r="AZ820" s="487" t="e">
        <f>+VLOOKUP($AJ820,Data_Validation!$A:$E,5,0)</f>
        <v>#N/A</v>
      </c>
    </row>
    <row r="821" spans="1:52" ht="15" customHeight="1">
      <c r="A821" s="706" t="s">
        <v>1148</v>
      </c>
      <c r="B821" s="706">
        <v>2026</v>
      </c>
      <c r="C821" s="706" t="s">
        <v>2689</v>
      </c>
      <c r="D821" s="706" t="s">
        <v>2690</v>
      </c>
      <c r="E821" s="706" t="s">
        <v>1143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G62320</v>
      </c>
      <c r="AK821" s="905" t="str">
        <f t="shared" si="81"/>
        <v>COUT-VENTURE-UPLAN   -LOC</v>
      </c>
      <c r="AL821" s="905">
        <f>IFERROR(INDEX(G821:R821,1,MATCH(Parametres!$B$3,G$1:R$1,0)-1)*IF(OR(F821="L",F821="S",F821="I"),-1,1),"")</f>
        <v>0</v>
      </c>
      <c r="AM821" s="905">
        <f t="shared" si="82"/>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t="str">
        <f t="shared" si="83"/>
        <v>G62320</v>
      </c>
      <c r="AU821" s="488" t="str">
        <f t="shared" si="84"/>
        <v>COUT-VENTURE-UPLAN   -LOC</v>
      </c>
      <c r="AV821" s="899">
        <f>IFERROR(INDEX(V821:AG821,1,MATCH(Parametres!$B$3,V$1:AG$1,0)-1)*IF(OR(C821="L",C821="S",C821="I"),-1,1),"")</f>
        <v>0</v>
      </c>
      <c r="AW821" s="899">
        <f t="shared" si="85"/>
        <v>0</v>
      </c>
      <c r="AX821" s="899">
        <f>INDEX(V821:AG821,1,MATCH(Parametres!$B$3,V$1:AG$1,0))*IF(OR(C821="L",C821="S",C821="I"),-1,1)</f>
        <v>0</v>
      </c>
      <c r="AY821" s="487" t="s">
        <v>337</v>
      </c>
      <c r="AZ821" s="487" t="e">
        <f>+VLOOKUP($AJ821,Data_Validation!$A:$E,5,0)</f>
        <v>#N/A</v>
      </c>
    </row>
    <row r="822" spans="1:52" ht="15" customHeight="1">
      <c r="A822" s="706" t="s">
        <v>1148</v>
      </c>
      <c r="B822" s="706">
        <v>2026</v>
      </c>
      <c r="C822" s="706" t="s">
        <v>2691</v>
      </c>
      <c r="D822" s="706" t="s">
        <v>2692</v>
      </c>
      <c r="E822" s="706" t="s">
        <v>1143</v>
      </c>
      <c r="F822" s="706" t="s">
        <v>1152</v>
      </c>
      <c r="G822" s="706">
        <v>91372.42</v>
      </c>
      <c r="H822" s="706">
        <v>91372.42</v>
      </c>
      <c r="I822" s="706">
        <v>91372.42</v>
      </c>
      <c r="J822" s="706">
        <v>232512.62</v>
      </c>
      <c r="K822" s="706">
        <v>319528.5</v>
      </c>
      <c r="L822" s="706">
        <v>319528.5</v>
      </c>
      <c r="M822" s="706">
        <v>362205.82</v>
      </c>
      <c r="N822" s="706">
        <v>0</v>
      </c>
      <c r="O822" s="706">
        <v>0</v>
      </c>
      <c r="P822" s="706">
        <v>0</v>
      </c>
      <c r="Q822" s="706">
        <v>0</v>
      </c>
      <c r="R822" s="706">
        <v>0</v>
      </c>
      <c r="S822" s="706">
        <v>53254.75</v>
      </c>
      <c r="T822" s="706">
        <v>53254.75</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G62400</v>
      </c>
      <c r="AK822" s="905" t="str">
        <f t="shared" si="81"/>
        <v>COUT-TERRAIN</v>
      </c>
      <c r="AL822" s="905">
        <f>IFERROR(INDEX(G822:R822,1,MATCH(Parametres!$B$3,G$1:R$1,0)-1)*IF(OR(F822="L",F822="S",F822="I"),-1,1),"")</f>
        <v>319528.5</v>
      </c>
      <c r="AM822" s="905">
        <f t="shared" si="82"/>
        <v>0</v>
      </c>
      <c r="AN822" s="905">
        <f>INDEX(G822:R822,1,MATCH(Parametres!$B$3,G$1:R$1,0))*IF(OR(F822="L",F822="S",F822="I"),-1,1)</f>
        <v>319528.5</v>
      </c>
      <c r="AO822" s="487" t="str">
        <f>+VLOOKUP($AJ822,Data_Validation!$A:$D,1,0)</f>
        <v>G62400</v>
      </c>
      <c r="AP822" s="487" t="str">
        <f>+VLOOKUP($AJ822,Data_Validation!$A:$D,3,0)</f>
        <v>Véhicules neufs</v>
      </c>
      <c r="AQ822" s="487" t="str">
        <f>+VLOOKUP($AJ822,Data_Validation!$A:$D,4,0)</f>
        <v>Camions détail</v>
      </c>
      <c r="AR822" s="487" t="s">
        <v>299</v>
      </c>
      <c r="AS822" s="487">
        <f>+VLOOKUP($AJ822,Data_Validation!$A:$E,5,0)</f>
        <v>0</v>
      </c>
      <c r="AT822" s="904" t="str">
        <f t="shared" si="83"/>
        <v>G62400</v>
      </c>
      <c r="AU822" s="488" t="str">
        <f t="shared" si="84"/>
        <v>COUT-TERRAIN</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2693</v>
      </c>
      <c r="D823" s="706" t="s">
        <v>2694</v>
      </c>
      <c r="E823" s="706" t="s">
        <v>1143</v>
      </c>
      <c r="F823" s="706" t="s">
        <v>1152</v>
      </c>
      <c r="G823" s="706">
        <v>0</v>
      </c>
      <c r="H823" s="706">
        <v>0</v>
      </c>
      <c r="I823" s="706">
        <v>0</v>
      </c>
      <c r="J823" s="706">
        <v>0</v>
      </c>
      <c r="K823" s="706">
        <v>398090.8</v>
      </c>
      <c r="L823" s="706">
        <v>649623.39</v>
      </c>
      <c r="M823" s="706">
        <v>781792.69</v>
      </c>
      <c r="N823" s="706">
        <v>0</v>
      </c>
      <c r="O823" s="706">
        <v>0</v>
      </c>
      <c r="P823" s="706">
        <v>0</v>
      </c>
      <c r="Q823" s="706">
        <v>0</v>
      </c>
      <c r="R823" s="706">
        <v>0</v>
      </c>
      <c r="S823" s="706">
        <v>108270.57</v>
      </c>
      <c r="T823" s="706">
        <v>108270.57</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G62401</v>
      </c>
      <c r="AK823" s="905" t="str">
        <f t="shared" si="81"/>
        <v>COUT BOLT EUV</v>
      </c>
      <c r="AL823" s="905">
        <f>IFERROR(INDEX(G823:R823,1,MATCH(Parametres!$B$3,G$1:R$1,0)-1)*IF(OR(F823="L",F823="S",F823="I"),-1,1),"")</f>
        <v>398090.8</v>
      </c>
      <c r="AM823" s="1047">
        <f t="shared" si="82"/>
        <v>251532.59000000003</v>
      </c>
      <c r="AN823" s="905">
        <f>INDEX(G823:R823,1,MATCH(Parametres!$B$3,G$1:R$1,0))*IF(OR(F823="L",F823="S",F823="I"),-1,1)</f>
        <v>649623.39</v>
      </c>
      <c r="AO823" s="487" t="str">
        <f>+VLOOKUP($AJ823,Data_Validation!$A:$D,1,0)</f>
        <v>G62401</v>
      </c>
      <c r="AP823" s="487" t="str">
        <f>+VLOOKUP($AJ823,Data_Validation!$A:$D,3,0)</f>
        <v>Véhicules neufs</v>
      </c>
      <c r="AQ823" s="487" t="str">
        <f>+VLOOKUP($AJ823,Data_Validation!$A:$D,4,0)</f>
        <v>Camions electriques</v>
      </c>
      <c r="AR823" s="487" t="s">
        <v>299</v>
      </c>
      <c r="AS823" s="487">
        <f>+VLOOKUP($AJ823,Data_Validation!$A:$E,5,0)</f>
        <v>0</v>
      </c>
      <c r="AT823" s="904" t="str">
        <f t="shared" si="83"/>
        <v>G62401</v>
      </c>
      <c r="AU823" s="488" t="str">
        <f t="shared" si="84"/>
        <v>COUT BOLT EUV</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customHeight="1">
      <c r="A824" s="706" t="s">
        <v>1148</v>
      </c>
      <c r="B824" s="706">
        <v>2026</v>
      </c>
      <c r="C824" s="706" t="s">
        <v>2695</v>
      </c>
      <c r="D824" s="706" t="s">
        <v>2696</v>
      </c>
      <c r="E824" s="706" t="s">
        <v>1143</v>
      </c>
      <c r="F824" s="706" t="s">
        <v>1152</v>
      </c>
      <c r="G824" s="706">
        <v>0</v>
      </c>
      <c r="H824" s="706">
        <v>0</v>
      </c>
      <c r="I824" s="706">
        <v>0</v>
      </c>
      <c r="J824" s="706">
        <v>0</v>
      </c>
      <c r="K824" s="706">
        <v>0</v>
      </c>
      <c r="L824" s="706">
        <v>0</v>
      </c>
      <c r="M824" s="706">
        <v>0</v>
      </c>
      <c r="N824" s="706">
        <v>0</v>
      </c>
      <c r="O824" s="706">
        <v>0</v>
      </c>
      <c r="P824" s="706">
        <v>0</v>
      </c>
      <c r="Q824" s="706">
        <v>0</v>
      </c>
      <c r="R824" s="706">
        <v>0</v>
      </c>
      <c r="S824" s="706">
        <v>0</v>
      </c>
      <c r="T824" s="706">
        <v>0</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G62412</v>
      </c>
      <c r="AK824" s="905" t="str">
        <f t="shared" si="81"/>
        <v>COUT-TOPKICK 6/7/8 C</v>
      </c>
      <c r="AL824" s="905">
        <f>IFERROR(INDEX(G824:R824,1,MATCH(Parametres!$B$3,G$1:R$1,0)-1)*IF(OR(F824="L",F824="S",F824="I"),-1,1),"")</f>
        <v>0</v>
      </c>
      <c r="AM824" s="905">
        <f t="shared" si="82"/>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t="str">
        <f t="shared" si="83"/>
        <v>G62412</v>
      </c>
      <c r="AU824" s="488" t="str">
        <f t="shared" si="84"/>
        <v>COUT-TOPKICK 6/7/8 C</v>
      </c>
      <c r="AV824" s="899">
        <f>IFERROR(INDEX(V824:AG824,1,MATCH(Parametres!$B$3,V$1:AG$1,0)-1)*IF(OR(C824="L",C824="S",C824="I"),-1,1),"")</f>
        <v>0</v>
      </c>
      <c r="AW824" s="899">
        <f t="shared" si="85"/>
        <v>0</v>
      </c>
      <c r="AX824" s="899">
        <f>INDEX(V824:AG824,1,MATCH(Parametres!$B$3,V$1:AG$1,0))*IF(OR(C824="L",C824="S",C824="I"),-1,1)</f>
        <v>0</v>
      </c>
      <c r="AY824" s="487" t="s">
        <v>337</v>
      </c>
      <c r="AZ824" s="487" t="e">
        <f>+VLOOKUP($AJ824,Data_Validation!$A:$E,5,0)</f>
        <v>#N/A</v>
      </c>
    </row>
    <row r="825" spans="1:52" ht="15" customHeight="1">
      <c r="A825" s="706" t="s">
        <v>1148</v>
      </c>
      <c r="B825" s="706">
        <v>2026</v>
      </c>
      <c r="C825" s="706" t="s">
        <v>2697</v>
      </c>
      <c r="D825" s="706" t="s">
        <v>2698</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G62500</v>
      </c>
      <c r="AK825" s="905" t="str">
        <f t="shared" si="81"/>
        <v>COUT-G EXPRESS</v>
      </c>
      <c r="AL825" s="905">
        <f>IFERROR(INDEX(G825:R825,1,MATCH(Parametres!$B$3,G$1:R$1,0)-1)*IF(OR(F825="L",F825="S",F825="I"),-1,1),"")</f>
        <v>0</v>
      </c>
      <c r="AM825" s="905">
        <f t="shared" si="82"/>
        <v>0</v>
      </c>
      <c r="AN825" s="905">
        <f>INDEX(G825:R825,1,MATCH(Parametres!$B$3,G$1:R$1,0))*IF(OR(F825="L",F825="S",F825="I"),-1,1)</f>
        <v>0</v>
      </c>
      <c r="AO825" s="487" t="str">
        <f>+VLOOKUP($AJ825,Data_Validation!$A:$D,1,0)</f>
        <v>G62500</v>
      </c>
      <c r="AP825" s="487" t="str">
        <f>+VLOOKUP($AJ825,Data_Validation!$A:$D,3,0)</f>
        <v>Véhicules neufs</v>
      </c>
      <c r="AQ825" s="487" t="str">
        <f>+VLOOKUP($AJ825,Data_Validation!$A:$D,4,0)</f>
        <v>Camions détail</v>
      </c>
      <c r="AR825" s="487" t="s">
        <v>299</v>
      </c>
      <c r="AS825" s="487">
        <f>+VLOOKUP($AJ825,Data_Validation!$A:$E,5,0)</f>
        <v>0</v>
      </c>
      <c r="AT825" s="904" t="str">
        <f t="shared" si="83"/>
        <v>G62500</v>
      </c>
      <c r="AU825" s="488" t="str">
        <f t="shared" si="84"/>
        <v>COUT-G EXPRESS</v>
      </c>
      <c r="AV825" s="899">
        <f>IFERROR(INDEX(V825:AG825,1,MATCH(Parametres!$B$3,V$1:AG$1,0)-1)*IF(OR(C825="L",C825="S",C825="I"),-1,1),"")</f>
        <v>0</v>
      </c>
      <c r="AW825" s="899">
        <f t="shared" si="85"/>
        <v>0</v>
      </c>
      <c r="AX825" s="899">
        <f>INDEX(V825:AG825,1,MATCH(Parametres!$B$3,V$1:AG$1,0))*IF(OR(C825="L",C825="S",C825="I"),-1,1)</f>
        <v>0</v>
      </c>
      <c r="AY825" s="487" t="s">
        <v>337</v>
      </c>
      <c r="AZ825" s="487">
        <f>+VLOOKUP($AJ825,Data_Validation!$A:$E,5,0)</f>
        <v>0</v>
      </c>
    </row>
    <row r="826" spans="1:52" ht="15" customHeight="1">
      <c r="A826" s="706" t="s">
        <v>1148</v>
      </c>
      <c r="B826" s="706">
        <v>2026</v>
      </c>
      <c r="C826" s="706" t="s">
        <v>2699</v>
      </c>
      <c r="D826" s="706" t="s">
        <v>2700</v>
      </c>
      <c r="E826" s="706" t="s">
        <v>1143</v>
      </c>
      <c r="F826" s="706" t="s">
        <v>1152</v>
      </c>
      <c r="G826" s="706">
        <v>0</v>
      </c>
      <c r="H826" s="706">
        <v>0</v>
      </c>
      <c r="I826" s="706">
        <v>0</v>
      </c>
      <c r="J826" s="706">
        <v>0</v>
      </c>
      <c r="K826" s="706">
        <v>49868.69</v>
      </c>
      <c r="L826" s="706">
        <v>51068.69</v>
      </c>
      <c r="M826" s="706">
        <v>51068.69</v>
      </c>
      <c r="N826" s="706">
        <v>0</v>
      </c>
      <c r="O826" s="706">
        <v>0</v>
      </c>
      <c r="P826" s="706">
        <v>0</v>
      </c>
      <c r="Q826" s="706">
        <v>0</v>
      </c>
      <c r="R826" s="706">
        <v>0</v>
      </c>
      <c r="S826" s="706">
        <v>8511.4500000000007</v>
      </c>
      <c r="T826" s="706">
        <v>8511.4500000000007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G62502</v>
      </c>
      <c r="AK826" s="905" t="str">
        <f t="shared" si="81"/>
        <v>COUTANT SAVANA</v>
      </c>
      <c r="AL826" s="905">
        <f>IFERROR(INDEX(G826:R826,1,MATCH(Parametres!$B$3,G$1:R$1,0)-1)*IF(OR(F826="L",F826="S",F826="I"),-1,1),"")</f>
        <v>49868.69</v>
      </c>
      <c r="AM826" s="1047">
        <f t="shared" si="82"/>
        <v>1200</v>
      </c>
      <c r="AN826" s="905">
        <f>INDEX(G826:R826,1,MATCH(Parametres!$B$3,G$1:R$1,0))*IF(OR(F826="L",F826="S",F826="I"),-1,1)</f>
        <v>51068.69</v>
      </c>
      <c r="AO826" s="487" t="str">
        <f>+VLOOKUP($AJ826,Data_Validation!$A:$D,1,0)</f>
        <v>G62502</v>
      </c>
      <c r="AP826" s="487" t="str">
        <f>+VLOOKUP($AJ826,Data_Validation!$A:$D,3,0)</f>
        <v>Véhicules neufs</v>
      </c>
      <c r="AQ826" s="487" t="str">
        <f>+VLOOKUP($AJ826,Data_Validation!$A:$D,4,0)</f>
        <v>Camions electriques</v>
      </c>
      <c r="AR826" s="487" t="s">
        <v>299</v>
      </c>
      <c r="AS826" s="487">
        <f>+VLOOKUP($AJ826,Data_Validation!$A:$E,5,0)</f>
        <v>0</v>
      </c>
      <c r="AT826" s="904" t="str">
        <f t="shared" si="83"/>
        <v>G62502</v>
      </c>
      <c r="AU826" s="488" t="str">
        <f t="shared" si="84"/>
        <v>COUTANT SAVANA</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2701</v>
      </c>
      <c r="D827" s="706" t="s">
        <v>2702</v>
      </c>
      <c r="E827" s="706" t="s">
        <v>1143</v>
      </c>
      <c r="F827" s="706" t="s">
        <v>1152</v>
      </c>
      <c r="G827" s="706">
        <v>0</v>
      </c>
      <c r="H827" s="706">
        <v>0</v>
      </c>
      <c r="I827" s="706">
        <v>0</v>
      </c>
      <c r="J827" s="706">
        <v>0</v>
      </c>
      <c r="K827" s="706">
        <v>0</v>
      </c>
      <c r="L827" s="706">
        <v>0</v>
      </c>
      <c r="M827" s="706">
        <v>0</v>
      </c>
      <c r="N827" s="706">
        <v>0</v>
      </c>
      <c r="O827" s="706">
        <v>0</v>
      </c>
      <c r="P827" s="706">
        <v>0</v>
      </c>
      <c r="Q827" s="706">
        <v>0</v>
      </c>
      <c r="R827" s="706">
        <v>0</v>
      </c>
      <c r="S827" s="706">
        <v>0</v>
      </c>
      <c r="T827" s="706">
        <v>0</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G62512</v>
      </c>
      <c r="AK827" s="905" t="str">
        <f t="shared" si="81"/>
        <v>COUT-TOPKICK 6/7/8</v>
      </c>
      <c r="AL827" s="905">
        <f>IFERROR(INDEX(G827:R827,1,MATCH(Parametres!$B$3,G$1:R$1,0)-1)*IF(OR(F827="L",F827="S",F827="I"),-1,1),"")</f>
        <v>0</v>
      </c>
      <c r="AM827" s="905">
        <f t="shared" si="82"/>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t="str">
        <f t="shared" si="83"/>
        <v>G62512</v>
      </c>
      <c r="AU827" s="488" t="str">
        <f t="shared" si="84"/>
        <v>COUT-TOPKICK 6/7/8</v>
      </c>
      <c r="AV827" s="899">
        <f>IFERROR(INDEX(V827:AG827,1,MATCH(Parametres!$B$3,V$1:AG$1,0)-1)*IF(OR(C827="L",C827="S",C827="I"),-1,1),"")</f>
        <v>0</v>
      </c>
      <c r="AW827" s="899">
        <f t="shared" si="85"/>
        <v>0</v>
      </c>
      <c r="AX827" s="899">
        <f>INDEX(V827:AG827,1,MATCH(Parametres!$B$3,V$1:AG$1,0))*IF(OR(C827="L",C827="S",C827="I"),-1,1)</f>
        <v>0</v>
      </c>
      <c r="AY827" s="487" t="s">
        <v>337</v>
      </c>
      <c r="AZ827" s="487" t="e">
        <f>+VLOOKUP($AJ827,Data_Validation!$A:$E,5,0)</f>
        <v>#N/A</v>
      </c>
    </row>
    <row r="828" spans="1:52" ht="15" customHeight="1">
      <c r="A828" s="706" t="s">
        <v>1148</v>
      </c>
      <c r="B828" s="706">
        <v>2026</v>
      </c>
      <c r="C828" s="706" t="s">
        <v>2703</v>
      </c>
      <c r="D828" s="706" t="s">
        <v>2704</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G62520</v>
      </c>
      <c r="AK828" s="905" t="str">
        <f t="shared" si="81"/>
        <v>COUT-G EXPRESS       -LOC</v>
      </c>
      <c r="AL828" s="905">
        <f>IFERROR(INDEX(G828:R828,1,MATCH(Parametres!$B$3,G$1:R$1,0)-1)*IF(OR(F828="L",F828="S",F828="I"),-1,1),"")</f>
        <v>0</v>
      </c>
      <c r="AM828" s="905">
        <f t="shared" si="82"/>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t="str">
        <f t="shared" si="83"/>
        <v>G62520</v>
      </c>
      <c r="AU828" s="488" t="str">
        <f t="shared" si="84"/>
        <v>COUT-G EXPRESS       -LOC</v>
      </c>
      <c r="AV828" s="899">
        <f>IFERROR(INDEX(V828:AG828,1,MATCH(Parametres!$B$3,V$1:AG$1,0)-1)*IF(OR(C828="L",C828="S",C828="I"),-1,1),"")</f>
        <v>0</v>
      </c>
      <c r="AW828" s="899">
        <f t="shared" si="85"/>
        <v>0</v>
      </c>
      <c r="AX828" s="899">
        <f>INDEX(V828:AG828,1,MATCH(Parametres!$B$3,V$1:AG$1,0))*IF(OR(C828="L",C828="S",C828="I"),-1,1)</f>
        <v>0</v>
      </c>
      <c r="AY828" s="487" t="s">
        <v>337</v>
      </c>
      <c r="AZ828" s="487" t="e">
        <f>+VLOOKUP($AJ828,Data_Validation!$A:$E,5,0)</f>
        <v>#N/A</v>
      </c>
    </row>
    <row r="829" spans="1:52" ht="15" customHeight="1">
      <c r="A829" s="706" t="s">
        <v>1148</v>
      </c>
      <c r="B829" s="706">
        <v>2026</v>
      </c>
      <c r="C829" s="706" t="s">
        <v>2705</v>
      </c>
      <c r="D829" s="706" t="s">
        <v>2706</v>
      </c>
      <c r="E829" s="706" t="s">
        <v>1143</v>
      </c>
      <c r="F829" s="706" t="s">
        <v>1152</v>
      </c>
      <c r="G829" s="706">
        <v>0</v>
      </c>
      <c r="H829" s="706">
        <v>126205.83</v>
      </c>
      <c r="I829" s="706">
        <v>126205.83</v>
      </c>
      <c r="J829" s="706">
        <v>180912.33</v>
      </c>
      <c r="K829" s="706">
        <v>234601.33</v>
      </c>
      <c r="L829" s="706">
        <v>290126.33</v>
      </c>
      <c r="M829" s="706">
        <v>290126.33</v>
      </c>
      <c r="N829" s="706">
        <v>0</v>
      </c>
      <c r="O829" s="706">
        <v>0</v>
      </c>
      <c r="P829" s="706">
        <v>0</v>
      </c>
      <c r="Q829" s="706">
        <v>0</v>
      </c>
      <c r="R829" s="706">
        <v>0</v>
      </c>
      <c r="S829" s="706">
        <v>48354.39</v>
      </c>
      <c r="T829" s="706">
        <v>48354.39</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G62600</v>
      </c>
      <c r="AK829" s="905" t="str">
        <f t="shared" si="81"/>
        <v>COUT-SPICKUP/COLORADO</v>
      </c>
      <c r="AL829" s="905">
        <f>IFERROR(INDEX(G829:R829,1,MATCH(Parametres!$B$3,G$1:R$1,0)-1)*IF(OR(F829="L",F829="S",F829="I"),-1,1),"")</f>
        <v>234601.33</v>
      </c>
      <c r="AM829" s="1047">
        <f t="shared" si="82"/>
        <v>55525.000000000029</v>
      </c>
      <c r="AN829" s="905">
        <f>INDEX(G829:R829,1,MATCH(Parametres!$B$3,G$1:R$1,0))*IF(OR(F829="L",F829="S",F829="I"),-1,1)</f>
        <v>290126.33</v>
      </c>
      <c r="AO829" s="487" t="str">
        <f>+VLOOKUP($AJ829,Data_Validation!$A:$D,1,0)</f>
        <v>G62600</v>
      </c>
      <c r="AP829" s="487" t="str">
        <f>+VLOOKUP($AJ829,Data_Validation!$A:$D,3,0)</f>
        <v>Véhicules neufs</v>
      </c>
      <c r="AQ829" s="487" t="str">
        <f>+VLOOKUP($AJ829,Data_Validation!$A:$D,4,0)</f>
        <v>Camions détail</v>
      </c>
      <c r="AR829" s="487" t="s">
        <v>299</v>
      </c>
      <c r="AS829" s="487">
        <f>+VLOOKUP($AJ829,Data_Validation!$A:$E,5,0)</f>
        <v>0</v>
      </c>
      <c r="AT829" s="904" t="str">
        <f t="shared" si="83"/>
        <v>G62600</v>
      </c>
      <c r="AU829" s="488" t="str">
        <f t="shared" si="84"/>
        <v>COUT-SPICKUP/COLORADO</v>
      </c>
      <c r="AV829" s="899">
        <f>IFERROR(INDEX(V829:AG829,1,MATCH(Parametres!$B$3,V$1:AG$1,0)-1)*IF(OR(C829="L",C829="S",C829="I"),-1,1),"")</f>
        <v>0</v>
      </c>
      <c r="AW829" s="899">
        <f t="shared" si="85"/>
        <v>0</v>
      </c>
      <c r="AX829" s="899">
        <f>INDEX(V829:AG829,1,MATCH(Parametres!$B$3,V$1:AG$1,0))*IF(OR(C829="L",C829="S",C829="I"),-1,1)</f>
        <v>0</v>
      </c>
      <c r="AY829" s="487" t="s">
        <v>337</v>
      </c>
      <c r="AZ829" s="487">
        <f>+VLOOKUP($AJ829,Data_Validation!$A:$E,5,0)</f>
        <v>0</v>
      </c>
    </row>
    <row r="830" spans="1:52" ht="15" customHeight="1">
      <c r="A830" s="706" t="s">
        <v>1148</v>
      </c>
      <c r="B830" s="706">
        <v>2026</v>
      </c>
      <c r="C830" s="706" t="s">
        <v>2707</v>
      </c>
      <c r="D830" s="706" t="s">
        <v>2636</v>
      </c>
      <c r="E830" s="706" t="s">
        <v>1143</v>
      </c>
      <c r="F830" s="706" t="s">
        <v>1152</v>
      </c>
      <c r="G830" s="706">
        <v>64838.75</v>
      </c>
      <c r="H830" s="706">
        <v>64838.75</v>
      </c>
      <c r="I830" s="706">
        <v>64838.75</v>
      </c>
      <c r="J830" s="706">
        <v>64551.31</v>
      </c>
      <c r="K830" s="706">
        <v>64551.31</v>
      </c>
      <c r="L830" s="706">
        <v>64551.31</v>
      </c>
      <c r="M830" s="706">
        <v>127652.77</v>
      </c>
      <c r="N830" s="706">
        <v>0</v>
      </c>
      <c r="O830" s="706">
        <v>0</v>
      </c>
      <c r="P830" s="706">
        <v>0</v>
      </c>
      <c r="Q830" s="706">
        <v>0</v>
      </c>
      <c r="R830" s="706">
        <v>0</v>
      </c>
      <c r="S830" s="706">
        <v>10758.55</v>
      </c>
      <c r="T830" s="706">
        <v>10758.55</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G62602</v>
      </c>
      <c r="AK830" s="905" t="str">
        <f t="shared" si="81"/>
        <v>COUT - GMC CANYON</v>
      </c>
      <c r="AL830" s="905">
        <f>IFERROR(INDEX(G830:R830,1,MATCH(Parametres!$B$3,G$1:R$1,0)-1)*IF(OR(F830="L",F830="S",F830="I"),-1,1),"")</f>
        <v>64551.31</v>
      </c>
      <c r="AM830" s="905">
        <f t="shared" si="82"/>
        <v>0</v>
      </c>
      <c r="AN830" s="905">
        <f>INDEX(G830:R830,1,MATCH(Parametres!$B$3,G$1:R$1,0))*IF(OR(F830="L",F830="S",F830="I"),-1,1)</f>
        <v>64551.31</v>
      </c>
      <c r="AO830" s="487" t="str">
        <f>+VLOOKUP($AJ830,Data_Validation!$A:$D,1,0)</f>
        <v>G62602</v>
      </c>
      <c r="AP830" s="487" t="str">
        <f>+VLOOKUP($AJ830,Data_Validation!$A:$D,3,0)</f>
        <v>Véhicules neufs</v>
      </c>
      <c r="AQ830" s="487" t="str">
        <f>+VLOOKUP($AJ830,Data_Validation!$A:$D,4,0)</f>
        <v>Camions détail</v>
      </c>
      <c r="AR830" s="487" t="s">
        <v>299</v>
      </c>
      <c r="AS830" s="487">
        <f>+VLOOKUP($AJ830,Data_Validation!$A:$E,5,0)</f>
        <v>0</v>
      </c>
      <c r="AT830" s="904" t="str">
        <f t="shared" si="83"/>
        <v>G62602</v>
      </c>
      <c r="AU830" s="488" t="str">
        <f t="shared" si="84"/>
        <v>COUT - GMC CANYON</v>
      </c>
      <c r="AV830" s="899">
        <f>IFERROR(INDEX(V830:AG830,1,MATCH(Parametres!$B$3,V$1:AG$1,0)-1)*IF(OR(C830="L",C830="S",C830="I"),-1,1),"")</f>
        <v>0</v>
      </c>
      <c r="AW830" s="899">
        <f t="shared" si="85"/>
        <v>0</v>
      </c>
      <c r="AX830" s="899">
        <f>INDEX(V830:AG830,1,MATCH(Parametres!$B$3,V$1:AG$1,0))*IF(OR(C830="L",C830="S",C830="I"),-1,1)</f>
        <v>0</v>
      </c>
      <c r="AY830" s="487" t="s">
        <v>337</v>
      </c>
      <c r="AZ830" s="487">
        <f>+VLOOKUP($AJ830,Data_Validation!$A:$E,5,0)</f>
        <v>0</v>
      </c>
    </row>
    <row r="831" spans="1:52" ht="15" customHeight="1">
      <c r="A831" s="706" t="s">
        <v>1148</v>
      </c>
      <c r="B831" s="706">
        <v>2026</v>
      </c>
      <c r="C831" s="706" t="s">
        <v>2708</v>
      </c>
      <c r="D831" s="706" t="s">
        <v>2709</v>
      </c>
      <c r="E831" s="706" t="s">
        <v>1143</v>
      </c>
      <c r="F831" s="706" t="s">
        <v>1152</v>
      </c>
      <c r="G831" s="706">
        <v>49221.14</v>
      </c>
      <c r="H831" s="706">
        <v>99180.14</v>
      </c>
      <c r="I831" s="706">
        <v>99432.5</v>
      </c>
      <c r="J831" s="706">
        <v>252596.73</v>
      </c>
      <c r="K831" s="706">
        <v>306500.73</v>
      </c>
      <c r="L831" s="706">
        <v>306500.73</v>
      </c>
      <c r="M831" s="706">
        <v>306500.73</v>
      </c>
      <c r="N831" s="706">
        <v>0</v>
      </c>
      <c r="O831" s="706">
        <v>0</v>
      </c>
      <c r="P831" s="706">
        <v>0</v>
      </c>
      <c r="Q831" s="706">
        <v>0</v>
      </c>
      <c r="R831" s="706">
        <v>0</v>
      </c>
      <c r="S831" s="706">
        <v>51083.46</v>
      </c>
      <c r="T831" s="706">
        <v>51083.46</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G62612</v>
      </c>
      <c r="AK831" s="905" t="str">
        <f t="shared" si="81"/>
        <v>COUT-BUICK ENVISION</v>
      </c>
      <c r="AL831" s="905">
        <f>IFERROR(INDEX(G831:R831,1,MATCH(Parametres!$B$3,G$1:R$1,0)-1)*IF(OR(F831="L",F831="S",F831="I"),-1,1),"")</f>
        <v>306500.73</v>
      </c>
      <c r="AM831" s="1047">
        <f t="shared" si="82"/>
        <v>0</v>
      </c>
      <c r="AN831" s="905">
        <f>INDEX(G831:R831,1,MATCH(Parametres!$B$3,G$1:R$1,0))*IF(OR(F831="L",F831="S",F831="I"),-1,1)</f>
        <v>306500.73</v>
      </c>
      <c r="AO831" s="487" t="str">
        <f>+VLOOKUP($AJ831,Data_Validation!$A:$D,1,0)</f>
        <v>G62612</v>
      </c>
      <c r="AP831" s="487" t="str">
        <f>+VLOOKUP($AJ831,Data_Validation!$A:$D,3,0)</f>
        <v>Véhicules neufs</v>
      </c>
      <c r="AQ831" s="487" t="str">
        <f>+VLOOKUP($AJ831,Data_Validation!$A:$D,4,0)</f>
        <v>Camions détail</v>
      </c>
      <c r="AR831" s="487" t="s">
        <v>299</v>
      </c>
      <c r="AS831" s="487">
        <f>+VLOOKUP($AJ831,Data_Validation!$A:$E,5,0)</f>
        <v>0</v>
      </c>
      <c r="AT831" s="904" t="str">
        <f t="shared" si="83"/>
        <v>G62612</v>
      </c>
      <c r="AU831" s="488" t="str">
        <f t="shared" si="84"/>
        <v>COUT-BUICK ENVISION</v>
      </c>
      <c r="AV831" s="899">
        <f>IFERROR(INDEX(V831:AG831,1,MATCH(Parametres!$B$3,V$1:AG$1,0)-1)*IF(OR(C831="L",C831="S",C831="I"),-1,1),"")</f>
        <v>0</v>
      </c>
      <c r="AW831" s="899">
        <f t="shared" si="85"/>
        <v>0</v>
      </c>
      <c r="AX831" s="899">
        <f>INDEX(V831:AG831,1,MATCH(Parametres!$B$3,V$1:AG$1,0))*IF(OR(C831="L",C831="S",C831="I"),-1,1)</f>
        <v>0</v>
      </c>
      <c r="AY831" s="487" t="s">
        <v>337</v>
      </c>
      <c r="AZ831" s="487">
        <f>+VLOOKUP($AJ831,Data_Validation!$A:$E,5,0)</f>
        <v>0</v>
      </c>
    </row>
    <row r="832" spans="1:52" ht="15" customHeight="1">
      <c r="A832" s="706" t="s">
        <v>1148</v>
      </c>
      <c r="B832" s="706">
        <v>2026</v>
      </c>
      <c r="C832" s="706" t="s">
        <v>2710</v>
      </c>
      <c r="D832" s="706" t="s">
        <v>2711</v>
      </c>
      <c r="E832" s="706" t="s">
        <v>1143</v>
      </c>
      <c r="F832" s="706" t="s">
        <v>1152</v>
      </c>
      <c r="G832" s="706">
        <v>0</v>
      </c>
      <c r="H832" s="706">
        <v>0</v>
      </c>
      <c r="I832" s="706">
        <v>68540.09</v>
      </c>
      <c r="J832" s="706">
        <v>201546.09</v>
      </c>
      <c r="K832" s="706">
        <v>233592.09</v>
      </c>
      <c r="L832" s="706">
        <v>333834.21999999997</v>
      </c>
      <c r="M832" s="706">
        <v>333834.21999999997</v>
      </c>
      <c r="N832" s="706">
        <v>0</v>
      </c>
      <c r="O832" s="706">
        <v>0</v>
      </c>
      <c r="P832" s="706">
        <v>0</v>
      </c>
      <c r="Q832" s="706">
        <v>0</v>
      </c>
      <c r="R832" s="706">
        <v>0</v>
      </c>
      <c r="S832" s="706">
        <v>55639.040000000001</v>
      </c>
      <c r="T832" s="706">
        <v>55639.040000000001</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G62613</v>
      </c>
      <c r="AK832" s="905" t="str">
        <f t="shared" si="81"/>
        <v>COUT-BUICK ENVISTA</v>
      </c>
      <c r="AL832" s="905">
        <f>IFERROR(INDEX(G832:R832,1,MATCH(Parametres!$B$3,G$1:R$1,0)-1)*IF(OR(F832="L",F832="S",F832="I"),-1,1),"")</f>
        <v>233592.09</v>
      </c>
      <c r="AM832" s="905">
        <f t="shared" si="82"/>
        <v>100242.12999999998</v>
      </c>
      <c r="AN832" s="905">
        <f>INDEX(G832:R832,1,MATCH(Parametres!$B$3,G$1:R$1,0))*IF(OR(F832="L",F832="S",F832="I"),-1,1)</f>
        <v>333834.21999999997</v>
      </c>
      <c r="AO832" s="487" t="str">
        <f>+VLOOKUP($AJ832,Data_Validation!$A:$D,1,0)</f>
        <v>G62613</v>
      </c>
      <c r="AP832" s="487" t="str">
        <f>+VLOOKUP($AJ832,Data_Validation!$A:$D,3,0)</f>
        <v>Véhicules neufs</v>
      </c>
      <c r="AQ832" s="487" t="str">
        <f>+VLOOKUP($AJ832,Data_Validation!$A:$D,4,0)</f>
        <v>Camions détail</v>
      </c>
      <c r="AR832" s="487" t="s">
        <v>299</v>
      </c>
      <c r="AS832" s="487">
        <f>+VLOOKUP($AJ832,Data_Validation!$A:$E,5,0)</f>
        <v>0</v>
      </c>
      <c r="AT832" s="904" t="str">
        <f t="shared" si="83"/>
        <v>G62613</v>
      </c>
      <c r="AU832" s="488" t="str">
        <f t="shared" si="84"/>
        <v>COUT-BUICK ENVISTA</v>
      </c>
      <c r="AV832" s="899">
        <f>IFERROR(INDEX(V832:AG832,1,MATCH(Parametres!$B$3,V$1:AG$1,0)-1)*IF(OR(C832="L",C832="S",C832="I"),-1,1),"")</f>
        <v>0</v>
      </c>
      <c r="AW832" s="899">
        <f t="shared" si="85"/>
        <v>0</v>
      </c>
      <c r="AX832" s="899">
        <f>INDEX(V832:AG832,1,MATCH(Parametres!$B$3,V$1:AG$1,0))*IF(OR(C832="L",C832="S",C832="I"),-1,1)</f>
        <v>0</v>
      </c>
      <c r="AY832" s="487" t="s">
        <v>337</v>
      </c>
      <c r="AZ832" s="487">
        <f>+VLOOKUP($AJ832,Data_Validation!$A:$E,5,0)</f>
        <v>0</v>
      </c>
    </row>
    <row r="833" spans="1:52" ht="15" customHeight="1">
      <c r="A833" s="706" t="s">
        <v>1148</v>
      </c>
      <c r="B833" s="706">
        <v>2026</v>
      </c>
      <c r="C833" s="706" t="s">
        <v>2712</v>
      </c>
      <c r="D833" s="706" t="s">
        <v>2713</v>
      </c>
      <c r="E833" s="706" t="s">
        <v>1143</v>
      </c>
      <c r="F833" s="706" t="s">
        <v>1152</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G62620</v>
      </c>
      <c r="AK833" s="905" t="str">
        <f t="shared" si="81"/>
        <v>COUT-SPICKUP/COLORADO-LOC</v>
      </c>
      <c r="AL833" s="905">
        <f>IFERROR(INDEX(G833:R833,1,MATCH(Parametres!$B$3,G$1:R$1,0)-1)*IF(OR(F833="L",F833="S",F833="I"),-1,1),"")</f>
        <v>0</v>
      </c>
      <c r="AM833" s="1047">
        <f t="shared" si="82"/>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3"/>
        <v>G62620</v>
      </c>
      <c r="AU833" s="488" t="str">
        <f t="shared" si="84"/>
        <v>COUT-SPICKUP/COLORADO-LOC</v>
      </c>
      <c r="AV833" s="899">
        <f>IFERROR(INDEX(V833:AG833,1,MATCH(Parametres!$B$3,V$1:AG$1,0)-1)*IF(OR(C833="L",C833="S",C833="I"),-1,1),"")</f>
        <v>0</v>
      </c>
      <c r="AW833" s="899">
        <f t="shared" si="85"/>
        <v>0</v>
      </c>
      <c r="AX833" s="899">
        <f>INDEX(V833:AG833,1,MATCH(Parametres!$B$3,V$1:AG$1,0))*IF(OR(C833="L",C833="S",C833="I"),-1,1)</f>
        <v>0</v>
      </c>
      <c r="AY833" s="487" t="s">
        <v>337</v>
      </c>
      <c r="AZ833" s="487" t="e">
        <f>+VLOOKUP($AJ833,Data_Validation!$A:$E,5,0)</f>
        <v>#N/A</v>
      </c>
    </row>
    <row r="834" spans="1:52" ht="15" customHeight="1">
      <c r="A834" s="706" t="s">
        <v>1148</v>
      </c>
      <c r="B834" s="706">
        <v>2026</v>
      </c>
      <c r="C834" s="706" t="s">
        <v>2714</v>
      </c>
      <c r="D834" s="706" t="s">
        <v>2715</v>
      </c>
      <c r="E834" s="706" t="s">
        <v>1143</v>
      </c>
      <c r="F834" s="706" t="s">
        <v>1152</v>
      </c>
      <c r="G834" s="706">
        <v>59099.95</v>
      </c>
      <c r="H834" s="706">
        <v>116082.85</v>
      </c>
      <c r="I834" s="706">
        <v>116082.85</v>
      </c>
      <c r="J834" s="706">
        <v>175743.94</v>
      </c>
      <c r="K834" s="706">
        <v>243964.63</v>
      </c>
      <c r="L834" s="706">
        <v>300223.63</v>
      </c>
      <c r="M834" s="706">
        <v>367670.63</v>
      </c>
      <c r="N834" s="706">
        <v>0</v>
      </c>
      <c r="O834" s="706">
        <v>0</v>
      </c>
      <c r="P834" s="706">
        <v>0</v>
      </c>
      <c r="Q834" s="706">
        <v>0</v>
      </c>
      <c r="R834" s="706">
        <v>0</v>
      </c>
      <c r="S834" s="706">
        <v>50037.27</v>
      </c>
      <c r="T834" s="706">
        <v>50037.27</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G62700</v>
      </c>
      <c r="AK834" s="905" t="str">
        <f t="shared" si="81"/>
        <v>COUT-TRAVERSE</v>
      </c>
      <c r="AL834" s="905">
        <f>IFERROR(INDEX(G834:R834,1,MATCH(Parametres!$B$3,G$1:R$1,0)-1)*IF(OR(F834="L",F834="S",F834="I"),-1,1),"")</f>
        <v>243964.63</v>
      </c>
      <c r="AM834" s="905">
        <f t="shared" si="82"/>
        <v>56259</v>
      </c>
      <c r="AN834" s="905">
        <f>INDEX(G834:R834,1,MATCH(Parametres!$B$3,G$1:R$1,0))*IF(OR(F834="L",F834="S",F834="I"),-1,1)</f>
        <v>300223.63</v>
      </c>
      <c r="AO834" s="487" t="str">
        <f>+VLOOKUP($AJ834,Data_Validation!$A:$D,1,0)</f>
        <v>G62700</v>
      </c>
      <c r="AP834" s="487" t="str">
        <f>+VLOOKUP($AJ834,Data_Validation!$A:$D,3,0)</f>
        <v>Véhicules neufs</v>
      </c>
      <c r="AQ834" s="487" t="str">
        <f>+VLOOKUP($AJ834,Data_Validation!$A:$D,4,0)</f>
        <v>Camions détail</v>
      </c>
      <c r="AR834" s="487" t="s">
        <v>299</v>
      </c>
      <c r="AS834" s="487">
        <f>+VLOOKUP($AJ834,Data_Validation!$A:$E,5,0)</f>
        <v>0</v>
      </c>
      <c r="AT834" s="904" t="str">
        <f t="shared" si="83"/>
        <v>G62700</v>
      </c>
      <c r="AU834" s="488" t="str">
        <f t="shared" si="84"/>
        <v>COUT-TRAVERSE</v>
      </c>
      <c r="AV834" s="899">
        <f>IFERROR(INDEX(V834:AG834,1,MATCH(Parametres!$B$3,V$1:AG$1,0)-1)*IF(OR(C834="L",C834="S",C834="I"),-1,1),"")</f>
        <v>0</v>
      </c>
      <c r="AW834" s="899">
        <f t="shared" si="85"/>
        <v>0</v>
      </c>
      <c r="AX834" s="899">
        <f>INDEX(V834:AG834,1,MATCH(Parametres!$B$3,V$1:AG$1,0))*IF(OR(C834="L",C834="S",C834="I"),-1,1)</f>
        <v>0</v>
      </c>
      <c r="AY834" s="487" t="s">
        <v>337</v>
      </c>
      <c r="AZ834" s="487">
        <f>+VLOOKUP($AJ834,Data_Validation!$A:$E,5,0)</f>
        <v>0</v>
      </c>
    </row>
    <row r="835" spans="1:52" ht="15" customHeight="1">
      <c r="A835" s="706" t="s">
        <v>1148</v>
      </c>
      <c r="B835" s="706">
        <v>2026</v>
      </c>
      <c r="C835" s="706" t="s">
        <v>2716</v>
      </c>
      <c r="D835" s="706" t="s">
        <v>2717</v>
      </c>
      <c r="E835" s="706" t="s">
        <v>1143</v>
      </c>
      <c r="F835" s="706" t="s">
        <v>1152</v>
      </c>
      <c r="G835" s="706">
        <v>0</v>
      </c>
      <c r="H835" s="706">
        <v>0</v>
      </c>
      <c r="I835" s="706">
        <v>0</v>
      </c>
      <c r="J835" s="706">
        <v>75348.5</v>
      </c>
      <c r="K835" s="706">
        <v>138372.42000000001</v>
      </c>
      <c r="L835" s="706">
        <v>138372.42000000001</v>
      </c>
      <c r="M835" s="706">
        <v>138372.42000000001</v>
      </c>
      <c r="N835" s="706">
        <v>0</v>
      </c>
      <c r="O835" s="706">
        <v>0</v>
      </c>
      <c r="P835" s="706">
        <v>0</v>
      </c>
      <c r="Q835" s="706">
        <v>0</v>
      </c>
      <c r="R835" s="706">
        <v>0</v>
      </c>
      <c r="S835" s="706">
        <v>23062.07</v>
      </c>
      <c r="T835" s="706">
        <v>23062.07</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G62800</v>
      </c>
      <c r="AK835" s="905" t="str">
        <f t="shared" si="81"/>
        <v>COÛTANT BUICK ENCLAVE</v>
      </c>
      <c r="AL835" s="905">
        <f>IFERROR(INDEX(G835:R835,1,MATCH(Parametres!$B$3,G$1:R$1,0)-1)*IF(OR(F835="L",F835="S",F835="I"),-1,1),"")</f>
        <v>138372.42000000001</v>
      </c>
      <c r="AM835" s="1047">
        <f t="shared" si="82"/>
        <v>0</v>
      </c>
      <c r="AN835" s="905">
        <f>INDEX(G835:R835,1,MATCH(Parametres!$B$3,G$1:R$1,0))*IF(OR(F835="L",F835="S",F835="I"),-1,1)</f>
        <v>138372.42000000001</v>
      </c>
      <c r="AO835" s="487" t="str">
        <f>+VLOOKUP($AJ835,Data_Validation!$A:$D,1,0)</f>
        <v>G62800</v>
      </c>
      <c r="AP835" s="487" t="str">
        <f>+VLOOKUP($AJ835,Data_Validation!$A:$D,3,0)</f>
        <v>Véhicules neufs</v>
      </c>
      <c r="AQ835" s="487" t="str">
        <f>+VLOOKUP($AJ835,Data_Validation!$A:$D,4,0)</f>
        <v>Camions détail</v>
      </c>
      <c r="AR835" s="487" t="s">
        <v>299</v>
      </c>
      <c r="AS835" s="487">
        <f>+VLOOKUP($AJ835,Data_Validation!$A:$E,5,0)</f>
        <v>0</v>
      </c>
      <c r="AT835" s="904" t="str">
        <f t="shared" si="83"/>
        <v>G62800</v>
      </c>
      <c r="AU835" s="488" t="str">
        <f t="shared" si="84"/>
        <v>COÛTANT BUICK ENCLAVE</v>
      </c>
      <c r="AV835" s="899">
        <f>IFERROR(INDEX(V835:AG835,1,MATCH(Parametres!$B$3,V$1:AG$1,0)-1)*IF(OR(C835="L",C835="S",C835="I"),-1,1),"")</f>
        <v>0</v>
      </c>
      <c r="AW835" s="899">
        <f t="shared" si="85"/>
        <v>0</v>
      </c>
      <c r="AX835" s="899">
        <f>INDEX(V835:AG835,1,MATCH(Parametres!$B$3,V$1:AG$1,0))*IF(OR(C835="L",C835="S",C835="I"),-1,1)</f>
        <v>0</v>
      </c>
      <c r="AY835" s="487" t="s">
        <v>337</v>
      </c>
      <c r="AZ835" s="487">
        <f>+VLOOKUP($AJ835,Data_Validation!$A:$E,5,0)</f>
        <v>0</v>
      </c>
    </row>
    <row r="836" spans="1:52" ht="15" customHeight="1">
      <c r="A836" s="706" t="s">
        <v>1148</v>
      </c>
      <c r="B836" s="706">
        <v>2026</v>
      </c>
      <c r="C836" s="706" t="s">
        <v>2718</v>
      </c>
      <c r="D836" s="706" t="s">
        <v>2719</v>
      </c>
      <c r="E836" s="706" t="s">
        <v>1143</v>
      </c>
      <c r="F836" s="706" t="s">
        <v>1152</v>
      </c>
      <c r="G836" s="706">
        <v>39100.9</v>
      </c>
      <c r="H836" s="706">
        <v>73216.850000000006</v>
      </c>
      <c r="I836" s="706">
        <v>73216.850000000006</v>
      </c>
      <c r="J836" s="706">
        <v>111303.69</v>
      </c>
      <c r="K836" s="706">
        <v>111303.69</v>
      </c>
      <c r="L836" s="706">
        <v>183089.15</v>
      </c>
      <c r="M836" s="706">
        <v>183089.15</v>
      </c>
      <c r="N836" s="706">
        <v>0</v>
      </c>
      <c r="O836" s="706">
        <v>0</v>
      </c>
      <c r="P836" s="706">
        <v>0</v>
      </c>
      <c r="Q836" s="706">
        <v>0</v>
      </c>
      <c r="R836" s="706">
        <v>0</v>
      </c>
      <c r="S836" s="706">
        <v>30514.86</v>
      </c>
      <c r="T836" s="706">
        <v>30514.86</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G62804</v>
      </c>
      <c r="AK836" s="905" t="str">
        <f t="shared" si="81"/>
        <v>COUT BUICK ENCORE</v>
      </c>
      <c r="AL836" s="905">
        <f>IFERROR(INDEX(G836:R836,1,MATCH(Parametres!$B$3,G$1:R$1,0)-1)*IF(OR(F836="L",F836="S",F836="I"),-1,1),"")</f>
        <v>111303.69</v>
      </c>
      <c r="AM836" s="1047">
        <f t="shared" si="82"/>
        <v>71785.459999999992</v>
      </c>
      <c r="AN836" s="905">
        <f>INDEX(G836:R836,1,MATCH(Parametres!$B$3,G$1:R$1,0))*IF(OR(F836="L",F836="S",F836="I"),-1,1)</f>
        <v>183089.15</v>
      </c>
      <c r="AO836" s="487" t="str">
        <f>+VLOOKUP($AJ836,Data_Validation!$A:$D,1,0)</f>
        <v>G62804</v>
      </c>
      <c r="AP836" s="487" t="str">
        <f>+VLOOKUP($AJ836,Data_Validation!$A:$D,3,0)</f>
        <v>Véhicules neufs</v>
      </c>
      <c r="AQ836" s="487" t="str">
        <f>+VLOOKUP($AJ836,Data_Validation!$A:$D,4,0)</f>
        <v>Camions détail</v>
      </c>
      <c r="AR836" s="487" t="s">
        <v>299</v>
      </c>
      <c r="AS836" s="487">
        <f>+VLOOKUP($AJ836,Data_Validation!$A:$E,5,0)</f>
        <v>0</v>
      </c>
      <c r="AT836" s="904" t="str">
        <f t="shared" si="83"/>
        <v>G62804</v>
      </c>
      <c r="AU836" s="488" t="str">
        <f t="shared" si="84"/>
        <v>COUT BUICK ENCORE</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customHeight="1">
      <c r="A837" s="706" t="s">
        <v>1148</v>
      </c>
      <c r="B837" s="706">
        <v>2026</v>
      </c>
      <c r="C837" s="706" t="s">
        <v>2720</v>
      </c>
      <c r="D837" s="706" t="s">
        <v>2721</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G62820</v>
      </c>
      <c r="AK837" s="905" t="str">
        <f t="shared" si="81"/>
        <v>COUT-TRAIL BALZER    -LOC</v>
      </c>
      <c r="AL837" s="905">
        <f>IFERROR(INDEX(G837:R837,1,MATCH(Parametres!$B$3,G$1:R$1,0)-1)*IF(OR(F837="L",F837="S",F837="I"),-1,1),"")</f>
        <v>0</v>
      </c>
      <c r="AM837" s="1047">
        <f t="shared" si="82"/>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3"/>
        <v>G62820</v>
      </c>
      <c r="AU837" s="488" t="str">
        <f t="shared" si="84"/>
        <v>COUT-TRAIL BALZER    -LOC</v>
      </c>
      <c r="AV837" s="899">
        <f>IFERROR(INDEX(V837:AG837,1,MATCH(Parametres!$B$3,V$1:AG$1,0)-1)*IF(OR(C837="L",C837="S",C837="I"),-1,1),"")</f>
        <v>0</v>
      </c>
      <c r="AW837" s="899">
        <f t="shared" si="85"/>
        <v>0</v>
      </c>
      <c r="AX837" s="899">
        <f>INDEX(V837:AG837,1,MATCH(Parametres!$B$3,V$1:AG$1,0))*IF(OR(C837="L",C837="S",C837="I"),-1,1)</f>
        <v>0</v>
      </c>
      <c r="AY837" s="487" t="s">
        <v>337</v>
      </c>
      <c r="AZ837" s="487" t="e">
        <f>+VLOOKUP($AJ837,Data_Validation!$A:$E,5,0)</f>
        <v>#N/A</v>
      </c>
    </row>
    <row r="838" spans="1:52" ht="15" customHeight="1">
      <c r="A838" s="706" t="s">
        <v>1148</v>
      </c>
      <c r="B838" s="706">
        <v>2026</v>
      </c>
      <c r="C838" s="706" t="s">
        <v>2722</v>
      </c>
      <c r="D838" s="706" t="s">
        <v>2723</v>
      </c>
      <c r="E838" s="706" t="s">
        <v>1143</v>
      </c>
      <c r="F838" s="706" t="s">
        <v>1152</v>
      </c>
      <c r="G838" s="706">
        <v>163604.79999999999</v>
      </c>
      <c r="H838" s="706">
        <v>254067.85</v>
      </c>
      <c r="I838" s="706">
        <v>348128.49</v>
      </c>
      <c r="J838" s="706">
        <v>469050.88</v>
      </c>
      <c r="K838" s="706">
        <v>533516.16</v>
      </c>
      <c r="L838" s="706">
        <v>562547.81000000006</v>
      </c>
      <c r="M838" s="706">
        <v>627099.23</v>
      </c>
      <c r="N838" s="706">
        <v>0</v>
      </c>
      <c r="O838" s="706">
        <v>0</v>
      </c>
      <c r="P838" s="706">
        <v>0</v>
      </c>
      <c r="Q838" s="706">
        <v>0</v>
      </c>
      <c r="R838" s="706">
        <v>0</v>
      </c>
      <c r="S838" s="706">
        <v>93757.97</v>
      </c>
      <c r="T838" s="706">
        <v>93757.97</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G62850</v>
      </c>
      <c r="AK838" s="905" t="str">
        <f t="shared" si="81"/>
        <v>COUTANT CHEVROLET TRAX</v>
      </c>
      <c r="AL838" s="905">
        <f>IFERROR(INDEX(G838:R838,1,MATCH(Parametres!$B$3,G$1:R$1,0)-1)*IF(OR(F838="L",F838="S",F838="I"),-1,1),"")</f>
        <v>533516.16</v>
      </c>
      <c r="AM838" s="905">
        <f t="shared" si="82"/>
        <v>29031.650000000023</v>
      </c>
      <c r="AN838" s="905">
        <f>INDEX(G838:R838,1,MATCH(Parametres!$B$3,G$1:R$1,0))*IF(OR(F838="L",F838="S",F838="I"),-1,1)</f>
        <v>562547.81000000006</v>
      </c>
      <c r="AO838" s="487" t="str">
        <f>+VLOOKUP($AJ838,Data_Validation!$A:$D,1,0)</f>
        <v>G62850</v>
      </c>
      <c r="AP838" s="487" t="str">
        <f>+VLOOKUP($AJ838,Data_Validation!$A:$D,3,0)</f>
        <v>Véhicules neufs</v>
      </c>
      <c r="AQ838" s="487" t="str">
        <f>+VLOOKUP($AJ838,Data_Validation!$A:$D,4,0)</f>
        <v>Camions détail</v>
      </c>
      <c r="AR838" s="487" t="s">
        <v>299</v>
      </c>
      <c r="AS838" s="487">
        <f>+VLOOKUP($AJ838,Data_Validation!$A:$E,5,0)</f>
        <v>0</v>
      </c>
      <c r="AT838" s="904" t="str">
        <f t="shared" si="83"/>
        <v>G62850</v>
      </c>
      <c r="AU838" s="488" t="str">
        <f t="shared" si="84"/>
        <v>COUTANT CHEVROLET TRAX</v>
      </c>
      <c r="AV838" s="899">
        <f>IFERROR(INDEX(V838:AG838,1,MATCH(Parametres!$B$3,V$1:AG$1,0)-1)*IF(OR(C838="L",C838="S",C838="I"),-1,1),"")</f>
        <v>0</v>
      </c>
      <c r="AW838" s="899">
        <f t="shared" si="85"/>
        <v>0</v>
      </c>
      <c r="AX838" s="899">
        <f>INDEX(V838:AG838,1,MATCH(Parametres!$B$3,V$1:AG$1,0))*IF(OR(C838="L",C838="S",C838="I"),-1,1)</f>
        <v>0</v>
      </c>
      <c r="AY838" s="487" t="s">
        <v>337</v>
      </c>
      <c r="AZ838" s="487">
        <f>+VLOOKUP($AJ838,Data_Validation!$A:$E,5,0)</f>
        <v>0</v>
      </c>
    </row>
    <row r="839" spans="1:52" ht="15" customHeight="1">
      <c r="A839" s="706" t="s">
        <v>1148</v>
      </c>
      <c r="B839" s="706">
        <v>2026</v>
      </c>
      <c r="C839" s="706" t="s">
        <v>2724</v>
      </c>
      <c r="D839" s="706" t="s">
        <v>2725</v>
      </c>
      <c r="E839" s="706" t="s">
        <v>1143</v>
      </c>
      <c r="F839" s="706" t="s">
        <v>1152</v>
      </c>
      <c r="G839" s="706">
        <v>275883.74</v>
      </c>
      <c r="H839" s="706">
        <v>367937.75</v>
      </c>
      <c r="I839" s="706">
        <v>626758.68000000005</v>
      </c>
      <c r="J839" s="706">
        <v>626758.68000000005</v>
      </c>
      <c r="K839" s="706">
        <v>693368.68</v>
      </c>
      <c r="L839" s="706">
        <v>874729.5</v>
      </c>
      <c r="M839" s="706">
        <v>874729.5</v>
      </c>
      <c r="N839" s="706">
        <v>0</v>
      </c>
      <c r="O839" s="706">
        <v>0</v>
      </c>
      <c r="P839" s="706">
        <v>0</v>
      </c>
      <c r="Q839" s="706">
        <v>0</v>
      </c>
      <c r="R839" s="706">
        <v>0</v>
      </c>
      <c r="S839" s="706">
        <v>145788.25</v>
      </c>
      <c r="T839" s="706">
        <v>145788.25</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G62900</v>
      </c>
      <c r="AK839" s="905" t="str">
        <f t="shared" si="81"/>
        <v>COUT-TAHOE/SUBURBAN</v>
      </c>
      <c r="AL839" s="905">
        <f>IFERROR(INDEX(G839:R839,1,MATCH(Parametres!$B$3,G$1:R$1,0)-1)*IF(OR(F839="L",F839="S",F839="I"),-1,1),"")</f>
        <v>693368.68</v>
      </c>
      <c r="AM839" s="1047">
        <f t="shared" si="82"/>
        <v>181360.81999999995</v>
      </c>
      <c r="AN839" s="905">
        <f>INDEX(G839:R839,1,MATCH(Parametres!$B$3,G$1:R$1,0))*IF(OR(F839="L",F839="S",F839="I"),-1,1)</f>
        <v>874729.5</v>
      </c>
      <c r="AO839" s="487" t="str">
        <f>+VLOOKUP($AJ839,Data_Validation!$A:$D,1,0)</f>
        <v>G62900</v>
      </c>
      <c r="AP839" s="487" t="str">
        <f>+VLOOKUP($AJ839,Data_Validation!$A:$D,3,0)</f>
        <v>Véhicules neufs</v>
      </c>
      <c r="AQ839" s="487" t="str">
        <f>+VLOOKUP($AJ839,Data_Validation!$A:$D,4,0)</f>
        <v>Camions détail</v>
      </c>
      <c r="AR839" s="487" t="s">
        <v>299</v>
      </c>
      <c r="AS839" s="487">
        <f>+VLOOKUP($AJ839,Data_Validation!$A:$E,5,0)</f>
        <v>0</v>
      </c>
      <c r="AT839" s="904" t="str">
        <f t="shared" si="83"/>
        <v>G62900</v>
      </c>
      <c r="AU839" s="488" t="str">
        <f t="shared" si="84"/>
        <v>COUT-TAHOE/SUBURBAN</v>
      </c>
      <c r="AV839" s="899">
        <f>IFERROR(INDEX(V839:AG839,1,MATCH(Parametres!$B$3,V$1:AG$1,0)-1)*IF(OR(C839="L",C839="S",C839="I"),-1,1),"")</f>
        <v>0</v>
      </c>
      <c r="AW839" s="899">
        <f t="shared" si="85"/>
        <v>0</v>
      </c>
      <c r="AX839" s="899">
        <f>INDEX(V839:AG839,1,MATCH(Parametres!$B$3,V$1:AG$1,0))*IF(OR(C839="L",C839="S",C839="I"),-1,1)</f>
        <v>0</v>
      </c>
      <c r="AY839" s="487" t="s">
        <v>337</v>
      </c>
      <c r="AZ839" s="487">
        <f>+VLOOKUP($AJ839,Data_Validation!$A:$E,5,0)</f>
        <v>0</v>
      </c>
    </row>
    <row r="840" spans="1:52" ht="15" customHeight="1">
      <c r="A840" s="706" t="s">
        <v>1148</v>
      </c>
      <c r="B840" s="706">
        <v>2026</v>
      </c>
      <c r="C840" s="706" t="s">
        <v>2726</v>
      </c>
      <c r="D840" s="706" t="s">
        <v>2727</v>
      </c>
      <c r="E840" s="706" t="s">
        <v>1143</v>
      </c>
      <c r="F840" s="706" t="s">
        <v>1152</v>
      </c>
      <c r="G840" s="706">
        <v>278797.93</v>
      </c>
      <c r="H840" s="706">
        <v>563208.92000000004</v>
      </c>
      <c r="I840" s="706">
        <v>1033013.62</v>
      </c>
      <c r="J840" s="706">
        <v>1319349.4099999999</v>
      </c>
      <c r="K840" s="706">
        <v>1763629.82</v>
      </c>
      <c r="L840" s="706">
        <v>2289254.42</v>
      </c>
      <c r="M840" s="706">
        <v>2289404.42</v>
      </c>
      <c r="N840" s="706">
        <v>0</v>
      </c>
      <c r="O840" s="706">
        <v>0</v>
      </c>
      <c r="P840" s="706">
        <v>0</v>
      </c>
      <c r="Q840" s="706">
        <v>0</v>
      </c>
      <c r="R840" s="706">
        <v>0</v>
      </c>
      <c r="S840" s="706">
        <v>381542.40000000002</v>
      </c>
      <c r="T840" s="706">
        <v>381542.40000000002</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G63000</v>
      </c>
      <c r="AK840" s="905" t="str">
        <f t="shared" si="81"/>
        <v>COUT-CL 1500 SILVERADO</v>
      </c>
      <c r="AL840" s="905">
        <f>IFERROR(INDEX(G840:R840,1,MATCH(Parametres!$B$3,G$1:R$1,0)-1)*IF(OR(F840="L",F840="S",F840="I"),-1,1),"")</f>
        <v>1763629.82</v>
      </c>
      <c r="AM840" s="905">
        <f t="shared" si="82"/>
        <v>525624.59999999986</v>
      </c>
      <c r="AN840" s="905">
        <f>INDEX(G840:R840,1,MATCH(Parametres!$B$3,G$1:R$1,0))*IF(OR(F840="L",F840="S",F840="I"),-1,1)</f>
        <v>2289254.42</v>
      </c>
      <c r="AO840" s="487" t="str">
        <f>+VLOOKUP($AJ840,Data_Validation!$A:$D,1,0)</f>
        <v>G63000</v>
      </c>
      <c r="AP840" s="487" t="str">
        <f>+VLOOKUP($AJ840,Data_Validation!$A:$D,3,0)</f>
        <v>Véhicules neufs</v>
      </c>
      <c r="AQ840" s="487" t="str">
        <f>+VLOOKUP($AJ840,Data_Validation!$A:$D,4,0)</f>
        <v>Camions détail</v>
      </c>
      <c r="AR840" s="487" t="s">
        <v>299</v>
      </c>
      <c r="AS840" s="487">
        <f>+VLOOKUP($AJ840,Data_Validation!$A:$E,5,0)</f>
        <v>0</v>
      </c>
      <c r="AT840" s="904" t="str">
        <f t="shared" si="83"/>
        <v>G63000</v>
      </c>
      <c r="AU840" s="488" t="str">
        <f t="shared" si="84"/>
        <v>COUT-CL 1500 SILVERADO</v>
      </c>
      <c r="AV840" s="899">
        <f>IFERROR(INDEX(V840:AG840,1,MATCH(Parametres!$B$3,V$1:AG$1,0)-1)*IF(OR(C840="L",C840="S",C840="I"),-1,1),"")</f>
        <v>0</v>
      </c>
      <c r="AW840" s="899">
        <f t="shared" si="85"/>
        <v>0</v>
      </c>
      <c r="AX840" s="899">
        <f>INDEX(V840:AG840,1,MATCH(Parametres!$B$3,V$1:AG$1,0))*IF(OR(C840="L",C840="S",C840="I"),-1,1)</f>
        <v>0</v>
      </c>
      <c r="AY840" s="487" t="s">
        <v>337</v>
      </c>
      <c r="AZ840" s="487">
        <f>+VLOOKUP($AJ840,Data_Validation!$A:$E,5,0)</f>
        <v>0</v>
      </c>
    </row>
    <row r="841" spans="1:52" ht="15" customHeight="1">
      <c r="A841" s="706" t="s">
        <v>1148</v>
      </c>
      <c r="B841" s="706">
        <v>2026</v>
      </c>
      <c r="C841" s="706" t="s">
        <v>2728</v>
      </c>
      <c r="D841" s="706" t="s">
        <v>2729</v>
      </c>
      <c r="E841" s="706" t="s">
        <v>1143</v>
      </c>
      <c r="F841" s="706" t="s">
        <v>1152</v>
      </c>
      <c r="G841" s="706">
        <v>0</v>
      </c>
      <c r="H841" s="706">
        <v>0</v>
      </c>
      <c r="I841" s="706">
        <v>0</v>
      </c>
      <c r="J841" s="706">
        <v>216195.74</v>
      </c>
      <c r="K841" s="706">
        <v>216195.74</v>
      </c>
      <c r="L841" s="706">
        <v>216195.74</v>
      </c>
      <c r="M841" s="706">
        <v>216195.74</v>
      </c>
      <c r="N841" s="706">
        <v>0</v>
      </c>
      <c r="O841" s="706">
        <v>0</v>
      </c>
      <c r="P841" s="706">
        <v>0</v>
      </c>
      <c r="Q841" s="706">
        <v>0</v>
      </c>
      <c r="R841" s="706">
        <v>0</v>
      </c>
      <c r="S841" s="706">
        <v>36032.620000000003</v>
      </c>
      <c r="T841" s="706">
        <v>36032.620000000003</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G63001</v>
      </c>
      <c r="AK841" s="905" t="str">
        <f t="shared" si="81"/>
        <v>COUT - SILVERADO EV</v>
      </c>
      <c r="AL841" s="905">
        <f>IFERROR(INDEX(G841:R841,1,MATCH(Parametres!$B$3,G$1:R$1,0)-1)*IF(OR(F841="L",F841="S",F841="I"),-1,1),"")</f>
        <v>216195.74</v>
      </c>
      <c r="AM841" s="1047">
        <f t="shared" si="82"/>
        <v>0</v>
      </c>
      <c r="AN841" s="905">
        <f>INDEX(G841:R841,1,MATCH(Parametres!$B$3,G$1:R$1,0))*IF(OR(F841="L",F841="S",F841="I"),-1,1)</f>
        <v>216195.74</v>
      </c>
      <c r="AO841" s="487" t="str">
        <f>+VLOOKUP($AJ841,Data_Validation!$A:$D,1,0)</f>
        <v>G63001</v>
      </c>
      <c r="AP841" s="487" t="str">
        <f>+VLOOKUP($AJ841,Data_Validation!$A:$D,3,0)</f>
        <v>Véhicules neufs</v>
      </c>
      <c r="AQ841" s="487" t="str">
        <f>+VLOOKUP($AJ841,Data_Validation!$A:$D,4,0)</f>
        <v>Camions electriques</v>
      </c>
      <c r="AR841" s="487" t="s">
        <v>299</v>
      </c>
      <c r="AS841" s="487">
        <f>+VLOOKUP($AJ841,Data_Validation!$A:$E,5,0)</f>
        <v>0</v>
      </c>
      <c r="AT841" s="904" t="str">
        <f t="shared" si="83"/>
        <v>G63001</v>
      </c>
      <c r="AU841" s="488" t="str">
        <f t="shared" si="84"/>
        <v>COUT - SILVERADO EV</v>
      </c>
      <c r="AV841" s="899">
        <f>IFERROR(INDEX(V841:AG841,1,MATCH(Parametres!$B$3,V$1:AG$1,0)-1)*IF(OR(C841="L",C841="S",C841="I"),-1,1),"")</f>
        <v>0</v>
      </c>
      <c r="AW841" s="899">
        <f t="shared" si="85"/>
        <v>0</v>
      </c>
      <c r="AX841" s="899">
        <f>INDEX(V841:AG841,1,MATCH(Parametres!$B$3,V$1:AG$1,0))*IF(OR(C841="L",C841="S",C841="I"),-1,1)</f>
        <v>0</v>
      </c>
      <c r="AY841" s="487" t="s">
        <v>337</v>
      </c>
      <c r="AZ841" s="487">
        <f>+VLOOKUP($AJ841,Data_Validation!$A:$E,5,0)</f>
        <v>0</v>
      </c>
    </row>
    <row r="842" spans="1:52" ht="15" customHeight="1">
      <c r="A842" s="706" t="s">
        <v>1148</v>
      </c>
      <c r="B842" s="706">
        <v>2026</v>
      </c>
      <c r="C842" s="706" t="s">
        <v>2730</v>
      </c>
      <c r="D842" s="706" t="s">
        <v>2731</v>
      </c>
      <c r="E842" s="706" t="s">
        <v>1143</v>
      </c>
      <c r="F842" s="706" t="s">
        <v>1152</v>
      </c>
      <c r="G842" s="706">
        <v>92749.89</v>
      </c>
      <c r="H842" s="706">
        <v>396129</v>
      </c>
      <c r="I842" s="706">
        <v>728145.5</v>
      </c>
      <c r="J842" s="706">
        <v>728145.5</v>
      </c>
      <c r="K842" s="706">
        <v>960653.88</v>
      </c>
      <c r="L842" s="706">
        <v>1371355.67</v>
      </c>
      <c r="M842" s="706">
        <v>1371355.67</v>
      </c>
      <c r="N842" s="706">
        <v>0</v>
      </c>
      <c r="O842" s="706">
        <v>0</v>
      </c>
      <c r="P842" s="706">
        <v>0</v>
      </c>
      <c r="Q842" s="706">
        <v>0</v>
      </c>
      <c r="R842" s="706">
        <v>0</v>
      </c>
      <c r="S842" s="706">
        <v>228559.28</v>
      </c>
      <c r="T842" s="706">
        <v>228559.28</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G63002</v>
      </c>
      <c r="AK842" s="905" t="str">
        <f t="shared" si="81"/>
        <v>COUT - YUKON</v>
      </c>
      <c r="AL842" s="905">
        <f>IFERROR(INDEX(G842:R842,1,MATCH(Parametres!$B$3,G$1:R$1,0)-1)*IF(OR(F842="L",F842="S",F842="I"),-1,1),"")</f>
        <v>960653.88</v>
      </c>
      <c r="AM842" s="1047">
        <f t="shared" si="82"/>
        <v>410701.78999999992</v>
      </c>
      <c r="AN842" s="905">
        <f>INDEX(G842:R842,1,MATCH(Parametres!$B$3,G$1:R$1,0))*IF(OR(F842="L",F842="S",F842="I"),-1,1)</f>
        <v>1371355.67</v>
      </c>
      <c r="AO842" s="487" t="str">
        <f>+VLOOKUP($AJ842,Data_Validation!$A:$D,1,0)</f>
        <v>G63002</v>
      </c>
      <c r="AP842" s="487" t="str">
        <f>+VLOOKUP($AJ842,Data_Validation!$A:$D,3,0)</f>
        <v>Véhicules neufs</v>
      </c>
      <c r="AQ842" s="487" t="str">
        <f>+VLOOKUP($AJ842,Data_Validation!$A:$D,4,0)</f>
        <v>Camions détail</v>
      </c>
      <c r="AR842" s="487" t="s">
        <v>299</v>
      </c>
      <c r="AS842" s="487">
        <f>+VLOOKUP($AJ842,Data_Validation!$A:$E,5,0)</f>
        <v>0</v>
      </c>
      <c r="AT842" s="904" t="str">
        <f t="shared" si="83"/>
        <v>G63002</v>
      </c>
      <c r="AU842" s="488" t="str">
        <f t="shared" si="84"/>
        <v>COUT - YUKON</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customHeight="1">
      <c r="A843" s="706" t="s">
        <v>1148</v>
      </c>
      <c r="B843" s="706">
        <v>2026</v>
      </c>
      <c r="C843" s="706" t="s">
        <v>2732</v>
      </c>
      <c r="D843" s="706" t="s">
        <v>2733</v>
      </c>
      <c r="E843" s="706" t="s">
        <v>1143</v>
      </c>
      <c r="F843" s="706" t="s">
        <v>1152</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G63020</v>
      </c>
      <c r="AK843" s="905" t="str">
        <f t="shared" si="81"/>
        <v>COUT-CL 1500 SILVERAD-LOC</v>
      </c>
      <c r="AL843" s="905">
        <f>IFERROR(INDEX(G843:R843,1,MATCH(Parametres!$B$3,G$1:R$1,0)-1)*IF(OR(F843="L",F843="S",F843="I"),-1,1),"")</f>
        <v>0</v>
      </c>
      <c r="AM843" s="1047">
        <f t="shared" si="82"/>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3"/>
        <v>G63020</v>
      </c>
      <c r="AU843" s="488" t="str">
        <f t="shared" si="84"/>
        <v>COUT-CL 1500 SILVERAD-LOC</v>
      </c>
      <c r="AV843" s="899">
        <f>IFERROR(INDEX(V843:AG843,1,MATCH(Parametres!$B$3,V$1:AG$1,0)-1)*IF(OR(C843="L",C843="S",C843="I"),-1,1),"")</f>
        <v>0</v>
      </c>
      <c r="AW843" s="899">
        <f t="shared" si="85"/>
        <v>0</v>
      </c>
      <c r="AX843" s="899">
        <f>INDEX(V843:AG843,1,MATCH(Parametres!$B$3,V$1:AG$1,0))*IF(OR(C843="L",C843="S",C843="I"),-1,1)</f>
        <v>0</v>
      </c>
      <c r="AY843" s="487" t="s">
        <v>337</v>
      </c>
      <c r="AZ843" s="487" t="e">
        <f>+VLOOKUP($AJ843,Data_Validation!$A:$E,5,0)</f>
        <v>#N/A</v>
      </c>
    </row>
    <row r="844" spans="1:52" ht="15" customHeight="1">
      <c r="A844" s="706" t="s">
        <v>1148</v>
      </c>
      <c r="B844" s="706">
        <v>2026</v>
      </c>
      <c r="C844" s="706" t="s">
        <v>2734</v>
      </c>
      <c r="D844" s="706" t="s">
        <v>2735</v>
      </c>
      <c r="E844" s="706" t="s">
        <v>1143</v>
      </c>
      <c r="F844" s="706" t="s">
        <v>1152</v>
      </c>
      <c r="G844" s="706">
        <v>95881.95</v>
      </c>
      <c r="H844" s="706">
        <v>284200.96999999997</v>
      </c>
      <c r="I844" s="706">
        <v>667588.17000000004</v>
      </c>
      <c r="J844" s="706">
        <v>667588.17000000004</v>
      </c>
      <c r="K844" s="706">
        <v>763930.31</v>
      </c>
      <c r="L844" s="706">
        <v>865397.4</v>
      </c>
      <c r="M844" s="706">
        <v>865397.4</v>
      </c>
      <c r="N844" s="706">
        <v>0</v>
      </c>
      <c r="O844" s="706">
        <v>0</v>
      </c>
      <c r="P844" s="706">
        <v>0</v>
      </c>
      <c r="Q844" s="706">
        <v>0</v>
      </c>
      <c r="R844" s="706">
        <v>0</v>
      </c>
      <c r="S844" s="706">
        <v>144232.9</v>
      </c>
      <c r="T844" s="706">
        <v>144232.9</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G63100</v>
      </c>
      <c r="AK844" s="905" t="str">
        <f t="shared" si="81"/>
        <v>COUT-CL 2500 SILVERADO</v>
      </c>
      <c r="AL844" s="905">
        <f>IFERROR(INDEX(G844:R844,1,MATCH(Parametres!$B$3,G$1:R$1,0)-1)*IF(OR(F844="L",F844="S",F844="I"),-1,1),"")</f>
        <v>763930.31</v>
      </c>
      <c r="AM844" s="905">
        <f t="shared" si="82"/>
        <v>101467.08999999997</v>
      </c>
      <c r="AN844" s="905">
        <f>INDEX(G844:R844,1,MATCH(Parametres!$B$3,G$1:R$1,0))*IF(OR(F844="L",F844="S",F844="I"),-1,1)</f>
        <v>865397.4</v>
      </c>
      <c r="AO844" s="487" t="str">
        <f>+VLOOKUP($AJ844,Data_Validation!$A:$D,1,0)</f>
        <v>G63100</v>
      </c>
      <c r="AP844" s="487" t="str">
        <f>+VLOOKUP($AJ844,Data_Validation!$A:$D,3,0)</f>
        <v>Véhicules neufs</v>
      </c>
      <c r="AQ844" s="487" t="str">
        <f>+VLOOKUP($AJ844,Data_Validation!$A:$D,4,0)</f>
        <v>Camions détail</v>
      </c>
      <c r="AR844" s="487" t="s">
        <v>299</v>
      </c>
      <c r="AS844" s="487">
        <f>+VLOOKUP($AJ844,Data_Validation!$A:$E,5,0)</f>
        <v>0</v>
      </c>
      <c r="AT844" s="904" t="str">
        <f t="shared" si="83"/>
        <v>G63100</v>
      </c>
      <c r="AU844" s="488" t="str">
        <f t="shared" si="84"/>
        <v>COUT-CL 2500 SILVERADO</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customHeight="1">
      <c r="A845" s="706" t="s">
        <v>1148</v>
      </c>
      <c r="B845" s="706">
        <v>2026</v>
      </c>
      <c r="C845" s="706" t="s">
        <v>2736</v>
      </c>
      <c r="D845" s="706" t="s">
        <v>2737</v>
      </c>
      <c r="E845" s="706" t="s">
        <v>1143</v>
      </c>
      <c r="F845" s="706" t="s">
        <v>1152</v>
      </c>
      <c r="G845" s="706">
        <v>147986.73000000001</v>
      </c>
      <c r="H845" s="706">
        <v>532197.18999999994</v>
      </c>
      <c r="I845" s="706">
        <v>842661.14</v>
      </c>
      <c r="J845" s="706">
        <v>1593081.49</v>
      </c>
      <c r="K845" s="706">
        <v>1961574.24</v>
      </c>
      <c r="L845" s="706">
        <v>2121431.2999999998</v>
      </c>
      <c r="M845" s="706">
        <v>2121431.2999999998</v>
      </c>
      <c r="N845" s="706">
        <v>0</v>
      </c>
      <c r="O845" s="706">
        <v>0</v>
      </c>
      <c r="P845" s="706">
        <v>0</v>
      </c>
      <c r="Q845" s="706">
        <v>0</v>
      </c>
      <c r="R845" s="706">
        <v>0</v>
      </c>
      <c r="S845" s="706">
        <v>353571.88</v>
      </c>
      <c r="T845" s="706">
        <v>353571.88</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G63102</v>
      </c>
      <c r="AK845" s="905" t="str">
        <f t="shared" si="81"/>
        <v>COUTANT CL 1500 SIERRA</v>
      </c>
      <c r="AL845" s="905">
        <f>IFERROR(INDEX(G845:R845,1,MATCH(Parametres!$B$3,G$1:R$1,0)-1)*IF(OR(F845="L",F845="S",F845="I"),-1,1),"")</f>
        <v>1961574.24</v>
      </c>
      <c r="AM845" s="905">
        <f t="shared" si="82"/>
        <v>159857.05999999982</v>
      </c>
      <c r="AN845" s="905">
        <f>INDEX(G845:R845,1,MATCH(Parametres!$B$3,G$1:R$1,0))*IF(OR(F845="L",F845="S",F845="I"),-1,1)</f>
        <v>2121431.2999999998</v>
      </c>
      <c r="AO845" s="487" t="str">
        <f>+VLOOKUP($AJ845,Data_Validation!$A:$D,1,0)</f>
        <v>G63102</v>
      </c>
      <c r="AP845" s="487" t="str">
        <f>+VLOOKUP($AJ845,Data_Validation!$A:$D,3,0)</f>
        <v>Véhicules neufs</v>
      </c>
      <c r="AQ845" s="487" t="str">
        <f>+VLOOKUP($AJ845,Data_Validation!$A:$D,4,0)</f>
        <v>Camions détail</v>
      </c>
      <c r="AR845" s="487" t="s">
        <v>299</v>
      </c>
      <c r="AS845" s="487">
        <f>+VLOOKUP($AJ845,Data_Validation!$A:$E,5,0)</f>
        <v>0</v>
      </c>
      <c r="AT845" s="904" t="str">
        <f t="shared" si="83"/>
        <v>G63102</v>
      </c>
      <c r="AU845" s="488" t="str">
        <f t="shared" si="84"/>
        <v>COUTANT CL 1500 SIERRA</v>
      </c>
      <c r="AV845" s="899">
        <f>IFERROR(INDEX(V845:AG845,1,MATCH(Parametres!$B$3,V$1:AG$1,0)-1)*IF(OR(C845="L",C845="S",C845="I"),-1,1),"")</f>
        <v>0</v>
      </c>
      <c r="AW845" s="899">
        <f t="shared" si="85"/>
        <v>0</v>
      </c>
      <c r="AX845" s="899">
        <f>INDEX(V845:AG845,1,MATCH(Parametres!$B$3,V$1:AG$1,0))*IF(OR(C845="L",C845="S",C845="I"),-1,1)</f>
        <v>0</v>
      </c>
      <c r="AY845" s="487" t="s">
        <v>337</v>
      </c>
      <c r="AZ845" s="487">
        <f>+VLOOKUP($AJ845,Data_Validation!$A:$E,5,0)</f>
        <v>0</v>
      </c>
    </row>
    <row r="846" spans="1:52" ht="15" customHeight="1">
      <c r="A846" s="706" t="s">
        <v>1148</v>
      </c>
      <c r="B846" s="706">
        <v>2026</v>
      </c>
      <c r="C846" s="706" t="s">
        <v>2738</v>
      </c>
      <c r="D846" s="706" t="s">
        <v>2739</v>
      </c>
      <c r="E846" s="706" t="s">
        <v>1143</v>
      </c>
      <c r="F846" s="706" t="s">
        <v>1152</v>
      </c>
      <c r="G846" s="706">
        <v>108075.05</v>
      </c>
      <c r="H846" s="706">
        <v>211150.1</v>
      </c>
      <c r="I846" s="706">
        <v>211150.1</v>
      </c>
      <c r="J846" s="706">
        <v>320050.96999999997</v>
      </c>
      <c r="K846" s="706">
        <v>320050.96999999997</v>
      </c>
      <c r="L846" s="706">
        <v>413048.11</v>
      </c>
      <c r="M846" s="706">
        <v>413048.11</v>
      </c>
      <c r="N846" s="706">
        <v>0</v>
      </c>
      <c r="O846" s="706">
        <v>0</v>
      </c>
      <c r="P846" s="706">
        <v>0</v>
      </c>
      <c r="Q846" s="706">
        <v>0</v>
      </c>
      <c r="R846" s="706">
        <v>0</v>
      </c>
      <c r="S846" s="706">
        <v>68841.350000000006</v>
      </c>
      <c r="T846" s="706">
        <v>68841.350000000006</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G63103</v>
      </c>
      <c r="AK846" s="905" t="str">
        <f t="shared" si="81"/>
        <v>COUT - SIERRA EV</v>
      </c>
      <c r="AL846" s="905">
        <f>IFERROR(INDEX(G846:R846,1,MATCH(Parametres!$B$3,G$1:R$1,0)-1)*IF(OR(F846="L",F846="S",F846="I"),-1,1),"")</f>
        <v>320050.96999999997</v>
      </c>
      <c r="AM846" s="1047">
        <f t="shared" si="82"/>
        <v>92997.140000000014</v>
      </c>
      <c r="AN846" s="905">
        <f>INDEX(G846:R846,1,MATCH(Parametres!$B$3,G$1:R$1,0))*IF(OR(F846="L",F846="S",F846="I"),-1,1)</f>
        <v>413048.11</v>
      </c>
      <c r="AO846" s="487" t="str">
        <f>+VLOOKUP($AJ846,Data_Validation!$A:$D,1,0)</f>
        <v>G63103</v>
      </c>
      <c r="AP846" s="487" t="str">
        <f>+VLOOKUP($AJ846,Data_Validation!$A:$D,3,0)</f>
        <v>Véhicules neufs</v>
      </c>
      <c r="AQ846" s="487" t="str">
        <f>+VLOOKUP($AJ846,Data_Validation!$A:$D,4,0)</f>
        <v>Camions electriques</v>
      </c>
      <c r="AR846" s="487" t="s">
        <v>299</v>
      </c>
      <c r="AS846" s="487">
        <f>+VLOOKUP($AJ846,Data_Validation!$A:$E,5,0)</f>
        <v>0</v>
      </c>
      <c r="AT846" s="904" t="str">
        <f t="shared" si="83"/>
        <v>G63103</v>
      </c>
      <c r="AU846" s="488" t="str">
        <f t="shared" si="84"/>
        <v>COUT - SIERRA EV</v>
      </c>
      <c r="AV846" s="899">
        <f>IFERROR(INDEX(V846:AG846,1,MATCH(Parametres!$B$3,V$1:AG$1,0)-1)*IF(OR(C846="L",C846="S",C846="I"),-1,1),"")</f>
        <v>0</v>
      </c>
      <c r="AW846" s="899">
        <f t="shared" si="85"/>
        <v>0</v>
      </c>
      <c r="AX846" s="899">
        <f>INDEX(V846:AG846,1,MATCH(Parametres!$B$3,V$1:AG$1,0))*IF(OR(C846="L",C846="S",C846="I"),-1,1)</f>
        <v>0</v>
      </c>
      <c r="AY846" s="487" t="s">
        <v>337</v>
      </c>
      <c r="AZ846" s="487">
        <f>+VLOOKUP($AJ846,Data_Validation!$A:$E,5,0)</f>
        <v>0</v>
      </c>
    </row>
    <row r="847" spans="1:52" ht="15" customHeight="1">
      <c r="A847" s="706" t="s">
        <v>1148</v>
      </c>
      <c r="B847" s="706">
        <v>2026</v>
      </c>
      <c r="C847" s="706" t="s">
        <v>2740</v>
      </c>
      <c r="D847" s="706" t="s">
        <v>2741</v>
      </c>
      <c r="E847" s="706" t="s">
        <v>1143</v>
      </c>
      <c r="F847" s="706" t="s">
        <v>1152</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G63120</v>
      </c>
      <c r="AK847" s="905" t="str">
        <f t="shared" si="81"/>
        <v>COUT-CL 2500 SILVERAD-LOC</v>
      </c>
      <c r="AL847" s="905">
        <f>IFERROR(INDEX(G847:R847,1,MATCH(Parametres!$B$3,G$1:R$1,0)-1)*IF(OR(F847="L",F847="S",F847="I"),-1,1),"")</f>
        <v>0</v>
      </c>
      <c r="AM847" s="905">
        <f t="shared" si="82"/>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t="str">
        <f t="shared" si="83"/>
        <v>G63120</v>
      </c>
      <c r="AU847" s="488" t="str">
        <f t="shared" si="84"/>
        <v>COUT-CL 2500 SILVERAD-LOC</v>
      </c>
      <c r="AV847" s="899">
        <f>IFERROR(INDEX(V847:AG847,1,MATCH(Parametres!$B$3,V$1:AG$1,0)-1)*IF(OR(C847="L",C847="S",C847="I"),-1,1),"")</f>
        <v>0</v>
      </c>
      <c r="AW847" s="899">
        <f t="shared" si="85"/>
        <v>0</v>
      </c>
      <c r="AX847" s="899">
        <f>INDEX(V847:AG847,1,MATCH(Parametres!$B$3,V$1:AG$1,0))*IF(OR(C847="L",C847="S",C847="I"),-1,1)</f>
        <v>0</v>
      </c>
      <c r="AY847" s="487" t="s">
        <v>337</v>
      </c>
      <c r="AZ847" s="487" t="e">
        <f>+VLOOKUP($AJ847,Data_Validation!$A:$E,5,0)</f>
        <v>#N/A</v>
      </c>
    </row>
    <row r="848" spans="1:52" ht="15" customHeight="1">
      <c r="A848" s="706" t="s">
        <v>1148</v>
      </c>
      <c r="B848" s="706">
        <v>2026</v>
      </c>
      <c r="C848" s="706" t="s">
        <v>2742</v>
      </c>
      <c r="D848" s="706" t="s">
        <v>2743</v>
      </c>
      <c r="E848" s="706" t="s">
        <v>1143</v>
      </c>
      <c r="F848" s="706" t="s">
        <v>1152</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G63200</v>
      </c>
      <c r="AK848" s="905" t="str">
        <f t="shared" si="81"/>
        <v>COUT-CL 3500 SILVERADO</v>
      </c>
      <c r="AL848" s="905">
        <f>IFERROR(INDEX(G848:R848,1,MATCH(Parametres!$B$3,G$1:R$1,0)-1)*IF(OR(F848="L",F848="S",F848="I"),-1,1),"")</f>
        <v>0</v>
      </c>
      <c r="AM848" s="1047">
        <f t="shared" si="82"/>
        <v>0</v>
      </c>
      <c r="AN848" s="905">
        <f>INDEX(G848:R848,1,MATCH(Parametres!$B$3,G$1:R$1,0))*IF(OR(F848="L",F848="S",F848="I"),-1,1)</f>
        <v>0</v>
      </c>
      <c r="AO848" s="487" t="str">
        <f>+VLOOKUP($AJ848,Data_Validation!$A:$D,1,0)</f>
        <v>G63200</v>
      </c>
      <c r="AP848" s="487" t="str">
        <f>+VLOOKUP($AJ848,Data_Validation!$A:$D,3,0)</f>
        <v>Véhicules neufs</v>
      </c>
      <c r="AQ848" s="487" t="str">
        <f>+VLOOKUP($AJ848,Data_Validation!$A:$D,4,0)</f>
        <v>Camions détail</v>
      </c>
      <c r="AR848" s="487" t="s">
        <v>299</v>
      </c>
      <c r="AS848" s="487">
        <f>+VLOOKUP($AJ848,Data_Validation!$A:$E,5,0)</f>
        <v>0</v>
      </c>
      <c r="AT848" s="904" t="str">
        <f t="shared" si="83"/>
        <v>G63200</v>
      </c>
      <c r="AU848" s="488" t="str">
        <f t="shared" si="84"/>
        <v>COUT-CL 3500 SILVERADO</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customHeight="1">
      <c r="A849" s="706" t="s">
        <v>1148</v>
      </c>
      <c r="B849" s="706">
        <v>2026</v>
      </c>
      <c r="C849" s="706" t="s">
        <v>2744</v>
      </c>
      <c r="D849" s="706" t="s">
        <v>2745</v>
      </c>
      <c r="E849" s="706" t="s">
        <v>1143</v>
      </c>
      <c r="F849" s="706" t="s">
        <v>1152</v>
      </c>
      <c r="G849" s="706">
        <v>319231.27</v>
      </c>
      <c r="H849" s="706">
        <v>319231.27</v>
      </c>
      <c r="I849" s="706">
        <v>523709.44</v>
      </c>
      <c r="J849" s="706">
        <v>944789.7</v>
      </c>
      <c r="K849" s="706">
        <v>1339823.54</v>
      </c>
      <c r="L849" s="706">
        <v>1458323.17</v>
      </c>
      <c r="M849" s="706">
        <v>1458323.17</v>
      </c>
      <c r="N849" s="706">
        <v>0</v>
      </c>
      <c r="O849" s="706">
        <v>0</v>
      </c>
      <c r="P849" s="706">
        <v>0</v>
      </c>
      <c r="Q849" s="706">
        <v>0</v>
      </c>
      <c r="R849" s="706">
        <v>0</v>
      </c>
      <c r="S849" s="706">
        <v>243053.86</v>
      </c>
      <c r="T849" s="706">
        <v>243053.86</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G63202</v>
      </c>
      <c r="AK849" s="905" t="str">
        <f t="shared" si="81"/>
        <v>COUT- CL 2500 SIERRA</v>
      </c>
      <c r="AL849" s="905">
        <f>IFERROR(INDEX(G849:R849,1,MATCH(Parametres!$B$3,G$1:R$1,0)-1)*IF(OR(F849="L",F849="S",F849="I"),-1,1),"")</f>
        <v>1339823.54</v>
      </c>
      <c r="AM849" s="905">
        <f t="shared" si="82"/>
        <v>118499.62999999989</v>
      </c>
      <c r="AN849" s="905">
        <f>INDEX(G849:R849,1,MATCH(Parametres!$B$3,G$1:R$1,0))*IF(OR(F849="L",F849="S",F849="I"),-1,1)</f>
        <v>1458323.17</v>
      </c>
      <c r="AO849" s="487" t="str">
        <f>+VLOOKUP($AJ849,Data_Validation!$A:$D,1,0)</f>
        <v>G63202</v>
      </c>
      <c r="AP849" s="487" t="str">
        <f>+VLOOKUP($AJ849,Data_Validation!$A:$D,3,0)</f>
        <v>Véhicules neufs</v>
      </c>
      <c r="AQ849" s="487" t="str">
        <f>+VLOOKUP($AJ849,Data_Validation!$A:$D,4,0)</f>
        <v>Camions détail</v>
      </c>
      <c r="AR849" s="487" t="s">
        <v>299</v>
      </c>
      <c r="AS849" s="487">
        <f>+VLOOKUP($AJ849,Data_Validation!$A:$E,5,0)</f>
        <v>0</v>
      </c>
      <c r="AT849" s="904" t="str">
        <f t="shared" si="83"/>
        <v>G63202</v>
      </c>
      <c r="AU849" s="488" t="str">
        <f t="shared" si="84"/>
        <v>COUT- CL 2500 SIERRA</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2746</v>
      </c>
      <c r="D850" s="706" t="s">
        <v>2747</v>
      </c>
      <c r="E850" s="706" t="s">
        <v>1143</v>
      </c>
      <c r="F850" s="706" t="s">
        <v>1152</v>
      </c>
      <c r="G850" s="706">
        <v>215186.38</v>
      </c>
      <c r="H850" s="706">
        <v>215186.38</v>
      </c>
      <c r="I850" s="706">
        <v>323067.49</v>
      </c>
      <c r="J850" s="706">
        <v>323067.49</v>
      </c>
      <c r="K850" s="706">
        <v>323067.49</v>
      </c>
      <c r="L850" s="706">
        <v>323067.49</v>
      </c>
      <c r="M850" s="706">
        <v>323067.49</v>
      </c>
      <c r="N850" s="706">
        <v>0</v>
      </c>
      <c r="O850" s="706">
        <v>0</v>
      </c>
      <c r="P850" s="706">
        <v>0</v>
      </c>
      <c r="Q850" s="706">
        <v>0</v>
      </c>
      <c r="R850" s="706">
        <v>0</v>
      </c>
      <c r="S850" s="706">
        <v>53844.58</v>
      </c>
      <c r="T850" s="706">
        <v>53844.58</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G63203</v>
      </c>
      <c r="AK850" s="905" t="str">
        <f t="shared" si="81"/>
        <v>COUTANT - SIERRA 3500</v>
      </c>
      <c r="AL850" s="905">
        <f>IFERROR(INDEX(G850:R850,1,MATCH(Parametres!$B$3,G$1:R$1,0)-1)*IF(OR(F850="L",F850="S",F850="I"),-1,1),"")</f>
        <v>323067.49</v>
      </c>
      <c r="AM850" s="905">
        <f t="shared" si="82"/>
        <v>0</v>
      </c>
      <c r="AN850" s="905">
        <f>INDEX(G850:R850,1,MATCH(Parametres!$B$3,G$1:R$1,0))*IF(OR(F850="L",F850="S",F850="I"),-1,1)</f>
        <v>323067.49</v>
      </c>
      <c r="AO850" s="487" t="str">
        <f>+VLOOKUP($AJ850,Data_Validation!$A:$D,1,0)</f>
        <v>G63203</v>
      </c>
      <c r="AP850" s="487" t="str">
        <f>+VLOOKUP($AJ850,Data_Validation!$A:$D,3,0)</f>
        <v>Véhicules neufs</v>
      </c>
      <c r="AQ850" s="487" t="str">
        <f>+VLOOKUP($AJ850,Data_Validation!$A:$D,4,0)</f>
        <v>Camions détail</v>
      </c>
      <c r="AR850" s="487" t="s">
        <v>299</v>
      </c>
      <c r="AS850" s="487">
        <f>+VLOOKUP($AJ850,Data_Validation!$A:$E,5,0)</f>
        <v>0</v>
      </c>
      <c r="AT850" s="904" t="str">
        <f t="shared" si="83"/>
        <v>G63203</v>
      </c>
      <c r="AU850" s="488" t="str">
        <f t="shared" si="84"/>
        <v>COUTANT - SIERRA 3500</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2748</v>
      </c>
      <c r="D851" s="706" t="s">
        <v>2749</v>
      </c>
      <c r="E851" s="706" t="s">
        <v>1143</v>
      </c>
      <c r="F851" s="706" t="s">
        <v>1152</v>
      </c>
      <c r="G851" s="706">
        <v>0</v>
      </c>
      <c r="H851" s="706">
        <v>0</v>
      </c>
      <c r="I851" s="706">
        <v>0</v>
      </c>
      <c r="J851" s="706">
        <v>0</v>
      </c>
      <c r="K851" s="706">
        <v>0</v>
      </c>
      <c r="L851" s="706">
        <v>36856</v>
      </c>
      <c r="M851" s="706">
        <v>36856</v>
      </c>
      <c r="N851" s="706">
        <v>0</v>
      </c>
      <c r="O851" s="706">
        <v>0</v>
      </c>
      <c r="P851" s="706">
        <v>0</v>
      </c>
      <c r="Q851" s="706">
        <v>0</v>
      </c>
      <c r="R851" s="706">
        <v>0</v>
      </c>
      <c r="S851" s="706">
        <v>6142.67</v>
      </c>
      <c r="T851" s="706">
        <v>6142.67</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G63300</v>
      </c>
      <c r="AK851" s="905" t="str">
        <f t="shared" si="81"/>
        <v>COUT-BLAZER</v>
      </c>
      <c r="AL851" s="905">
        <f>IFERROR(INDEX(G851:R851,1,MATCH(Parametres!$B$3,G$1:R$1,0)-1)*IF(OR(F851="L",F851="S",F851="I"),-1,1),"")</f>
        <v>0</v>
      </c>
      <c r="AM851" s="1047">
        <f t="shared" si="82"/>
        <v>36856</v>
      </c>
      <c r="AN851" s="905">
        <f>INDEX(G851:R851,1,MATCH(Parametres!$B$3,G$1:R$1,0))*IF(OR(F851="L",F851="S",F851="I"),-1,1)</f>
        <v>36856</v>
      </c>
      <c r="AO851" s="487" t="str">
        <f>+VLOOKUP($AJ851,Data_Validation!$A:$D,1,0)</f>
        <v>G63300</v>
      </c>
      <c r="AP851" s="487" t="str">
        <f>+VLOOKUP($AJ851,Data_Validation!$A:$D,3,0)</f>
        <v>Véhicules neufs</v>
      </c>
      <c r="AQ851" s="487" t="str">
        <f>+VLOOKUP($AJ851,Data_Validation!$A:$D,4,0)</f>
        <v>Camions détail</v>
      </c>
      <c r="AR851" s="487" t="s">
        <v>299</v>
      </c>
      <c r="AS851" s="487">
        <f>+VLOOKUP($AJ851,Data_Validation!$A:$E,5,0)</f>
        <v>0</v>
      </c>
      <c r="AT851" s="904" t="str">
        <f t="shared" si="83"/>
        <v>G63300</v>
      </c>
      <c r="AU851" s="488" t="str">
        <f t="shared" si="84"/>
        <v>COUT-BLAZER</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customHeight="1">
      <c r="A852" s="706" t="s">
        <v>1148</v>
      </c>
      <c r="B852" s="706">
        <v>2026</v>
      </c>
      <c r="C852" s="706" t="s">
        <v>2750</v>
      </c>
      <c r="D852" s="706" t="s">
        <v>2751</v>
      </c>
      <c r="E852" s="706" t="s">
        <v>1143</v>
      </c>
      <c r="F852" s="706" t="s">
        <v>1152</v>
      </c>
      <c r="G852" s="706">
        <v>0</v>
      </c>
      <c r="H852" s="706">
        <v>0</v>
      </c>
      <c r="I852" s="706">
        <v>179333.38</v>
      </c>
      <c r="J852" s="706">
        <v>334500.34000000003</v>
      </c>
      <c r="K852" s="706">
        <v>449487.89</v>
      </c>
      <c r="L852" s="706">
        <v>449487.89</v>
      </c>
      <c r="M852" s="706">
        <v>449487.89</v>
      </c>
      <c r="N852" s="706">
        <v>0</v>
      </c>
      <c r="O852" s="706">
        <v>0</v>
      </c>
      <c r="P852" s="706">
        <v>0</v>
      </c>
      <c r="Q852" s="706">
        <v>0</v>
      </c>
      <c r="R852" s="706">
        <v>0</v>
      </c>
      <c r="S852" s="706">
        <v>74914.649999999994</v>
      </c>
      <c r="T852" s="706">
        <v>74914.649999999994</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G63301</v>
      </c>
      <c r="AK852" s="905" t="str">
        <f t="shared" si="81"/>
        <v>COUT-BLAZER EV</v>
      </c>
      <c r="AL852" s="905">
        <f>IFERROR(INDEX(G852:R852,1,MATCH(Parametres!$B$3,G$1:R$1,0)-1)*IF(OR(F852="L",F852="S",F852="I"),-1,1),"")</f>
        <v>449487.89</v>
      </c>
      <c r="AM852" s="1047">
        <f t="shared" si="82"/>
        <v>0</v>
      </c>
      <c r="AN852" s="905">
        <f>INDEX(G852:R852,1,MATCH(Parametres!$B$3,G$1:R$1,0))*IF(OR(F852="L",F852="S",F852="I"),-1,1)</f>
        <v>449487.89</v>
      </c>
      <c r="AO852" s="487" t="str">
        <f>+VLOOKUP($AJ852,Data_Validation!$A:$D,1,0)</f>
        <v>G63301</v>
      </c>
      <c r="AP852" s="487" t="str">
        <f>+VLOOKUP($AJ852,Data_Validation!$A:$D,3,0)</f>
        <v>Véhicules neufs</v>
      </c>
      <c r="AQ852" s="487" t="str">
        <f>+VLOOKUP($AJ852,Data_Validation!$A:$D,4,0)</f>
        <v>Camions electriques</v>
      </c>
      <c r="AR852" s="487" t="s">
        <v>299</v>
      </c>
      <c r="AS852" s="487">
        <f>+VLOOKUP($AJ852,Data_Validation!$A:$E,5,0)</f>
        <v>0</v>
      </c>
      <c r="AT852" s="904" t="str">
        <f t="shared" si="83"/>
        <v>G63301</v>
      </c>
      <c r="AU852" s="488" t="str">
        <f t="shared" si="84"/>
        <v>COUT-BLAZER EV</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customHeight="1">
      <c r="A853" s="706" t="s">
        <v>1148</v>
      </c>
      <c r="B853" s="706">
        <v>2026</v>
      </c>
      <c r="C853" s="706" t="s">
        <v>2752</v>
      </c>
      <c r="D853" s="706" t="s">
        <v>2753</v>
      </c>
      <c r="E853" s="706" t="s">
        <v>1143</v>
      </c>
      <c r="F853" s="706" t="s">
        <v>1152</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G63320</v>
      </c>
      <c r="AK853" s="905" t="str">
        <f t="shared" si="81"/>
        <v>COUT-CL 3500 SILVERAD-LOC</v>
      </c>
      <c r="AL853" s="905">
        <f>IFERROR(INDEX(G853:R853,1,MATCH(Parametres!$B$3,G$1:R$1,0)-1)*IF(OR(F853="L",F853="S",F853="I"),-1,1),"")</f>
        <v>0</v>
      </c>
      <c r="AM853" s="905">
        <f t="shared" si="82"/>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3"/>
        <v>G63320</v>
      </c>
      <c r="AU853" s="488" t="str">
        <f t="shared" si="84"/>
        <v>COUT-CL 3500 SILVERAD-LOC</v>
      </c>
      <c r="AV853" s="899">
        <f>IFERROR(INDEX(V853:AG853,1,MATCH(Parametres!$B$3,V$1:AG$1,0)-1)*IF(OR(C853="L",C853="S",C853="I"),-1,1),"")</f>
        <v>0</v>
      </c>
      <c r="AW853" s="899">
        <f t="shared" si="85"/>
        <v>0</v>
      </c>
      <c r="AX853" s="899">
        <f>INDEX(V853:AG853,1,MATCH(Parametres!$B$3,V$1:AG$1,0))*IF(OR(C853="L",C853="S",C853="I"),-1,1)</f>
        <v>0</v>
      </c>
      <c r="AY853" s="487" t="s">
        <v>337</v>
      </c>
      <c r="AZ853" s="487" t="e">
        <f>+VLOOKUP($AJ853,Data_Validation!$A:$E,5,0)</f>
        <v>#N/A</v>
      </c>
    </row>
    <row r="854" spans="1:52" ht="15" customHeight="1">
      <c r="A854" s="706" t="s">
        <v>1148</v>
      </c>
      <c r="B854" s="706">
        <v>2026</v>
      </c>
      <c r="C854" s="706" t="s">
        <v>2754</v>
      </c>
      <c r="D854" s="706" t="s">
        <v>2755</v>
      </c>
      <c r="E854" s="706" t="s">
        <v>1143</v>
      </c>
      <c r="F854" s="706" t="s">
        <v>1152</v>
      </c>
      <c r="G854" s="706">
        <v>82360.75</v>
      </c>
      <c r="H854" s="706">
        <v>169932.97</v>
      </c>
      <c r="I854" s="706">
        <v>216193.02</v>
      </c>
      <c r="J854" s="706">
        <v>256081.92000000001</v>
      </c>
      <c r="K854" s="706">
        <v>302252.92</v>
      </c>
      <c r="L854" s="706">
        <v>345066.99</v>
      </c>
      <c r="M854" s="706">
        <v>345066.99</v>
      </c>
      <c r="N854" s="706">
        <v>0</v>
      </c>
      <c r="O854" s="706">
        <v>0</v>
      </c>
      <c r="P854" s="706">
        <v>0</v>
      </c>
      <c r="Q854" s="706">
        <v>0</v>
      </c>
      <c r="R854" s="706">
        <v>0</v>
      </c>
      <c r="S854" s="706">
        <v>57511.17</v>
      </c>
      <c r="T854" s="706">
        <v>57511.17</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G63400</v>
      </c>
      <c r="AK854" s="905" t="str">
        <f t="shared" si="81"/>
        <v>COUTANT EQUINOX</v>
      </c>
      <c r="AL854" s="905">
        <f>IFERROR(INDEX(G854:R854,1,MATCH(Parametres!$B$3,G$1:R$1,0)-1)*IF(OR(F854="L",F854="S",F854="I"),-1,1),"")</f>
        <v>302252.92</v>
      </c>
      <c r="AM854" s="905">
        <f t="shared" si="82"/>
        <v>42814.070000000007</v>
      </c>
      <c r="AN854" s="905">
        <f>INDEX(G854:R854,1,MATCH(Parametres!$B$3,G$1:R$1,0))*IF(OR(F854="L",F854="S",F854="I"),-1,1)</f>
        <v>345066.99</v>
      </c>
      <c r="AO854" s="487" t="str">
        <f>+VLOOKUP($AJ854,Data_Validation!$A:$D,1,0)</f>
        <v>G63400</v>
      </c>
      <c r="AP854" s="487" t="str">
        <f>+VLOOKUP($AJ854,Data_Validation!$A:$D,3,0)</f>
        <v>Véhicules neufs</v>
      </c>
      <c r="AQ854" s="487" t="str">
        <f>+VLOOKUP($AJ854,Data_Validation!$A:$D,4,0)</f>
        <v>Camions détail</v>
      </c>
      <c r="AR854" s="487" t="s">
        <v>299</v>
      </c>
      <c r="AS854" s="487">
        <f>+VLOOKUP($AJ854,Data_Validation!$A:$E,5,0)</f>
        <v>0</v>
      </c>
      <c r="AT854" s="904" t="str">
        <f t="shared" si="83"/>
        <v>G63400</v>
      </c>
      <c r="AU854" s="488" t="str">
        <f t="shared" si="84"/>
        <v>COUTANT EQUINOX</v>
      </c>
      <c r="AV854" s="899">
        <f>IFERROR(INDEX(V854:AG854,1,MATCH(Parametres!$B$3,V$1:AG$1,0)-1)*IF(OR(C854="L",C854="S",C854="I"),-1,1),"")</f>
        <v>0</v>
      </c>
      <c r="AW854" s="899">
        <f t="shared" si="85"/>
        <v>0</v>
      </c>
      <c r="AX854" s="899">
        <f>INDEX(V854:AG854,1,MATCH(Parametres!$B$3,V$1:AG$1,0))*IF(OR(C854="L",C854="S",C854="I"),-1,1)</f>
        <v>0</v>
      </c>
      <c r="AY854" s="487" t="s">
        <v>337</v>
      </c>
      <c r="AZ854" s="487">
        <f>+VLOOKUP($AJ854,Data_Validation!$A:$E,5,0)</f>
        <v>0</v>
      </c>
    </row>
    <row r="855" spans="1:52" ht="15" customHeight="1">
      <c r="A855" s="706" t="s">
        <v>1148</v>
      </c>
      <c r="B855" s="706">
        <v>2026</v>
      </c>
      <c r="C855" s="706" t="s">
        <v>2756</v>
      </c>
      <c r="D855" s="706" t="s">
        <v>2757</v>
      </c>
      <c r="E855" s="706" t="s">
        <v>1143</v>
      </c>
      <c r="F855" s="706" t="s">
        <v>1152</v>
      </c>
      <c r="G855" s="706">
        <v>0</v>
      </c>
      <c r="H855" s="706">
        <v>109230.59</v>
      </c>
      <c r="I855" s="706">
        <v>343158.24</v>
      </c>
      <c r="J855" s="706">
        <v>1393624.66</v>
      </c>
      <c r="K855" s="706">
        <v>1540456.79</v>
      </c>
      <c r="L855" s="706">
        <v>1589977.28</v>
      </c>
      <c r="M855" s="706">
        <v>1589977.28</v>
      </c>
      <c r="N855" s="706">
        <v>0</v>
      </c>
      <c r="O855" s="706">
        <v>0</v>
      </c>
      <c r="P855" s="706">
        <v>0</v>
      </c>
      <c r="Q855" s="706">
        <v>0</v>
      </c>
      <c r="R855" s="706">
        <v>0</v>
      </c>
      <c r="S855" s="706">
        <v>264996.21000000002</v>
      </c>
      <c r="T855" s="706">
        <v>264996.21000000002</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G63401</v>
      </c>
      <c r="AK855" s="905" t="str">
        <f t="shared" si="81"/>
        <v>COUT - EQUINOX EV</v>
      </c>
      <c r="AL855" s="905">
        <f>IFERROR(INDEX(G855:R855,1,MATCH(Parametres!$B$3,G$1:R$1,0)-1)*IF(OR(F855="L",F855="S",F855="I"),-1,1),"")</f>
        <v>1540456.79</v>
      </c>
      <c r="AM855" s="905">
        <f t="shared" si="82"/>
        <v>49520.489999999991</v>
      </c>
      <c r="AN855" s="905">
        <f>INDEX(G855:R855,1,MATCH(Parametres!$B$3,G$1:R$1,0))*IF(OR(F855="L",F855="S",F855="I"),-1,1)</f>
        <v>1589977.28</v>
      </c>
      <c r="AO855" s="487" t="str">
        <f>+VLOOKUP($AJ855,Data_Validation!$A:$D,1,0)</f>
        <v>G63401</v>
      </c>
      <c r="AP855" s="487" t="str">
        <f>+VLOOKUP($AJ855,Data_Validation!$A:$D,3,0)</f>
        <v>Véhicules neufs</v>
      </c>
      <c r="AQ855" s="487" t="str">
        <f>+VLOOKUP($AJ855,Data_Validation!$A:$D,4,0)</f>
        <v>Camions electriques</v>
      </c>
      <c r="AR855" s="487" t="s">
        <v>299</v>
      </c>
      <c r="AS855" s="487">
        <f>+VLOOKUP($AJ855,Data_Validation!$A:$E,5,0)</f>
        <v>0</v>
      </c>
      <c r="AT855" s="904" t="str">
        <f t="shared" si="83"/>
        <v>G63401</v>
      </c>
      <c r="AU855" s="488" t="str">
        <f t="shared" si="84"/>
        <v>COUT - EQUINOX EV</v>
      </c>
      <c r="AV855" s="899">
        <f>IFERROR(INDEX(V855:AG855,1,MATCH(Parametres!$B$3,V$1:AG$1,0)-1)*IF(OR(C855="L",C855="S",C855="I"),-1,1),"")</f>
        <v>0</v>
      </c>
      <c r="AW855" s="899">
        <f t="shared" si="85"/>
        <v>0</v>
      </c>
      <c r="AX855" s="899">
        <f>INDEX(V855:AG855,1,MATCH(Parametres!$B$3,V$1:AG$1,0))*IF(OR(C855="L",C855="S",C855="I"),-1,1)</f>
        <v>0</v>
      </c>
      <c r="AY855" s="487" t="s">
        <v>337</v>
      </c>
      <c r="AZ855" s="487">
        <f>+VLOOKUP($AJ855,Data_Validation!$A:$E,5,0)</f>
        <v>0</v>
      </c>
    </row>
    <row r="856" spans="1:52" ht="15" customHeight="1">
      <c r="A856" s="706" t="s">
        <v>1148</v>
      </c>
      <c r="B856" s="706">
        <v>2026</v>
      </c>
      <c r="C856" s="706" t="s">
        <v>2758</v>
      </c>
      <c r="D856" s="706" t="s">
        <v>2759</v>
      </c>
      <c r="E856" s="706" t="s">
        <v>1143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0"/>
        <v>G63420</v>
      </c>
      <c r="AK856" s="905" t="str">
        <f t="shared" si="81"/>
        <v>COUT-TRACKER         -LOC</v>
      </c>
      <c r="AL856" s="905">
        <f>IFERROR(INDEX(G856:R856,1,MATCH(Parametres!$B$3,G$1:R$1,0)-1)*IF(OR(F856="L",F856="S",F856="I"),-1,1),"")</f>
        <v>0</v>
      </c>
      <c r="AM856" s="905">
        <f t="shared" si="82"/>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3"/>
        <v>G63420</v>
      </c>
      <c r="AU856" s="488" t="str">
        <f t="shared" si="84"/>
        <v>COUT-TRACKER         -LOC</v>
      </c>
      <c r="AV856" s="899">
        <f>IFERROR(INDEX(V856:AG856,1,MATCH(Parametres!$B$3,V$1:AG$1,0)-1)*IF(OR(C856="L",C856="S",C856="I"),-1,1),"")</f>
        <v>0</v>
      </c>
      <c r="AW856" s="899">
        <f t="shared" si="85"/>
        <v>0</v>
      </c>
      <c r="AX856" s="899">
        <f>INDEX(V856:AG856,1,MATCH(Parametres!$B$3,V$1:AG$1,0))*IF(OR(C856="L",C856="S",C856="I"),-1,1)</f>
        <v>0</v>
      </c>
      <c r="AY856" s="487" t="s">
        <v>337</v>
      </c>
      <c r="AZ856" s="487" t="e">
        <f>+VLOOKUP($AJ856,Data_Validation!$A:$E,5,0)</f>
        <v>#N/A</v>
      </c>
    </row>
    <row r="857" spans="1:52" ht="15" customHeight="1">
      <c r="A857" s="706" t="s">
        <v>1148</v>
      </c>
      <c r="B857" s="706">
        <v>2026</v>
      </c>
      <c r="C857" s="706" t="s">
        <v>2760</v>
      </c>
      <c r="D857" s="706" t="s">
        <v>2761</v>
      </c>
      <c r="E857" s="706" t="s">
        <v>1143</v>
      </c>
      <c r="F857" s="706" t="s">
        <v>1152</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0"/>
        <v>G63500</v>
      </c>
      <c r="AK857" s="905" t="str">
        <f t="shared" si="81"/>
        <v>COUT CHEV CITY</v>
      </c>
      <c r="AL857" s="905">
        <f>IFERROR(INDEX(G857:R857,1,MATCH(Parametres!$B$3,G$1:R$1,0)-1)*IF(OR(F857="L",F857="S",F857="I"),-1,1),"")</f>
        <v>0</v>
      </c>
      <c r="AM857" s="905">
        <f t="shared" si="82"/>
        <v>0</v>
      </c>
      <c r="AN857" s="905">
        <f>INDEX(G857:R857,1,MATCH(Parametres!$B$3,G$1:R$1,0))*IF(OR(F857="L",F857="S",F857="I"),-1,1)</f>
        <v>0</v>
      </c>
      <c r="AO857" s="487" t="str">
        <f>+VLOOKUP($AJ857,Data_Validation!$A:$D,1,0)</f>
        <v>G63500</v>
      </c>
      <c r="AP857" s="487" t="str">
        <f>+VLOOKUP($AJ857,Data_Validation!$A:$D,3,0)</f>
        <v>Véhicules neufs</v>
      </c>
      <c r="AQ857" s="487" t="str">
        <f>+VLOOKUP($AJ857,Data_Validation!$A:$D,4,0)</f>
        <v>Camions détail</v>
      </c>
      <c r="AR857" s="487" t="s">
        <v>299</v>
      </c>
      <c r="AS857" s="487">
        <f>+VLOOKUP($AJ857,Data_Validation!$A:$E,5,0)</f>
        <v>0</v>
      </c>
      <c r="AT857" s="904" t="str">
        <f t="shared" si="83"/>
        <v>G63500</v>
      </c>
      <c r="AU857" s="488" t="str">
        <f t="shared" si="84"/>
        <v>COUT CHEV CITY</v>
      </c>
      <c r="AV857" s="899">
        <f>IFERROR(INDEX(V857:AG857,1,MATCH(Parametres!$B$3,V$1:AG$1,0)-1)*IF(OR(C857="L",C857="S",C857="I"),-1,1),"")</f>
        <v>0</v>
      </c>
      <c r="AW857" s="899">
        <f t="shared" si="85"/>
        <v>0</v>
      </c>
      <c r="AX857" s="899">
        <f>INDEX(V857:AG857,1,MATCH(Parametres!$B$3,V$1:AG$1,0))*IF(OR(C857="L",C857="S",C857="I"),-1,1)</f>
        <v>0</v>
      </c>
      <c r="AY857" s="487" t="s">
        <v>337</v>
      </c>
      <c r="AZ857" s="487">
        <f>+VLOOKUP($AJ857,Data_Validation!$A:$E,5,0)</f>
        <v>0</v>
      </c>
    </row>
    <row r="858" spans="1:52" ht="15" customHeight="1">
      <c r="A858" s="706" t="s">
        <v>1148</v>
      </c>
      <c r="B858" s="706">
        <v>2026</v>
      </c>
      <c r="C858" s="706" t="s">
        <v>2762</v>
      </c>
      <c r="D858" s="706" t="s">
        <v>2763</v>
      </c>
      <c r="E858" s="706" t="s">
        <v>1143</v>
      </c>
      <c r="F858" s="706" t="s">
        <v>1152</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0"/>
        <v>G63501</v>
      </c>
      <c r="AK858" s="905" t="str">
        <f t="shared" si="81"/>
        <v>COUT - HUMMER EV SUV</v>
      </c>
      <c r="AL858" s="905">
        <f>IFERROR(INDEX(G858:R858,1,MATCH(Parametres!$B$3,G$1:R$1,0)-1)*IF(OR(F858="L",F858="S",F858="I"),-1,1),"")</f>
        <v>0</v>
      </c>
      <c r="AM858" s="905">
        <f t="shared" si="82"/>
        <v>0</v>
      </c>
      <c r="AN858" s="905">
        <f>INDEX(G858:R858,1,MATCH(Parametres!$B$3,G$1:R$1,0))*IF(OR(F858="L",F858="S",F858="I"),-1,1)</f>
        <v>0</v>
      </c>
      <c r="AO858" s="487" t="str">
        <f>+VLOOKUP($AJ858,Data_Validation!$A:$D,1,0)</f>
        <v>G63501</v>
      </c>
      <c r="AP858" s="487" t="str">
        <f>+VLOOKUP($AJ858,Data_Validation!$A:$D,3,0)</f>
        <v>Véhicules neufs</v>
      </c>
      <c r="AQ858" s="487" t="str">
        <f>+VLOOKUP($AJ858,Data_Validation!$A:$D,4,0)</f>
        <v>Camions electriques</v>
      </c>
      <c r="AR858" s="487" t="s">
        <v>299</v>
      </c>
      <c r="AS858" s="487">
        <f>+VLOOKUP($AJ858,Data_Validation!$A:$E,5,0)</f>
        <v>0</v>
      </c>
      <c r="AT858" s="904" t="str">
        <f t="shared" si="83"/>
        <v>G63501</v>
      </c>
      <c r="AU858" s="488" t="str">
        <f t="shared" si="84"/>
        <v>COUT - HUMMER EV SUV</v>
      </c>
      <c r="AV858" s="899">
        <f>IFERROR(INDEX(V858:AG858,1,MATCH(Parametres!$B$3,V$1:AG$1,0)-1)*IF(OR(C858="L",C858="S",C858="I"),-1,1),"")</f>
        <v>0</v>
      </c>
      <c r="AW858" s="899">
        <f t="shared" si="85"/>
        <v>0</v>
      </c>
      <c r="AX858" s="899">
        <f>INDEX(V858:AG858,1,MATCH(Parametres!$B$3,V$1:AG$1,0))*IF(OR(C858="L",C858="S",C858="I"),-1,1)</f>
        <v>0</v>
      </c>
      <c r="AY858" s="487" t="s">
        <v>337</v>
      </c>
      <c r="AZ858" s="487">
        <f>+VLOOKUP($AJ858,Data_Validation!$A:$E,5,0)</f>
        <v>0</v>
      </c>
    </row>
    <row r="859" spans="1:52" ht="15" customHeight="1">
      <c r="A859" s="706" t="s">
        <v>1148</v>
      </c>
      <c r="B859" s="706">
        <v>2026</v>
      </c>
      <c r="C859" s="706" t="s">
        <v>2764</v>
      </c>
      <c r="D859" s="706" t="s">
        <v>2765</v>
      </c>
      <c r="E859" s="706" t="s">
        <v>1143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6">C859</f>
        <v>G63520</v>
      </c>
      <c r="AK859" s="905" t="str">
        <f t="shared" ref="AK859:AK922" si="87">D859</f>
        <v>COUT-SSR             -LOC</v>
      </c>
      <c r="AL859" s="905">
        <f>IFERROR(INDEX(G859:R859,1,MATCH(Parametres!$B$3,G$1:R$1,0)-1)*IF(OR(F859="L",F859="S",F859="I"),-1,1),"")</f>
        <v>0</v>
      </c>
      <c r="AM859" s="905">
        <f t="shared" ref="AM859:AM922" si="88">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89">C859</f>
        <v>G63520</v>
      </c>
      <c r="AU859" s="488" t="str">
        <f t="shared" ref="AU859:AU922" si="90">D859</f>
        <v>COUT-SSR             -LOC</v>
      </c>
      <c r="AV859" s="899">
        <f>IFERROR(INDEX(V859:AG859,1,MATCH(Parametres!$B$3,V$1:AG$1,0)-1)*IF(OR(C859="L",C859="S",C859="I"),-1,1),"")</f>
        <v>0</v>
      </c>
      <c r="AW859" s="899">
        <f t="shared" ref="AW859:AW922" si="91">AX859-AV859</f>
        <v>0</v>
      </c>
      <c r="AX859" s="899">
        <f>INDEX(V859:AG859,1,MATCH(Parametres!$B$3,V$1:AG$1,0))*IF(OR(C859="L",C859="S",C859="I"),-1,1)</f>
        <v>0</v>
      </c>
      <c r="AY859" s="487" t="s">
        <v>337</v>
      </c>
      <c r="AZ859" s="487" t="e">
        <f>+VLOOKUP($AJ859,Data_Validation!$A:$E,5,0)</f>
        <v>#N/A</v>
      </c>
    </row>
    <row r="860" spans="1:52" ht="15" customHeight="1">
      <c r="A860" s="706" t="s">
        <v>1148</v>
      </c>
      <c r="B860" s="706">
        <v>2026</v>
      </c>
      <c r="C860" s="706" t="s">
        <v>2766</v>
      </c>
      <c r="D860" s="706" t="s">
        <v>2767</v>
      </c>
      <c r="E860" s="706" t="s">
        <v>1143</v>
      </c>
      <c r="F860" s="706" t="s">
        <v>1152</v>
      </c>
      <c r="G860" s="706">
        <v>39482.629999999997</v>
      </c>
      <c r="H860" s="706">
        <v>72151.679999999993</v>
      </c>
      <c r="I860" s="706">
        <v>72151.679999999993</v>
      </c>
      <c r="J860" s="706">
        <v>72151.679999999993</v>
      </c>
      <c r="K860" s="706">
        <v>109007.67999999999</v>
      </c>
      <c r="L860" s="706">
        <v>109007.67999999999</v>
      </c>
      <c r="M860" s="706">
        <v>109007.67999999999</v>
      </c>
      <c r="N860" s="706">
        <v>0</v>
      </c>
      <c r="O860" s="706">
        <v>0</v>
      </c>
      <c r="P860" s="706">
        <v>0</v>
      </c>
      <c r="Q860" s="706">
        <v>0</v>
      </c>
      <c r="R860" s="706">
        <v>0</v>
      </c>
      <c r="S860" s="706">
        <v>18167.95</v>
      </c>
      <c r="T860" s="706">
        <v>18167.95</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G63600</v>
      </c>
      <c r="AK860" s="905" t="str">
        <f t="shared" si="87"/>
        <v>COUT-TRAIL BLAZER</v>
      </c>
      <c r="AL860" s="905">
        <f>IFERROR(INDEX(G860:R860,1,MATCH(Parametres!$B$3,G$1:R$1,0)-1)*IF(OR(F860="L",F860="S",F860="I"),-1,1),"")</f>
        <v>109007.67999999999</v>
      </c>
      <c r="AM860" s="905">
        <f t="shared" si="88"/>
        <v>0</v>
      </c>
      <c r="AN860" s="905">
        <f>INDEX(G860:R860,1,MATCH(Parametres!$B$3,G$1:R$1,0))*IF(OR(F860="L",F860="S",F860="I"),-1,1)</f>
        <v>109007.67999999999</v>
      </c>
      <c r="AO860" s="487" t="str">
        <f>+VLOOKUP($AJ860,Data_Validation!$A:$D,1,0)</f>
        <v>G63600</v>
      </c>
      <c r="AP860" s="487" t="str">
        <f>+VLOOKUP($AJ860,Data_Validation!$A:$D,3,0)</f>
        <v>Véhicules neufs</v>
      </c>
      <c r="AQ860" s="487" t="str">
        <f>+VLOOKUP($AJ860,Data_Validation!$A:$D,4,0)</f>
        <v>Camions détail</v>
      </c>
      <c r="AR860" s="487" t="s">
        <v>299</v>
      </c>
      <c r="AS860" s="487">
        <f>+VLOOKUP($AJ860,Data_Validation!$A:$E,5,0)</f>
        <v>0</v>
      </c>
      <c r="AT860" s="904" t="str">
        <f t="shared" si="89"/>
        <v>G63600</v>
      </c>
      <c r="AU860" s="488" t="str">
        <f t="shared" si="90"/>
        <v>COUT-TRAIL BLAZER</v>
      </c>
      <c r="AV860" s="899">
        <f>IFERROR(INDEX(V860:AG860,1,MATCH(Parametres!$B$3,V$1:AG$1,0)-1)*IF(OR(C860="L",C860="S",C860="I"),-1,1),"")</f>
        <v>0</v>
      </c>
      <c r="AW860" s="899">
        <f t="shared" si="91"/>
        <v>0</v>
      </c>
      <c r="AX860" s="899">
        <f>INDEX(V860:AG860,1,MATCH(Parametres!$B$3,V$1:AG$1,0))*IF(OR(C860="L",C860="S",C860="I"),-1,1)</f>
        <v>0</v>
      </c>
      <c r="AY860" s="487" t="s">
        <v>337</v>
      </c>
      <c r="AZ860" s="487">
        <f>+VLOOKUP($AJ860,Data_Validation!$A:$E,5,0)</f>
        <v>0</v>
      </c>
    </row>
    <row r="861" spans="1:52" ht="15" customHeight="1">
      <c r="A861" s="706" t="s">
        <v>1148</v>
      </c>
      <c r="B861" s="706">
        <v>2026</v>
      </c>
      <c r="C861" s="706" t="s">
        <v>2768</v>
      </c>
      <c r="D861" s="706" t="s">
        <v>2769</v>
      </c>
      <c r="E861" s="706" t="s">
        <v>1143</v>
      </c>
      <c r="F861" s="706" t="s">
        <v>1152</v>
      </c>
      <c r="G861" s="706">
        <v>0</v>
      </c>
      <c r="H861" s="706">
        <v>0</v>
      </c>
      <c r="I861" s="706">
        <v>63923</v>
      </c>
      <c r="J861" s="706">
        <v>128882.14</v>
      </c>
      <c r="K861" s="706">
        <v>193939.26</v>
      </c>
      <c r="L861" s="706">
        <v>193939.26</v>
      </c>
      <c r="M861" s="706">
        <v>193939.26</v>
      </c>
      <c r="N861" s="706">
        <v>0</v>
      </c>
      <c r="O861" s="706">
        <v>0</v>
      </c>
      <c r="P861" s="706">
        <v>0</v>
      </c>
      <c r="Q861" s="706">
        <v>0</v>
      </c>
      <c r="R861" s="706">
        <v>0</v>
      </c>
      <c r="S861" s="706">
        <v>32323.21</v>
      </c>
      <c r="T861" s="706">
        <v>32323.21</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G63602</v>
      </c>
      <c r="AK861" s="905" t="str">
        <f t="shared" si="87"/>
        <v>COÛT- GMC  ACADIA</v>
      </c>
      <c r="AL861" s="905">
        <f>IFERROR(INDEX(G861:R861,1,MATCH(Parametres!$B$3,G$1:R$1,0)-1)*IF(OR(F861="L",F861="S",F861="I"),-1,1),"")</f>
        <v>193939.26</v>
      </c>
      <c r="AM861" s="905">
        <f t="shared" si="88"/>
        <v>0</v>
      </c>
      <c r="AN861" s="905">
        <f>INDEX(G861:R861,1,MATCH(Parametres!$B$3,G$1:R$1,0))*IF(OR(F861="L",F861="S",F861="I"),-1,1)</f>
        <v>193939.26</v>
      </c>
      <c r="AO861" s="487" t="str">
        <f>+VLOOKUP($AJ861,Data_Validation!$A:$D,1,0)</f>
        <v>G63602</v>
      </c>
      <c r="AP861" s="487" t="str">
        <f>+VLOOKUP($AJ861,Data_Validation!$A:$D,3,0)</f>
        <v>Véhicules neufs</v>
      </c>
      <c r="AQ861" s="487" t="str">
        <f>+VLOOKUP($AJ861,Data_Validation!$A:$D,4,0)</f>
        <v>Camions détail</v>
      </c>
      <c r="AR861" s="487" t="s">
        <v>299</v>
      </c>
      <c r="AS861" s="487">
        <f>+VLOOKUP($AJ861,Data_Validation!$A:$E,5,0)</f>
        <v>0</v>
      </c>
      <c r="AT861" s="904" t="str">
        <f t="shared" si="89"/>
        <v>G63602</v>
      </c>
      <c r="AU861" s="488" t="str">
        <f t="shared" si="90"/>
        <v>COÛT- GMC  ACADIA</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customHeight="1">
      <c r="A862" s="706" t="s">
        <v>1148</v>
      </c>
      <c r="B862" s="706">
        <v>2026</v>
      </c>
      <c r="C862" s="706" t="s">
        <v>2770</v>
      </c>
      <c r="D862" s="706" t="s">
        <v>2771</v>
      </c>
      <c r="E862" s="706" t="s">
        <v>1143</v>
      </c>
      <c r="F862" s="706" t="s">
        <v>1152</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G63800</v>
      </c>
      <c r="AK862" s="905" t="str">
        <f t="shared" si="87"/>
        <v>COUT-CHEV CAMION AUTRE</v>
      </c>
      <c r="AL862" s="905">
        <f>IFERROR(INDEX(G862:R862,1,MATCH(Parametres!$B$3,G$1:R$1,0)-1)*IF(OR(F862="L",F862="S",F862="I"),-1,1),"")</f>
        <v>0</v>
      </c>
      <c r="AM862" s="905">
        <f t="shared" si="88"/>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89"/>
        <v>G63800</v>
      </c>
      <c r="AU862" s="488" t="str">
        <f t="shared" si="90"/>
        <v>COUT-CHEV CAMION AUTRE</v>
      </c>
      <c r="AV862" s="899">
        <f>IFERROR(INDEX(V862:AG862,1,MATCH(Parametres!$B$3,V$1:AG$1,0)-1)*IF(OR(C862="L",C862="S",C862="I"),-1,1),"")</f>
        <v>0</v>
      </c>
      <c r="AW862" s="899">
        <f t="shared" si="91"/>
        <v>0</v>
      </c>
      <c r="AX862" s="899">
        <f>INDEX(V862:AG862,1,MATCH(Parametres!$B$3,V$1:AG$1,0))*IF(OR(C862="L",C862="S",C862="I"),-1,1)</f>
        <v>0</v>
      </c>
      <c r="AY862" s="487" t="s">
        <v>337</v>
      </c>
      <c r="AZ862" s="487" t="e">
        <f>+VLOOKUP($AJ862,Data_Validation!$A:$E,5,0)</f>
        <v>#N/A</v>
      </c>
    </row>
    <row r="863" spans="1:52" ht="15" customHeight="1">
      <c r="A863" s="706" t="s">
        <v>1148</v>
      </c>
      <c r="B863" s="706">
        <v>2026</v>
      </c>
      <c r="C863" s="706" t="s">
        <v>2772</v>
      </c>
      <c r="D863" s="706" t="s">
        <v>2773</v>
      </c>
      <c r="E863" s="706" t="s">
        <v>1143</v>
      </c>
      <c r="F863" s="706" t="s">
        <v>1152</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G63820</v>
      </c>
      <c r="AK863" s="905" t="str">
        <f t="shared" si="87"/>
        <v>COUT-CHEV CAMION AUTR-LOC</v>
      </c>
      <c r="AL863" s="905">
        <f>IFERROR(INDEX(G863:R863,1,MATCH(Parametres!$B$3,G$1:R$1,0)-1)*IF(OR(F863="L",F863="S",F863="I"),-1,1),"")</f>
        <v>0</v>
      </c>
      <c r="AM863" s="905">
        <f t="shared" si="88"/>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89"/>
        <v>G63820</v>
      </c>
      <c r="AU863" s="488" t="str">
        <f t="shared" si="90"/>
        <v>COUT-CHEV CAMION AUTR-LOC</v>
      </c>
      <c r="AV863" s="899">
        <f>IFERROR(INDEX(V863:AG863,1,MATCH(Parametres!$B$3,V$1:AG$1,0)-1)*IF(OR(C863="L",C863="S",C863="I"),-1,1),"")</f>
        <v>0</v>
      </c>
      <c r="AW863" s="899">
        <f t="shared" si="91"/>
        <v>0</v>
      </c>
      <c r="AX863" s="899">
        <f>INDEX(V863:AG863,1,MATCH(Parametres!$B$3,V$1:AG$1,0))*IF(OR(C863="L",C863="S",C863="I"),-1,1)</f>
        <v>0</v>
      </c>
      <c r="AY863" s="487" t="s">
        <v>337</v>
      </c>
      <c r="AZ863" s="487" t="e">
        <f>+VLOOKUP($AJ863,Data_Validation!$A:$E,5,0)</f>
        <v>#N/A</v>
      </c>
    </row>
    <row r="864" spans="1:52" ht="15" customHeight="1">
      <c r="A864" s="706" t="s">
        <v>1148</v>
      </c>
      <c r="B864" s="706">
        <v>2026</v>
      </c>
      <c r="C864" s="706" t="s">
        <v>2774</v>
      </c>
      <c r="D864" s="706" t="s">
        <v>2775</v>
      </c>
      <c r="E864" s="706" t="s">
        <v>1143</v>
      </c>
      <c r="F864" s="706" t="s">
        <v>1152</v>
      </c>
      <c r="G864" s="706">
        <v>7273301.1699999999</v>
      </c>
      <c r="H864" s="706">
        <v>16037449.73</v>
      </c>
      <c r="I864" s="706">
        <v>23829594.66</v>
      </c>
      <c r="J864" s="706">
        <v>34920405.240000002</v>
      </c>
      <c r="K864" s="706">
        <v>46295704.060000002</v>
      </c>
      <c r="L864" s="706">
        <v>55008871.770000003</v>
      </c>
      <c r="M864" s="706">
        <v>55671791.409999996</v>
      </c>
      <c r="N864" s="706">
        <v>0</v>
      </c>
      <c r="O864" s="706">
        <v>0</v>
      </c>
      <c r="P864" s="706">
        <v>0</v>
      </c>
      <c r="Q864" s="706">
        <v>0</v>
      </c>
      <c r="R864" s="706">
        <v>0</v>
      </c>
      <c r="S864" s="706">
        <v>9168145.3000000007</v>
      </c>
      <c r="T864" s="706">
        <v>9168145.3000000007</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G64000</v>
      </c>
      <c r="AK864" s="905" t="str">
        <f t="shared" si="87"/>
        <v>COÛTANT PARC CAMIONS</v>
      </c>
      <c r="AL864" s="905">
        <f>IFERROR(INDEX(G864:R864,1,MATCH(Parametres!$B$3,G$1:R$1,0)-1)*IF(OR(F864="L",F864="S",F864="I"),-1,1),"")</f>
        <v>46295704.060000002</v>
      </c>
      <c r="AM864" s="905">
        <f t="shared" si="88"/>
        <v>8713167.7100000009</v>
      </c>
      <c r="AN864" s="905">
        <f>INDEX(G864:R864,1,MATCH(Parametres!$B$3,G$1:R$1,0))*IF(OR(F864="L",F864="S",F864="I"),-1,1)</f>
        <v>55008871.770000003</v>
      </c>
      <c r="AO864" s="487" t="str">
        <f>+VLOOKUP($AJ864,Data_Validation!$A:$D,1,0)</f>
        <v>G64000</v>
      </c>
      <c r="AP864" s="487" t="str">
        <f>+VLOOKUP($AJ864,Data_Validation!$A:$D,3,0)</f>
        <v>Véhicules neufs</v>
      </c>
      <c r="AQ864" s="487" t="str">
        <f>+VLOOKUP($AJ864,Data_Validation!$A:$D,4,0)</f>
        <v>Flottes</v>
      </c>
      <c r="AR864" s="487" t="s">
        <v>299</v>
      </c>
      <c r="AS864" s="487">
        <f>+VLOOKUP($AJ864,Data_Validation!$A:$E,5,0)</f>
        <v>0</v>
      </c>
      <c r="AT864" s="904" t="str">
        <f t="shared" si="89"/>
        <v>G64000</v>
      </c>
      <c r="AU864" s="488" t="str">
        <f t="shared" si="90"/>
        <v>COÛTANT PARC CAMIONS</v>
      </c>
      <c r="AV864" s="899">
        <f>IFERROR(INDEX(V864:AG864,1,MATCH(Parametres!$B$3,V$1:AG$1,0)-1)*IF(OR(C864="L",C864="S",C864="I"),-1,1),"")</f>
        <v>0</v>
      </c>
      <c r="AW864" s="899">
        <f t="shared" si="91"/>
        <v>0</v>
      </c>
      <c r="AX864" s="899">
        <f>INDEX(V864:AG864,1,MATCH(Parametres!$B$3,V$1:AG$1,0))*IF(OR(C864="L",C864="S",C864="I"),-1,1)</f>
        <v>0</v>
      </c>
      <c r="AY864" s="487" t="s">
        <v>337</v>
      </c>
      <c r="AZ864" s="487">
        <f>+VLOOKUP($AJ864,Data_Validation!$A:$E,5,0)</f>
        <v>0</v>
      </c>
    </row>
    <row r="865" spans="1:52" ht="15" customHeight="1">
      <c r="A865" s="706" t="s">
        <v>1148</v>
      </c>
      <c r="B865" s="706">
        <v>2026</v>
      </c>
      <c r="C865" s="706" t="s">
        <v>2776</v>
      </c>
      <c r="D865" s="706" t="s">
        <v>2777</v>
      </c>
      <c r="E865" s="706" t="s">
        <v>1143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G64100</v>
      </c>
      <c r="AK865" s="905" t="str">
        <f t="shared" si="87"/>
        <v>COUT-CAMIONS INTERNE</v>
      </c>
      <c r="AL865" s="905">
        <f>IFERROR(INDEX(G865:R865,1,MATCH(Parametres!$B$3,G$1:R$1,0)-1)*IF(OR(F865="L",F865="S",F865="I"),-1,1),"")</f>
        <v>0</v>
      </c>
      <c r="AM865" s="905">
        <f t="shared" si="88"/>
        <v>0</v>
      </c>
      <c r="AN865" s="905">
        <f>INDEX(G865:R865,1,MATCH(Parametres!$B$3,G$1:R$1,0))*IF(OR(F865="L",F865="S",F865="I"),-1,1)</f>
        <v>0</v>
      </c>
      <c r="AO865" s="487" t="str">
        <f>+VLOOKUP($AJ865,Data_Validation!$A:$D,1,0)</f>
        <v>G64100</v>
      </c>
      <c r="AP865" s="487" t="str">
        <f>+VLOOKUP($AJ865,Data_Validation!$A:$D,3,0)</f>
        <v>Véhicules neufs</v>
      </c>
      <c r="AQ865" s="487" t="str">
        <f>+VLOOKUP($AJ865,Data_Validation!$A:$D,4,0)</f>
        <v>Flottes</v>
      </c>
      <c r="AR865" s="487" t="s">
        <v>299</v>
      </c>
      <c r="AS865" s="487">
        <f>+VLOOKUP($AJ865,Data_Validation!$A:$E,5,0)</f>
        <v>0</v>
      </c>
      <c r="AT865" s="904" t="str">
        <f t="shared" si="89"/>
        <v>G64100</v>
      </c>
      <c r="AU865" s="488" t="str">
        <f t="shared" si="90"/>
        <v>COUT-CAMIONS INTERNE</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customHeight="1">
      <c r="A866" s="706" t="s">
        <v>1148</v>
      </c>
      <c r="B866" s="706">
        <v>2026</v>
      </c>
      <c r="C866" s="706" t="s">
        <v>3331</v>
      </c>
      <c r="D866" s="706" t="s">
        <v>3332</v>
      </c>
      <c r="E866" s="706" t="s">
        <v>333</v>
      </c>
      <c r="F866" s="706" t="s">
        <v>1152</v>
      </c>
      <c r="G866" s="706">
        <v>0</v>
      </c>
      <c r="H866" s="706">
        <v>0</v>
      </c>
      <c r="I866" s="706">
        <v>0</v>
      </c>
      <c r="J866" s="706">
        <v>0</v>
      </c>
      <c r="K866" s="706">
        <v>0</v>
      </c>
      <c r="L866" s="706">
        <v>0</v>
      </c>
      <c r="M866" s="706">
        <v>0</v>
      </c>
      <c r="N866" s="706">
        <v>0</v>
      </c>
      <c r="O866" s="706">
        <v>0</v>
      </c>
      <c r="P866" s="706">
        <v>0</v>
      </c>
      <c r="Q866" s="706">
        <v>0</v>
      </c>
      <c r="R866" s="706">
        <v>0</v>
      </c>
      <c r="S866" s="706">
        <v>0</v>
      </c>
      <c r="T866" s="706">
        <v>0</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G64140</v>
      </c>
      <c r="AK866" s="905" t="str">
        <f t="shared" si="87"/>
        <v>COUT - M.O LOURD -SAAQ</v>
      </c>
      <c r="AL866" s="905">
        <f>IFERROR(INDEX(G866:R866,1,MATCH(Parametres!$B$3,G$1:R$1,0)-1)*IF(OR(F866="L",F866="S",F866="I"),-1,1),"")</f>
        <v>0</v>
      </c>
      <c r="AM866" s="905">
        <f t="shared" si="88"/>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t="str">
        <f t="shared" si="89"/>
        <v>G64140</v>
      </c>
      <c r="AU866" s="488" t="str">
        <f t="shared" si="90"/>
        <v>COUT - M.O LOURD -SAAQ</v>
      </c>
      <c r="AV866" s="899">
        <f>IFERROR(INDEX(V866:AG866,1,MATCH(Parametres!$B$3,V$1:AG$1,0)-1)*IF(OR(C866="L",C866="S",C866="I"),-1,1),"")</f>
        <v>0</v>
      </c>
      <c r="AW866" s="899">
        <f t="shared" si="91"/>
        <v>0</v>
      </c>
      <c r="AX866" s="899">
        <f>INDEX(V866:AG866,1,MATCH(Parametres!$B$3,V$1:AG$1,0))*IF(OR(C866="L",C866="S",C866="I"),-1,1)</f>
        <v>0</v>
      </c>
      <c r="AY866" s="487" t="s">
        <v>337</v>
      </c>
      <c r="AZ866" s="487" t="e">
        <f>+VLOOKUP($AJ866,Data_Validation!$A:$E,5,0)</f>
        <v>#N/A</v>
      </c>
    </row>
    <row r="867" spans="1:52" ht="15" customHeight="1">
      <c r="A867" s="706" t="s">
        <v>1148</v>
      </c>
      <c r="B867" s="706">
        <v>2026</v>
      </c>
      <c r="C867" s="706" t="s">
        <v>2778</v>
      </c>
      <c r="D867" s="706" t="s">
        <v>2779</v>
      </c>
      <c r="E867" s="706" t="s">
        <v>333</v>
      </c>
      <c r="F867" s="706" t="s">
        <v>1152</v>
      </c>
      <c r="G867" s="706">
        <v>34529.760000000002</v>
      </c>
      <c r="H867" s="706">
        <v>53306.91</v>
      </c>
      <c r="I867" s="706">
        <v>79327.56</v>
      </c>
      <c r="J867" s="706">
        <v>136672.56</v>
      </c>
      <c r="K867" s="706">
        <v>162823.12</v>
      </c>
      <c r="L867" s="706">
        <v>190841.3</v>
      </c>
      <c r="M867" s="706">
        <v>196715.3</v>
      </c>
      <c r="N867" s="706">
        <v>0</v>
      </c>
      <c r="O867" s="706">
        <v>0</v>
      </c>
      <c r="P867" s="706">
        <v>0</v>
      </c>
      <c r="Q867" s="706">
        <v>0</v>
      </c>
      <c r="R867" s="706">
        <v>0</v>
      </c>
      <c r="S867" s="706">
        <v>31806.880000000001</v>
      </c>
      <c r="T867" s="706">
        <v>31806.880000000001</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G64300</v>
      </c>
      <c r="AK867" s="905" t="str">
        <f t="shared" si="87"/>
        <v>COUT-PLAN PROTECTION</v>
      </c>
      <c r="AL867" s="905">
        <f>IFERROR(INDEX(G867:R867,1,MATCH(Parametres!$B$3,G$1:R$1,0)-1)*IF(OR(F867="L",F867="S",F867="I"),-1,1),"")</f>
        <v>162823.12</v>
      </c>
      <c r="AM867" s="905">
        <f t="shared" si="88"/>
        <v>28018.179999999993</v>
      </c>
      <c r="AN867" s="905">
        <f>INDEX(G867:R867,1,MATCH(Parametres!$B$3,G$1:R$1,0))*IF(OR(F867="L",F867="S",F867="I"),-1,1)</f>
        <v>190841.3</v>
      </c>
      <c r="AO867" s="487" t="str">
        <f>+VLOOKUP($AJ867,Data_Validation!$A:$D,1,0)</f>
        <v>G64300</v>
      </c>
      <c r="AP867" s="487" t="str">
        <f>+VLOOKUP($AJ867,Data_Validation!$A:$D,3,0)</f>
        <v>Véhicules neufs</v>
      </c>
      <c r="AQ867" s="487" t="str">
        <f>+VLOOKUP($AJ867,Data_Validation!$A:$D,4,0)</f>
        <v>Rev. Protections</v>
      </c>
      <c r="AR867" s="487" t="s">
        <v>299</v>
      </c>
      <c r="AS867" s="487">
        <f>+VLOOKUP($AJ867,Data_Validation!$A:$E,5,0)</f>
        <v>0</v>
      </c>
      <c r="AT867" s="904" t="str">
        <f t="shared" si="89"/>
        <v>G64300</v>
      </c>
      <c r="AU867" s="488" t="str">
        <f t="shared" si="90"/>
        <v>COUT-PLAN PROTECTION</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customHeight="1">
      <c r="A868" s="706" t="s">
        <v>1148</v>
      </c>
      <c r="B868" s="706">
        <v>2026</v>
      </c>
      <c r="C868" s="706" t="s">
        <v>2780</v>
      </c>
      <c r="D868" s="706" t="s">
        <v>2781</v>
      </c>
      <c r="E868" s="706" t="s">
        <v>333</v>
      </c>
      <c r="F868" s="706" t="s">
        <v>1152</v>
      </c>
      <c r="G868" s="706">
        <v>0</v>
      </c>
      <c r="H868" s="706">
        <v>0</v>
      </c>
      <c r="I868" s="706">
        <v>0</v>
      </c>
      <c r="J868" s="706">
        <v>0</v>
      </c>
      <c r="K868" s="706">
        <v>0</v>
      </c>
      <c r="L868" s="706">
        <v>0</v>
      </c>
      <c r="M868" s="706">
        <v>0</v>
      </c>
      <c r="N868" s="706">
        <v>0</v>
      </c>
      <c r="O868" s="706">
        <v>0</v>
      </c>
      <c r="P868" s="706">
        <v>0</v>
      </c>
      <c r="Q868" s="706">
        <v>0</v>
      </c>
      <c r="R868" s="706">
        <v>0</v>
      </c>
      <c r="S868" s="706">
        <v>0</v>
      </c>
      <c r="T868" s="706">
        <v>0</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G64400</v>
      </c>
      <c r="AK868" s="905" t="str">
        <f t="shared" si="87"/>
        <v>COÛTANT PROTECTION PLUS</v>
      </c>
      <c r="AL868" s="905">
        <f>IFERROR(INDEX(G868:R868,1,MATCH(Parametres!$B$3,G$1:R$1,0)-1)*IF(OR(F868="L",F868="S",F868="I"),-1,1),"")</f>
        <v>0</v>
      </c>
      <c r="AM868" s="905">
        <f t="shared" si="88"/>
        <v>0</v>
      </c>
      <c r="AN868" s="905">
        <f>INDEX(G868:R868,1,MATCH(Parametres!$B$3,G$1:R$1,0))*IF(OR(F868="L",F868="S",F868="I"),-1,1)</f>
        <v>0</v>
      </c>
      <c r="AO868" s="487" t="str">
        <f>+VLOOKUP($AJ868,Data_Validation!$A:$D,1,0)</f>
        <v>G64400</v>
      </c>
      <c r="AP868" s="487" t="str">
        <f>+VLOOKUP($AJ868,Data_Validation!$A:$D,3,0)</f>
        <v>Véhicules neufs</v>
      </c>
      <c r="AQ868" s="487" t="str">
        <f>+VLOOKUP($AJ868,Data_Validation!$A:$D,4,0)</f>
        <v>Rev. Protections</v>
      </c>
      <c r="AR868" s="487" t="s">
        <v>299</v>
      </c>
      <c r="AS868" s="487">
        <f>+VLOOKUP($AJ868,Data_Validation!$A:$E,5,0)</f>
        <v>0</v>
      </c>
      <c r="AT868" s="904" t="str">
        <f t="shared" si="89"/>
        <v>G64400</v>
      </c>
      <c r="AU868" s="488" t="str">
        <f t="shared" si="90"/>
        <v>COÛTANT PROTECTION PLUS</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2782</v>
      </c>
      <c r="D869" s="706" t="s">
        <v>2783</v>
      </c>
      <c r="E869" s="706" t="s">
        <v>333</v>
      </c>
      <c r="F869" s="706" t="s">
        <v>1152</v>
      </c>
      <c r="G869" s="706">
        <v>600.12</v>
      </c>
      <c r="H869" s="706">
        <v>1014.6</v>
      </c>
      <c r="I869" s="706">
        <v>1618.72</v>
      </c>
      <c r="J869" s="706">
        <v>3268.99</v>
      </c>
      <c r="K869" s="706">
        <v>6581.72</v>
      </c>
      <c r="L869" s="706">
        <v>8073.78</v>
      </c>
      <c r="M869" s="706">
        <v>9250.84</v>
      </c>
      <c r="N869" s="706">
        <v>0</v>
      </c>
      <c r="O869" s="706">
        <v>0</v>
      </c>
      <c r="P869" s="706">
        <v>0</v>
      </c>
      <c r="Q869" s="706">
        <v>0</v>
      </c>
      <c r="R869" s="706">
        <v>0</v>
      </c>
      <c r="S869" s="706">
        <v>1345.63</v>
      </c>
      <c r="T869" s="706">
        <v>1345.63</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G64501</v>
      </c>
      <c r="AK869" s="905" t="str">
        <f t="shared" si="87"/>
        <v>COUT-ANTIROUILLE</v>
      </c>
      <c r="AL869" s="905">
        <f>IFERROR(INDEX(G869:R869,1,MATCH(Parametres!$B$3,G$1:R$1,0)-1)*IF(OR(F869="L",F869="S",F869="I"),-1,1),"")</f>
        <v>6581.72</v>
      </c>
      <c r="AM869" s="905">
        <f t="shared" si="88"/>
        <v>1492.0599999999995</v>
      </c>
      <c r="AN869" s="905">
        <f>INDEX(G869:R869,1,MATCH(Parametres!$B$3,G$1:R$1,0))*IF(OR(F869="L",F869="S",F869="I"),-1,1)</f>
        <v>8073.78</v>
      </c>
      <c r="AO869" s="487" t="str">
        <f>+VLOOKUP($AJ869,Data_Validation!$A:$D,1,0)</f>
        <v>G64501</v>
      </c>
      <c r="AP869" s="487" t="str">
        <f>+VLOOKUP($AJ869,Data_Validation!$A:$D,3,0)</f>
        <v>Véhicules neufs</v>
      </c>
      <c r="AQ869" s="487" t="str">
        <f>+VLOOKUP($AJ869,Data_Validation!$A:$D,4,0)</f>
        <v>Rev. Autres</v>
      </c>
      <c r="AR869" s="487" t="s">
        <v>299</v>
      </c>
      <c r="AS869" s="487">
        <f>+VLOOKUP($AJ869,Data_Validation!$A:$E,5,0)</f>
        <v>0</v>
      </c>
      <c r="AT869" s="904" t="str">
        <f t="shared" si="89"/>
        <v>G64501</v>
      </c>
      <c r="AU869" s="488" t="str">
        <f t="shared" si="90"/>
        <v>COUT-ANTIROUILLE</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2784</v>
      </c>
      <c r="D870" s="706" t="s">
        <v>2392</v>
      </c>
      <c r="E870" s="706" t="s">
        <v>333</v>
      </c>
      <c r="F870" s="706" t="s">
        <v>1152</v>
      </c>
      <c r="G870" s="706">
        <v>231.14</v>
      </c>
      <c r="H870" s="706">
        <v>940.47</v>
      </c>
      <c r="I870" s="706">
        <v>778.47</v>
      </c>
      <c r="J870" s="706">
        <v>1525.75</v>
      </c>
      <c r="K870" s="706">
        <v>2854.78</v>
      </c>
      <c r="L870" s="706">
        <v>4784.18</v>
      </c>
      <c r="M870" s="706">
        <v>5500.38</v>
      </c>
      <c r="N870" s="706">
        <v>0</v>
      </c>
      <c r="O870" s="706">
        <v>0</v>
      </c>
      <c r="P870" s="706">
        <v>0</v>
      </c>
      <c r="Q870" s="706">
        <v>0</v>
      </c>
      <c r="R870" s="706">
        <v>0</v>
      </c>
      <c r="S870" s="706">
        <v>797.36</v>
      </c>
      <c r="T870" s="706">
        <v>797.36</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G64503</v>
      </c>
      <c r="AK870" s="905" t="str">
        <f t="shared" si="87"/>
        <v>V.TEINTÉE-PEINTURE-TISSUS</v>
      </c>
      <c r="AL870" s="905">
        <f>IFERROR(INDEX(G870:R870,1,MATCH(Parametres!$B$3,G$1:R$1,0)-1)*IF(OR(F870="L",F870="S",F870="I"),-1,1),"")</f>
        <v>2854.78</v>
      </c>
      <c r="AM870" s="905">
        <f t="shared" si="88"/>
        <v>1929.4</v>
      </c>
      <c r="AN870" s="905">
        <f>INDEX(G870:R870,1,MATCH(Parametres!$B$3,G$1:R$1,0))*IF(OR(F870="L",F870="S",F870="I"),-1,1)</f>
        <v>4784.18</v>
      </c>
      <c r="AO870" s="487" t="str">
        <f>+VLOOKUP($AJ870,Data_Validation!$A:$D,1,0)</f>
        <v>G64503</v>
      </c>
      <c r="AP870" s="487" t="str">
        <f>+VLOOKUP($AJ870,Data_Validation!$A:$D,3,0)</f>
        <v>Véhicules neufs</v>
      </c>
      <c r="AQ870" s="487" t="str">
        <f>+VLOOKUP($AJ870,Data_Validation!$A:$D,4,0)</f>
        <v>Rev. Autres</v>
      </c>
      <c r="AR870" s="487" t="s">
        <v>299</v>
      </c>
      <c r="AS870" s="487">
        <f>+VLOOKUP($AJ870,Data_Validation!$A:$E,5,0)</f>
        <v>0</v>
      </c>
      <c r="AT870" s="904" t="str">
        <f t="shared" si="89"/>
        <v>G64503</v>
      </c>
      <c r="AU870" s="488" t="str">
        <f t="shared" si="90"/>
        <v>V.TEINTÉE-PEINTURE-TISSUS</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customHeight="1">
      <c r="A871" s="706" t="s">
        <v>1148</v>
      </c>
      <c r="B871" s="706">
        <v>2026</v>
      </c>
      <c r="C871" s="706" t="s">
        <v>2785</v>
      </c>
      <c r="D871" s="706" t="s">
        <v>2786</v>
      </c>
      <c r="E871" s="706" t="s">
        <v>333</v>
      </c>
      <c r="F871" s="706" t="s">
        <v>1152</v>
      </c>
      <c r="G871" s="706">
        <v>0</v>
      </c>
      <c r="H871" s="706">
        <v>2838.5</v>
      </c>
      <c r="I871" s="706">
        <v>4779.7700000000004</v>
      </c>
      <c r="J871" s="706">
        <v>6961.67</v>
      </c>
      <c r="K871" s="706">
        <v>6961.67</v>
      </c>
      <c r="L871" s="706">
        <v>6961.67</v>
      </c>
      <c r="M871" s="706">
        <v>6961.67</v>
      </c>
      <c r="N871" s="706">
        <v>0</v>
      </c>
      <c r="O871" s="706">
        <v>0</v>
      </c>
      <c r="P871" s="706">
        <v>0</v>
      </c>
      <c r="Q871" s="706">
        <v>0</v>
      </c>
      <c r="R871" s="706">
        <v>0</v>
      </c>
      <c r="S871" s="706">
        <v>1160.28</v>
      </c>
      <c r="T871" s="706">
        <v>1160.28</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G64504</v>
      </c>
      <c r="AK871" s="905" t="str">
        <f t="shared" si="87"/>
        <v>COUT-VALEUR REMPLACEMENT</v>
      </c>
      <c r="AL871" s="905">
        <f>IFERROR(INDEX(G871:R871,1,MATCH(Parametres!$B$3,G$1:R$1,0)-1)*IF(OR(F871="L",F871="S",F871="I"),-1,1),"")</f>
        <v>6961.67</v>
      </c>
      <c r="AM871" s="1047">
        <f t="shared" si="88"/>
        <v>0</v>
      </c>
      <c r="AN871" s="905">
        <f>INDEX(G871:R871,1,MATCH(Parametres!$B$3,G$1:R$1,0))*IF(OR(F871="L",F871="S",F871="I"),-1,1)</f>
        <v>6961.67</v>
      </c>
      <c r="AO871" s="487" t="str">
        <f>+VLOOKUP($AJ871,Data_Validation!$A:$D,1,0)</f>
        <v>G64504</v>
      </c>
      <c r="AP871" s="487" t="str">
        <f>+VLOOKUP($AJ871,Data_Validation!$A:$D,3,0)</f>
        <v>Véhicules neufs</v>
      </c>
      <c r="AQ871" s="487" t="str">
        <f>+VLOOKUP($AJ871,Data_Validation!$A:$D,4,0)</f>
        <v>Rev. Protections</v>
      </c>
      <c r="AR871" s="487" t="s">
        <v>299</v>
      </c>
      <c r="AS871" s="487">
        <f>+VLOOKUP($AJ871,Data_Validation!$A:$E,5,0)</f>
        <v>0</v>
      </c>
      <c r="AT871" s="904" t="str">
        <f t="shared" si="89"/>
        <v>G64504</v>
      </c>
      <c r="AU871" s="488" t="str">
        <f t="shared" si="90"/>
        <v>COUT-VALEUR REMPLACEMENT</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customHeight="1">
      <c r="A872" s="706" t="s">
        <v>1148</v>
      </c>
      <c r="B872" s="706">
        <v>2026</v>
      </c>
      <c r="C872" s="706" t="s">
        <v>2787</v>
      </c>
      <c r="D872" s="706" t="s">
        <v>2788</v>
      </c>
      <c r="E872" s="706" t="s">
        <v>333</v>
      </c>
      <c r="F872" s="706" t="s">
        <v>1152</v>
      </c>
      <c r="G872" s="706">
        <v>2360.92</v>
      </c>
      <c r="H872" s="706">
        <v>4670.92</v>
      </c>
      <c r="I872" s="706">
        <v>6700.24</v>
      </c>
      <c r="J872" s="706">
        <v>9714.4</v>
      </c>
      <c r="K872" s="706">
        <v>13158.88</v>
      </c>
      <c r="L872" s="706">
        <v>14463.4</v>
      </c>
      <c r="M872" s="706">
        <v>14788.4</v>
      </c>
      <c r="N872" s="706">
        <v>0</v>
      </c>
      <c r="O872" s="706">
        <v>0</v>
      </c>
      <c r="P872" s="706">
        <v>0</v>
      </c>
      <c r="Q872" s="706">
        <v>0</v>
      </c>
      <c r="R872" s="706">
        <v>0</v>
      </c>
      <c r="S872" s="706">
        <v>2410.5700000000002</v>
      </c>
      <c r="T872" s="706">
        <v>2410.5700000000002</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G64505</v>
      </c>
      <c r="AK872" s="905" t="str">
        <f t="shared" si="87"/>
        <v>COUT-ANTIVOL ET TAG</v>
      </c>
      <c r="AL872" s="905">
        <f>IFERROR(INDEX(G872:R872,1,MATCH(Parametres!$B$3,G$1:R$1,0)-1)*IF(OR(F872="L",F872="S",F872="I"),-1,1),"")</f>
        <v>13158.88</v>
      </c>
      <c r="AM872" s="905">
        <f t="shared" si="88"/>
        <v>1304.5200000000004</v>
      </c>
      <c r="AN872" s="905">
        <f>INDEX(G872:R872,1,MATCH(Parametres!$B$3,G$1:R$1,0))*IF(OR(F872="L",F872="S",F872="I"),-1,1)</f>
        <v>14463.4</v>
      </c>
      <c r="AO872" s="487" t="str">
        <f>+VLOOKUP($AJ872,Data_Validation!$A:$D,1,0)</f>
        <v>G64505</v>
      </c>
      <c r="AP872" s="487" t="str">
        <f>+VLOOKUP($AJ872,Data_Validation!$A:$D,3,0)</f>
        <v>Véhicules neufs</v>
      </c>
      <c r="AQ872" s="487" t="str">
        <f>+VLOOKUP($AJ872,Data_Validation!$A:$D,4,0)</f>
        <v>Rev. Autres</v>
      </c>
      <c r="AR872" s="487" t="s">
        <v>299</v>
      </c>
      <c r="AS872" s="487">
        <f>+VLOOKUP($AJ872,Data_Validation!$A:$E,5,0)</f>
        <v>0</v>
      </c>
      <c r="AT872" s="904" t="str">
        <f t="shared" si="89"/>
        <v>G64505</v>
      </c>
      <c r="AU872" s="488" t="str">
        <f t="shared" si="90"/>
        <v>COUT-ANTIVOL ET TAG</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2789</v>
      </c>
      <c r="D873" s="706" t="s">
        <v>2790</v>
      </c>
      <c r="E873" s="706" t="s">
        <v>1143</v>
      </c>
      <c r="F873" s="706" t="s">
        <v>1152</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G64600</v>
      </c>
      <c r="AK873" s="905" t="str">
        <f t="shared" si="87"/>
        <v>COUT-AUTO OCC.DET.OPTIMUM</v>
      </c>
      <c r="AL873" s="905">
        <f>IFERROR(INDEX(G873:R873,1,MATCH(Parametres!$B$3,G$1:R$1,0)-1)*IF(OR(F873="L",F873="S",F873="I"),-1,1),"")</f>
        <v>0</v>
      </c>
      <c r="AM873" s="905">
        <f t="shared" si="88"/>
        <v>0</v>
      </c>
      <c r="AN873" s="905">
        <f>INDEX(G873:R873,1,MATCH(Parametres!$B$3,G$1:R$1,0))*IF(OR(F873="L",F873="S",F873="I"),-1,1)</f>
        <v>0</v>
      </c>
      <c r="AO873" s="487" t="str">
        <f>+VLOOKUP($AJ873,Data_Validation!$A:$D,1,0)</f>
        <v>G64600</v>
      </c>
      <c r="AP873" s="487" t="str">
        <f>+VLOOKUP($AJ873,Data_Validation!$A:$D,3,0)</f>
        <v>Véhicules usagés</v>
      </c>
      <c r="AQ873" s="487" t="str">
        <f>+VLOOKUP($AJ873,Data_Validation!$A:$D,4,0)</f>
        <v>Certifié</v>
      </c>
      <c r="AR873" s="487" t="s">
        <v>299</v>
      </c>
      <c r="AS873" s="487">
        <f>+VLOOKUP($AJ873,Data_Validation!$A:$E,5,0)</f>
        <v>0</v>
      </c>
      <c r="AT873" s="904" t="str">
        <f t="shared" si="89"/>
        <v>G64600</v>
      </c>
      <c r="AU873" s="488" t="str">
        <f t="shared" si="90"/>
        <v>COUT-AUTO OCC.DET.OPTIMUM</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customHeight="1">
      <c r="A874" s="706" t="s">
        <v>1148</v>
      </c>
      <c r="B874" s="706">
        <v>2026</v>
      </c>
      <c r="C874" s="706" t="s">
        <v>2791</v>
      </c>
      <c r="D874" s="706" t="s">
        <v>3333</v>
      </c>
      <c r="E874" s="706" t="s">
        <v>1143</v>
      </c>
      <c r="F874" s="706" t="s">
        <v>1152</v>
      </c>
      <c r="G874" s="706">
        <v>85546.39</v>
      </c>
      <c r="H874" s="706">
        <v>148258.85999999999</v>
      </c>
      <c r="I874" s="706">
        <v>190675.95</v>
      </c>
      <c r="J874" s="706">
        <v>285157.03000000003</v>
      </c>
      <c r="K874" s="706">
        <v>386436.24</v>
      </c>
      <c r="L874" s="706">
        <v>462445.61</v>
      </c>
      <c r="M874" s="706">
        <v>472193.16</v>
      </c>
      <c r="N874" s="706">
        <v>0</v>
      </c>
      <c r="O874" s="706">
        <v>0</v>
      </c>
      <c r="P874" s="706">
        <v>0</v>
      </c>
      <c r="Q874" s="706">
        <v>0</v>
      </c>
      <c r="R874" s="706">
        <v>0</v>
      </c>
      <c r="S874" s="706">
        <v>77074.27</v>
      </c>
      <c r="T874" s="706">
        <v>77074.27</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G64601</v>
      </c>
      <c r="AK874" s="905" t="str">
        <f t="shared" si="87"/>
        <v>COUT-AUTO OCC.GM N-CERT</v>
      </c>
      <c r="AL874" s="905">
        <f>IFERROR(INDEX(G874:R874,1,MATCH(Parametres!$B$3,G$1:R$1,0)-1)*IF(OR(F874="L",F874="S",F874="I"),-1,1),"")</f>
        <v>386436.24</v>
      </c>
      <c r="AM874" s="905">
        <f t="shared" si="88"/>
        <v>76009.37</v>
      </c>
      <c r="AN874" s="905">
        <f>INDEX(G874:R874,1,MATCH(Parametres!$B$3,G$1:R$1,0))*IF(OR(F874="L",F874="S",F874="I"),-1,1)</f>
        <v>462445.61</v>
      </c>
      <c r="AO874" s="487" t="str">
        <f>+VLOOKUP($AJ874,Data_Validation!$A:$D,1,0)</f>
        <v>G64601</v>
      </c>
      <c r="AP874" s="487" t="str">
        <f>+VLOOKUP($AJ874,Data_Validation!$A:$D,3,0)</f>
        <v>Véhicules usagés</v>
      </c>
      <c r="AQ874" s="487" t="str">
        <f>+VLOOKUP($AJ874,Data_Validation!$A:$D,4,0)</f>
        <v>Non Certifié</v>
      </c>
      <c r="AR874" s="487" t="s">
        <v>299</v>
      </c>
      <c r="AS874" s="487">
        <f>+VLOOKUP($AJ874,Data_Validation!$A:$E,5,0)</f>
        <v>0</v>
      </c>
      <c r="AT874" s="904" t="str">
        <f t="shared" si="89"/>
        <v>G64601</v>
      </c>
      <c r="AU874" s="488" t="str">
        <f t="shared" si="90"/>
        <v>COUT-AUTO OCC.GM N-CERT</v>
      </c>
      <c r="AV874" s="899">
        <f>IFERROR(INDEX(V874:AG874,1,MATCH(Parametres!$B$3,V$1:AG$1,0)-1)*IF(OR(C874="L",C874="S",C874="I"),-1,1),"")</f>
        <v>0</v>
      </c>
      <c r="AW874" s="899">
        <f t="shared" si="91"/>
        <v>0</v>
      </c>
      <c r="AX874" s="899">
        <f>INDEX(V874:AG874,1,MATCH(Parametres!$B$3,V$1:AG$1,0))*IF(OR(C874="L",C874="S",C874="I"),-1,1)</f>
        <v>0</v>
      </c>
      <c r="AY874" s="487" t="s">
        <v>337</v>
      </c>
      <c r="AZ874" s="487">
        <f>+VLOOKUP($AJ874,Data_Validation!$A:$E,5,0)</f>
        <v>0</v>
      </c>
    </row>
    <row r="875" spans="1:52" ht="15" customHeight="1">
      <c r="A875" s="706" t="s">
        <v>1148</v>
      </c>
      <c r="B875" s="706">
        <v>2026</v>
      </c>
      <c r="C875" s="706" t="s">
        <v>3174</v>
      </c>
      <c r="D875" s="706" t="s">
        <v>3175</v>
      </c>
      <c r="E875" s="706" t="s">
        <v>1143</v>
      </c>
      <c r="F875" s="706" t="s">
        <v>1152</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G64602</v>
      </c>
      <c r="AK875" s="905" t="str">
        <f t="shared" si="87"/>
        <v>COUT-AUTO AUTRE MARQ</v>
      </c>
      <c r="AL875" s="905">
        <f>IFERROR(INDEX(G875:R875,1,MATCH(Parametres!$B$3,G$1:R$1,0)-1)*IF(OR(F875="L",F875="S",F875="I"),-1,1),"")</f>
        <v>0</v>
      </c>
      <c r="AM875" s="905">
        <f t="shared" si="88"/>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89"/>
        <v>G64602</v>
      </c>
      <c r="AU875" s="488" t="str">
        <f t="shared" si="90"/>
        <v>COUT-AUTO AUTRE MARQ</v>
      </c>
      <c r="AV875" s="899">
        <f>IFERROR(INDEX(V875:AG875,1,MATCH(Parametres!$B$3,V$1:AG$1,0)-1)*IF(OR(C875="L",C875="S",C875="I"),-1,1),"")</f>
        <v>0</v>
      </c>
      <c r="AW875" s="899">
        <f t="shared" si="91"/>
        <v>0</v>
      </c>
      <c r="AX875" s="899">
        <f>INDEX(V875:AG875,1,MATCH(Parametres!$B$3,V$1:AG$1,0))*IF(OR(C875="L",C875="S",C875="I"),-1,1)</f>
        <v>0</v>
      </c>
      <c r="AY875" s="487" t="s">
        <v>337</v>
      </c>
      <c r="AZ875" s="487" t="e">
        <f>+VLOOKUP($AJ875,Data_Validation!$A:$E,5,0)</f>
        <v>#N/A</v>
      </c>
    </row>
    <row r="876" spans="1:52" ht="15" customHeight="1">
      <c r="A876" s="706" t="s">
        <v>1148</v>
      </c>
      <c r="B876" s="706">
        <v>2026</v>
      </c>
      <c r="C876" s="706" t="s">
        <v>3176</v>
      </c>
      <c r="D876" s="706" t="s">
        <v>3177</v>
      </c>
      <c r="E876" s="706" t="s">
        <v>1143</v>
      </c>
      <c r="F876" s="706" t="s">
        <v>1152</v>
      </c>
      <c r="G876" s="706">
        <v>0</v>
      </c>
      <c r="H876" s="706">
        <v>0</v>
      </c>
      <c r="I876" s="706">
        <v>0</v>
      </c>
      <c r="J876" s="706">
        <v>0</v>
      </c>
      <c r="K876" s="706">
        <v>0</v>
      </c>
      <c r="L876" s="706">
        <v>7217.34</v>
      </c>
      <c r="M876" s="706">
        <v>7217.34</v>
      </c>
      <c r="N876" s="706">
        <v>0</v>
      </c>
      <c r="O876" s="706">
        <v>0</v>
      </c>
      <c r="P876" s="706">
        <v>0</v>
      </c>
      <c r="Q876" s="706">
        <v>0</v>
      </c>
      <c r="R876" s="706">
        <v>0</v>
      </c>
      <c r="S876" s="706">
        <v>1202.8900000000001</v>
      </c>
      <c r="T876" s="706">
        <v>1202.8900000000001</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G64603</v>
      </c>
      <c r="AK876" s="905" t="str">
        <f t="shared" si="87"/>
        <v>COUT-RACHAT BAIL AUTO</v>
      </c>
      <c r="AL876" s="905">
        <f>IFERROR(INDEX(G876:R876,1,MATCH(Parametres!$B$3,G$1:R$1,0)-1)*IF(OR(F876="L",F876="S",F876="I"),-1,1),"")</f>
        <v>0</v>
      </c>
      <c r="AM876" s="905">
        <f t="shared" si="88"/>
        <v>7217.34</v>
      </c>
      <c r="AN876" s="905">
        <f>INDEX(G876:R876,1,MATCH(Parametres!$B$3,G$1:R$1,0))*IF(OR(F876="L",F876="S",F876="I"),-1,1)</f>
        <v>7217.34</v>
      </c>
      <c r="AO876" s="487" t="str">
        <f>+VLOOKUP($AJ876,Data_Validation!$A:$D,1,0)</f>
        <v>G64603</v>
      </c>
      <c r="AP876" s="487" t="str">
        <f>+VLOOKUP($AJ876,Data_Validation!$A:$D,3,0)</f>
        <v>Véhicules usagés</v>
      </c>
      <c r="AQ876" s="487" t="str">
        <f>+VLOOKUP($AJ876,Data_Validation!$A:$D,4,0)</f>
        <v>Rachat bail</v>
      </c>
      <c r="AR876" s="487" t="s">
        <v>299</v>
      </c>
      <c r="AS876" s="487">
        <f>+VLOOKUP($AJ876,Data_Validation!$A:$E,5,0)</f>
        <v>0</v>
      </c>
      <c r="AT876" s="904" t="str">
        <f t="shared" si="89"/>
        <v>G64603</v>
      </c>
      <c r="AU876" s="488" t="str">
        <f t="shared" si="90"/>
        <v>COUT-RACHAT BAIL AUTO</v>
      </c>
      <c r="AV876" s="899">
        <f>IFERROR(INDEX(V876:AG876,1,MATCH(Parametres!$B$3,V$1:AG$1,0)-1)*IF(OR(C876="L",C876="S",C876="I"),-1,1),"")</f>
        <v>0</v>
      </c>
      <c r="AW876" s="899">
        <f t="shared" si="91"/>
        <v>0</v>
      </c>
      <c r="AX876" s="899">
        <f>INDEX(V876:AG876,1,MATCH(Parametres!$B$3,V$1:AG$1,0))*IF(OR(C876="L",C876="S",C876="I"),-1,1)</f>
        <v>0</v>
      </c>
      <c r="AY876" s="487" t="s">
        <v>337</v>
      </c>
      <c r="AZ876" s="487">
        <f>+VLOOKUP($AJ876,Data_Validation!$A:$E,5,0)</f>
        <v>0</v>
      </c>
    </row>
    <row r="877" spans="1:52" ht="15" customHeight="1">
      <c r="A877" s="706" t="s">
        <v>1148</v>
      </c>
      <c r="B877" s="706">
        <v>2026</v>
      </c>
      <c r="C877" s="706" t="s">
        <v>2793</v>
      </c>
      <c r="D877" s="706" t="s">
        <v>2794</v>
      </c>
      <c r="E877" s="706" t="s">
        <v>1143</v>
      </c>
      <c r="F877" s="706" t="s">
        <v>1152</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G64620</v>
      </c>
      <c r="AK877" s="905" t="str">
        <f t="shared" si="87"/>
        <v>COUT-LOC.AUTO USAGE OPT.</v>
      </c>
      <c r="AL877" s="905">
        <f>IFERROR(INDEX(G877:R877,1,MATCH(Parametres!$B$3,G$1:R$1,0)-1)*IF(OR(F877="L",F877="S",F877="I"),-1,1),"")</f>
        <v>0</v>
      </c>
      <c r="AM877" s="905">
        <f t="shared" si="88"/>
        <v>0</v>
      </c>
      <c r="AN877" s="905">
        <f>INDEX(G877:R877,1,MATCH(Parametres!$B$3,G$1:R$1,0))*IF(OR(F877="L",F877="S",F877="I"),-1,1)</f>
        <v>0</v>
      </c>
      <c r="AO877" s="487" t="str">
        <f>+VLOOKUP($AJ877,Data_Validation!$A:$D,1,0)</f>
        <v>G64620</v>
      </c>
      <c r="AP877" s="487" t="str">
        <f>+VLOOKUP($AJ877,Data_Validation!$A:$D,3,0)</f>
        <v>Véhicules usagés</v>
      </c>
      <c r="AQ877" s="487" t="str">
        <f>+VLOOKUP($AJ877,Data_Validation!$A:$D,4,0)</f>
        <v>Certifié</v>
      </c>
      <c r="AR877" s="487" t="s">
        <v>299</v>
      </c>
      <c r="AS877" s="487">
        <f>+VLOOKUP($AJ877,Data_Validation!$A:$E,5,0)</f>
        <v>0</v>
      </c>
      <c r="AT877" s="904" t="str">
        <f t="shared" si="89"/>
        <v>G64620</v>
      </c>
      <c r="AU877" s="488" t="str">
        <f t="shared" si="90"/>
        <v>COUT-LOC.AUTO USAGE OPT.</v>
      </c>
      <c r="AV877" s="899">
        <f>IFERROR(INDEX(V877:AG877,1,MATCH(Parametres!$B$3,V$1:AG$1,0)-1)*IF(OR(C877="L",C877="S",C877="I"),-1,1),"")</f>
        <v>0</v>
      </c>
      <c r="AW877" s="899">
        <f t="shared" si="91"/>
        <v>0</v>
      </c>
      <c r="AX877" s="899">
        <f>INDEX(V877:AG877,1,MATCH(Parametres!$B$3,V$1:AG$1,0))*IF(OR(C877="L",C877="S",C877="I"),-1,1)</f>
        <v>0</v>
      </c>
      <c r="AY877" s="487" t="s">
        <v>337</v>
      </c>
      <c r="AZ877" s="487">
        <f>+VLOOKUP($AJ877,Data_Validation!$A:$E,5,0)</f>
        <v>0</v>
      </c>
    </row>
    <row r="878" spans="1:52" ht="15" customHeight="1">
      <c r="A878" s="706" t="s">
        <v>1148</v>
      </c>
      <c r="B878" s="706">
        <v>2026</v>
      </c>
      <c r="C878" s="706" t="s">
        <v>2795</v>
      </c>
      <c r="D878" s="706" t="s">
        <v>2796</v>
      </c>
      <c r="E878" s="706" t="s">
        <v>333</v>
      </c>
      <c r="F878" s="706" t="s">
        <v>1152</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G64700</v>
      </c>
      <c r="AK878" s="905" t="str">
        <f t="shared" si="87"/>
        <v>REMISE NEUF VOIT.DET.OPT</v>
      </c>
      <c r="AL878" s="905">
        <f>IFERROR(INDEX(G878:R878,1,MATCH(Parametres!$B$3,G$1:R$1,0)-1)*IF(OR(F878="L",F878="S",F878="I"),-1,1),"")</f>
        <v>0</v>
      </c>
      <c r="AM878" s="905">
        <f t="shared" si="88"/>
        <v>0</v>
      </c>
      <c r="AN878" s="905">
        <f>INDEX(G878:R878,1,MATCH(Parametres!$B$3,G$1:R$1,0))*IF(OR(F878="L",F878="S",F878="I"),-1,1)</f>
        <v>0</v>
      </c>
      <c r="AO878" s="487" t="str">
        <f>+VLOOKUP($AJ878,Data_Validation!$A:$D,1,0)</f>
        <v>G64700</v>
      </c>
      <c r="AP878" s="487">
        <f>+VLOOKUP($AJ878,Data_Validation!$A:$D,3,0)</f>
        <v>0</v>
      </c>
      <c r="AQ878" s="487">
        <f>+VLOOKUP($AJ878,Data_Validation!$A:$D,4,0)</f>
        <v>0</v>
      </c>
      <c r="AR878" s="487" t="s">
        <v>299</v>
      </c>
      <c r="AS878" s="487">
        <f>+VLOOKUP($AJ878,Data_Validation!$A:$E,5,0)</f>
        <v>0</v>
      </c>
      <c r="AT878" s="904" t="str">
        <f t="shared" si="89"/>
        <v>G64700</v>
      </c>
      <c r="AU878" s="488" t="str">
        <f t="shared" si="90"/>
        <v>REMISE NEUF VOIT.DET.OPT</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2797</v>
      </c>
      <c r="D879" s="706" t="s">
        <v>2798</v>
      </c>
      <c r="E879" s="706" t="s">
        <v>333</v>
      </c>
      <c r="F879" s="706" t="s">
        <v>1152</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G64701</v>
      </c>
      <c r="AK879" s="905" t="str">
        <f t="shared" si="87"/>
        <v>REMISE NEUF VOIT.DET.AUTR</v>
      </c>
      <c r="AL879" s="905">
        <f>IFERROR(INDEX(G879:R879,1,MATCH(Parametres!$B$3,G$1:R$1,0)-1)*IF(OR(F879="L",F879="S",F879="I"),-1,1),"")</f>
        <v>0</v>
      </c>
      <c r="AM879" s="905">
        <f t="shared" si="88"/>
        <v>0</v>
      </c>
      <c r="AN879" s="905">
        <f>INDEX(G879:R879,1,MATCH(Parametres!$B$3,G$1:R$1,0))*IF(OR(F879="L",F879="S",F879="I"),-1,1)</f>
        <v>0</v>
      </c>
      <c r="AO879" s="487" t="str">
        <f>+VLOOKUP($AJ879,Data_Validation!$A:$D,1,0)</f>
        <v>G64701</v>
      </c>
      <c r="AP879" s="487">
        <f>+VLOOKUP($AJ879,Data_Validation!$A:$D,3,0)</f>
        <v>0</v>
      </c>
      <c r="AQ879" s="487">
        <f>+VLOOKUP($AJ879,Data_Validation!$A:$D,4,0)</f>
        <v>0</v>
      </c>
      <c r="AR879" s="487" t="s">
        <v>299</v>
      </c>
      <c r="AS879" s="487">
        <f>+VLOOKUP($AJ879,Data_Validation!$A:$E,5,0)</f>
        <v>0</v>
      </c>
      <c r="AT879" s="904" t="str">
        <f t="shared" si="89"/>
        <v>G64701</v>
      </c>
      <c r="AU879" s="488" t="str">
        <f t="shared" si="90"/>
        <v>REMISE NEUF VOIT.DET.AUTR</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2799</v>
      </c>
      <c r="D880" s="706" t="s">
        <v>2800</v>
      </c>
      <c r="E880" s="706" t="s">
        <v>333</v>
      </c>
      <c r="F880" s="706" t="s">
        <v>1152</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G64720</v>
      </c>
      <c r="AK880" s="905" t="str">
        <f t="shared" si="87"/>
        <v>REM.NEUF LOC.AUTO DET.OPT</v>
      </c>
      <c r="AL880" s="905">
        <f>IFERROR(INDEX(G880:R880,1,MATCH(Parametres!$B$3,G$1:R$1,0)-1)*IF(OR(F880="L",F880="S",F880="I"),-1,1),"")</f>
        <v>0</v>
      </c>
      <c r="AM880" s="905">
        <f t="shared" si="88"/>
        <v>0</v>
      </c>
      <c r="AN880" s="905">
        <f>INDEX(G880:R880,1,MATCH(Parametres!$B$3,G$1:R$1,0))*IF(OR(F880="L",F880="S",F880="I"),-1,1)</f>
        <v>0</v>
      </c>
      <c r="AO880" s="487" t="str">
        <f>+VLOOKUP($AJ880,Data_Validation!$A:$D,1,0)</f>
        <v>G64720</v>
      </c>
      <c r="AP880" s="487">
        <f>+VLOOKUP($AJ880,Data_Validation!$A:$D,3,0)</f>
        <v>0</v>
      </c>
      <c r="AQ880" s="487">
        <f>+VLOOKUP($AJ880,Data_Validation!$A:$D,4,0)</f>
        <v>0</v>
      </c>
      <c r="AR880" s="487" t="s">
        <v>299</v>
      </c>
      <c r="AS880" s="487">
        <f>+VLOOKUP($AJ880,Data_Validation!$A:$E,5,0)</f>
        <v>0</v>
      </c>
      <c r="AT880" s="904" t="str">
        <f t="shared" si="89"/>
        <v>G64720</v>
      </c>
      <c r="AU880" s="488" t="str">
        <f t="shared" si="90"/>
        <v>REM.NEUF LOC.AUTO DET.OPT</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customHeight="1">
      <c r="A881" s="706" t="s">
        <v>1148</v>
      </c>
      <c r="B881" s="706">
        <v>2026</v>
      </c>
      <c r="C881" s="706" t="s">
        <v>2801</v>
      </c>
      <c r="D881" s="706" t="s">
        <v>2802</v>
      </c>
      <c r="E881" s="706" t="s">
        <v>1143</v>
      </c>
      <c r="F881" s="706" t="s">
        <v>1152</v>
      </c>
      <c r="G881" s="706">
        <v>8607.98</v>
      </c>
      <c r="H881" s="706">
        <v>117294.94</v>
      </c>
      <c r="I881" s="706">
        <v>305950.17</v>
      </c>
      <c r="J881" s="706">
        <v>398583.17</v>
      </c>
      <c r="K881" s="706">
        <v>349464.12</v>
      </c>
      <c r="L881" s="706">
        <v>442024.39</v>
      </c>
      <c r="M881" s="706">
        <v>458520.39</v>
      </c>
      <c r="N881" s="706">
        <v>0</v>
      </c>
      <c r="O881" s="706">
        <v>0</v>
      </c>
      <c r="P881" s="706">
        <v>0</v>
      </c>
      <c r="Q881" s="706">
        <v>0</v>
      </c>
      <c r="R881" s="706">
        <v>0</v>
      </c>
      <c r="S881" s="706">
        <v>73670.73</v>
      </c>
      <c r="T881" s="706">
        <v>73670.73</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G64800</v>
      </c>
      <c r="AK881" s="905" t="str">
        <f t="shared" si="87"/>
        <v>COUT-AUTOS USAGES EN GROS</v>
      </c>
      <c r="AL881" s="905">
        <f>IFERROR(INDEX(G881:R881,1,MATCH(Parametres!$B$3,G$1:R$1,0)-1)*IF(OR(F881="L",F881="S",F881="I"),-1,1),"")</f>
        <v>349464.12</v>
      </c>
      <c r="AM881" s="905">
        <f t="shared" si="88"/>
        <v>92560.270000000019</v>
      </c>
      <c r="AN881" s="905">
        <f>INDEX(G881:R881,1,MATCH(Parametres!$B$3,G$1:R$1,0))*IF(OR(F881="L",F881="S",F881="I"),-1,1)</f>
        <v>442024.39</v>
      </c>
      <c r="AO881" s="487" t="str">
        <f>+VLOOKUP($AJ881,Data_Validation!$A:$D,1,0)</f>
        <v>G64800</v>
      </c>
      <c r="AP881" s="487" t="str">
        <f>+VLOOKUP($AJ881,Data_Validation!$A:$D,3,0)</f>
        <v>Véhicules usagés</v>
      </c>
      <c r="AQ881" s="487" t="str">
        <f>+VLOOKUP($AJ881,Data_Validation!$A:$D,4,0)</f>
        <v>Ventes au Gros</v>
      </c>
      <c r="AR881" s="487" t="s">
        <v>299</v>
      </c>
      <c r="AS881" s="487">
        <f>+VLOOKUP($AJ881,Data_Validation!$A:$E,5,0)</f>
        <v>0</v>
      </c>
      <c r="AT881" s="904" t="str">
        <f t="shared" si="89"/>
        <v>G64800</v>
      </c>
      <c r="AU881" s="488" t="str">
        <f t="shared" si="90"/>
        <v>COUT-AUTOS USAGES EN GROS</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customHeight="1">
      <c r="A882" s="706" t="s">
        <v>1148</v>
      </c>
      <c r="B882" s="706">
        <v>2026</v>
      </c>
      <c r="C882" s="706" t="s">
        <v>2803</v>
      </c>
      <c r="D882" s="706" t="s">
        <v>2804</v>
      </c>
      <c r="E882" s="706" t="s">
        <v>333</v>
      </c>
      <c r="F882" s="706" t="s">
        <v>1152</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G64900</v>
      </c>
      <c r="AK882" s="905" t="str">
        <f t="shared" si="87"/>
        <v>RECTIFICATION STOCK AUTO</v>
      </c>
      <c r="AL882" s="905">
        <f>IFERROR(INDEX(G882:R882,1,MATCH(Parametres!$B$3,G$1:R$1,0)-1)*IF(OR(F882="L",F882="S",F882="I"),-1,1),"")</f>
        <v>0</v>
      </c>
      <c r="AM882" s="905">
        <f t="shared" si="88"/>
        <v>0</v>
      </c>
      <c r="AN882" s="905">
        <f>INDEX(G882:R882,1,MATCH(Parametres!$B$3,G$1:R$1,0))*IF(OR(F882="L",F882="S",F882="I"),-1,1)</f>
        <v>0</v>
      </c>
      <c r="AO882" s="487" t="str">
        <f>+VLOOKUP($AJ882,Data_Validation!$A:$D,1,0)</f>
        <v>G64900</v>
      </c>
      <c r="AP882" s="487">
        <f>+VLOOKUP($AJ882,Data_Validation!$A:$D,3,0)</f>
        <v>0</v>
      </c>
      <c r="AQ882" s="487">
        <f>+VLOOKUP($AJ882,Data_Validation!$A:$D,4,0)</f>
        <v>0</v>
      </c>
      <c r="AR882" s="487" t="s">
        <v>299</v>
      </c>
      <c r="AS882" s="487">
        <f>+VLOOKUP($AJ882,Data_Validation!$A:$E,5,0)</f>
        <v>0</v>
      </c>
      <c r="AT882" s="904" t="str">
        <f t="shared" si="89"/>
        <v>G64900</v>
      </c>
      <c r="AU882" s="488" t="str">
        <f t="shared" si="90"/>
        <v>RECTIFICATION STOCK AUTO</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customHeight="1">
      <c r="A883" s="706" t="s">
        <v>1148</v>
      </c>
      <c r="B883" s="706">
        <v>2026</v>
      </c>
      <c r="C883" s="706" t="s">
        <v>2805</v>
      </c>
      <c r="D883" s="706" t="s">
        <v>3334</v>
      </c>
      <c r="E883" s="706" t="s">
        <v>1143</v>
      </c>
      <c r="F883" s="706" t="s">
        <v>1152</v>
      </c>
      <c r="G883" s="706">
        <v>41059.599999999999</v>
      </c>
      <c r="H883" s="706">
        <v>349469.58</v>
      </c>
      <c r="I883" s="706">
        <v>1233604.7</v>
      </c>
      <c r="J883" s="706">
        <v>2065159.12</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G65000</v>
      </c>
      <c r="AK883" s="905" t="str">
        <f t="shared" si="87"/>
        <v>COUT-OCC.CAMION DET CERTI</v>
      </c>
      <c r="AL883" s="905">
        <f>IFERROR(INDEX(G883:R883,1,MATCH(Parametres!$B$3,G$1:R$1,0)-1)*IF(OR(F883="L",F883="S",F883="I"),-1,1),"")</f>
        <v>0</v>
      </c>
      <c r="AM883" s="905">
        <f t="shared" si="88"/>
        <v>0</v>
      </c>
      <c r="AN883" s="905">
        <f>INDEX(G883:R883,1,MATCH(Parametres!$B$3,G$1:R$1,0))*IF(OR(F883="L",F883="S",F883="I"),-1,1)</f>
        <v>0</v>
      </c>
      <c r="AO883" s="487" t="str">
        <f>+VLOOKUP($AJ883,Data_Validation!$A:$D,1,0)</f>
        <v>G65000</v>
      </c>
      <c r="AP883" s="487" t="str">
        <f>+VLOOKUP($AJ883,Data_Validation!$A:$D,3,0)</f>
        <v>Véhicules usagés</v>
      </c>
      <c r="AQ883" s="487" t="str">
        <f>+VLOOKUP($AJ883,Data_Validation!$A:$D,4,0)</f>
        <v>Ventes au Gros</v>
      </c>
      <c r="AR883" s="487" t="s">
        <v>299</v>
      </c>
      <c r="AS883" s="487" t="str">
        <f>+VLOOKUP($AJ883,Data_Validation!$A:$E,5,0)</f>
        <v>Oui</v>
      </c>
      <c r="AT883" s="904" t="str">
        <f t="shared" si="89"/>
        <v>G65000</v>
      </c>
      <c r="AU883" s="488" t="str">
        <f t="shared" si="90"/>
        <v>COUT-OCC.CAMION DET CERTI</v>
      </c>
      <c r="AV883" s="899">
        <f>IFERROR(INDEX(V883:AG883,1,MATCH(Parametres!$B$3,V$1:AG$1,0)-1)*IF(OR(C883="L",C883="S",C883="I"),-1,1),"")</f>
        <v>0</v>
      </c>
      <c r="AW883" s="899">
        <f t="shared" si="91"/>
        <v>0</v>
      </c>
      <c r="AX883" s="899">
        <f>INDEX(V883:AG883,1,MATCH(Parametres!$B$3,V$1:AG$1,0))*IF(OR(C883="L",C883="S",C883="I"),-1,1)</f>
        <v>0</v>
      </c>
      <c r="AY883" s="487" t="s">
        <v>337</v>
      </c>
      <c r="AZ883" s="487" t="str">
        <f>+VLOOKUP($AJ883,Data_Validation!$A:$E,5,0)</f>
        <v>Oui</v>
      </c>
    </row>
    <row r="884" spans="1:52" ht="15" customHeight="1">
      <c r="A884" s="706" t="s">
        <v>1148</v>
      </c>
      <c r="B884" s="706">
        <v>2026</v>
      </c>
      <c r="C884" s="706" t="s">
        <v>2807</v>
      </c>
      <c r="D884" s="706" t="s">
        <v>3335</v>
      </c>
      <c r="E884" s="706" t="s">
        <v>1143</v>
      </c>
      <c r="F884" s="706" t="s">
        <v>1152</v>
      </c>
      <c r="G884" s="706">
        <v>437492.78</v>
      </c>
      <c r="H884" s="706">
        <v>686180.56</v>
      </c>
      <c r="I884" s="706">
        <v>1224288.25</v>
      </c>
      <c r="J884" s="706">
        <v>2082692.23</v>
      </c>
      <c r="K884" s="706">
        <v>2979869.09</v>
      </c>
      <c r="L884" s="706">
        <v>3600566.98</v>
      </c>
      <c r="M884" s="706">
        <v>3670109.98</v>
      </c>
      <c r="N884" s="706">
        <v>0</v>
      </c>
      <c r="O884" s="706">
        <v>0</v>
      </c>
      <c r="P884" s="706">
        <v>0</v>
      </c>
      <c r="Q884" s="706">
        <v>0</v>
      </c>
      <c r="R884" s="706">
        <v>0</v>
      </c>
      <c r="S884" s="706">
        <v>600094.5</v>
      </c>
      <c r="T884" s="706">
        <v>600094.5</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G65001</v>
      </c>
      <c r="AK884" s="905" t="str">
        <f t="shared" si="87"/>
        <v>COUT-CAMION OCC.GM N-CERT</v>
      </c>
      <c r="AL884" s="905">
        <f>IFERROR(INDEX(G884:R884,1,MATCH(Parametres!$B$3,G$1:R$1,0)-1)*IF(OR(F884="L",F884="S",F884="I"),-1,1),"")</f>
        <v>2979869.09</v>
      </c>
      <c r="AM884" s="905">
        <f t="shared" si="88"/>
        <v>620697.89000000013</v>
      </c>
      <c r="AN884" s="905">
        <f>INDEX(G884:R884,1,MATCH(Parametres!$B$3,G$1:R$1,0))*IF(OR(F884="L",F884="S",F884="I"),-1,1)</f>
        <v>3600566.98</v>
      </c>
      <c r="AO884" s="487" t="str">
        <f>+VLOOKUP($AJ884,Data_Validation!$A:$D,1,0)</f>
        <v>G65001</v>
      </c>
      <c r="AP884" s="487" t="str">
        <f>+VLOOKUP($AJ884,Data_Validation!$A:$D,3,0)</f>
        <v>Véhicules usagés</v>
      </c>
      <c r="AQ884" s="487" t="str">
        <f>+VLOOKUP($AJ884,Data_Validation!$A:$D,4,0)</f>
        <v>Non Certifié</v>
      </c>
      <c r="AR884" s="487" t="s">
        <v>299</v>
      </c>
      <c r="AS884" s="487">
        <f>+VLOOKUP($AJ884,Data_Validation!$A:$E,5,0)</f>
        <v>0</v>
      </c>
      <c r="AT884" s="904" t="str">
        <f t="shared" si="89"/>
        <v>G65001</v>
      </c>
      <c r="AU884" s="488" t="str">
        <f t="shared" si="90"/>
        <v>COUT-CAMION OCC.GM N-CERT</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customHeight="1">
      <c r="A885" s="706" t="s">
        <v>1148</v>
      </c>
      <c r="B885" s="706">
        <v>2026</v>
      </c>
      <c r="C885" s="706" t="s">
        <v>3178</v>
      </c>
      <c r="D885" s="706" t="s">
        <v>3179</v>
      </c>
      <c r="E885" s="706" t="s">
        <v>1143</v>
      </c>
      <c r="F885" s="706" t="s">
        <v>1152</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G65002</v>
      </c>
      <c r="AK885" s="905" t="str">
        <f t="shared" si="87"/>
        <v>COUT- CAMION AUTRE MARQ</v>
      </c>
      <c r="AL885" s="905">
        <f>IFERROR(INDEX(G885:R885,1,MATCH(Parametres!$B$3,G$1:R$1,0)-1)*IF(OR(F885="L",F885="S",F885="I"),-1,1),"")</f>
        <v>0</v>
      </c>
      <c r="AM885" s="905">
        <f t="shared" si="88"/>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89"/>
        <v>G65002</v>
      </c>
      <c r="AU885" s="488" t="str">
        <f t="shared" si="90"/>
        <v>COUT- CAMION AUTRE MARQ</v>
      </c>
      <c r="AV885" s="899">
        <f>IFERROR(INDEX(V885:AG885,1,MATCH(Parametres!$B$3,V$1:AG$1,0)-1)*IF(OR(C885="L",C885="S",C885="I"),-1,1),"")</f>
        <v>0</v>
      </c>
      <c r="AW885" s="899">
        <f t="shared" si="91"/>
        <v>0</v>
      </c>
      <c r="AX885" s="899">
        <f>INDEX(V885:AG885,1,MATCH(Parametres!$B$3,V$1:AG$1,0))*IF(OR(C885="L",C885="S",C885="I"),-1,1)</f>
        <v>0</v>
      </c>
      <c r="AY885" s="487" t="s">
        <v>337</v>
      </c>
      <c r="AZ885" s="487" t="e">
        <f>+VLOOKUP($AJ885,Data_Validation!$A:$E,5,0)</f>
        <v>#N/A</v>
      </c>
    </row>
    <row r="886" spans="1:52" ht="15" customHeight="1">
      <c r="A886" s="706" t="s">
        <v>1148</v>
      </c>
      <c r="B886" s="706">
        <v>2026</v>
      </c>
      <c r="C886" s="706" t="s">
        <v>3180</v>
      </c>
      <c r="D886" s="706" t="s">
        <v>3181</v>
      </c>
      <c r="E886" s="706" t="s">
        <v>1143</v>
      </c>
      <c r="F886" s="706" t="s">
        <v>1152</v>
      </c>
      <c r="G886" s="706">
        <v>0</v>
      </c>
      <c r="H886" s="706">
        <v>0</v>
      </c>
      <c r="I886" s="706">
        <v>0</v>
      </c>
      <c r="J886" s="706">
        <v>0</v>
      </c>
      <c r="K886" s="706">
        <v>0</v>
      </c>
      <c r="L886" s="706">
        <v>0</v>
      </c>
      <c r="M886" s="706">
        <v>42234.64</v>
      </c>
      <c r="N886" s="706">
        <v>0</v>
      </c>
      <c r="O886" s="706">
        <v>0</v>
      </c>
      <c r="P886" s="706">
        <v>0</v>
      </c>
      <c r="Q886" s="706">
        <v>0</v>
      </c>
      <c r="R886" s="706">
        <v>0</v>
      </c>
      <c r="S886" s="706">
        <v>0</v>
      </c>
      <c r="T886" s="706">
        <v>0</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G65003</v>
      </c>
      <c r="AK886" s="905" t="str">
        <f t="shared" si="87"/>
        <v>COUT-RACHAT BAIL CAMION</v>
      </c>
      <c r="AL886" s="905">
        <f>IFERROR(INDEX(G886:R886,1,MATCH(Parametres!$B$3,G$1:R$1,0)-1)*IF(OR(F886="L",F886="S",F886="I"),-1,1),"")</f>
        <v>0</v>
      </c>
      <c r="AM886" s="905">
        <f t="shared" si="88"/>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t="str">
        <f t="shared" si="89"/>
        <v>G65003</v>
      </c>
      <c r="AU886" s="488" t="str">
        <f t="shared" si="90"/>
        <v>COUT-RACHAT BAIL CAMION</v>
      </c>
      <c r="AV886" s="899">
        <f>IFERROR(INDEX(V886:AG886,1,MATCH(Parametres!$B$3,V$1:AG$1,0)-1)*IF(OR(C886="L",C886="S",C886="I"),-1,1),"")</f>
        <v>0</v>
      </c>
      <c r="AW886" s="899">
        <f t="shared" si="91"/>
        <v>0</v>
      </c>
      <c r="AX886" s="899">
        <f>INDEX(V886:AG886,1,MATCH(Parametres!$B$3,V$1:AG$1,0))*IF(OR(C886="L",C886="S",C886="I"),-1,1)</f>
        <v>0</v>
      </c>
      <c r="AY886" s="487" t="s">
        <v>337</v>
      </c>
      <c r="AZ886" s="487" t="e">
        <f>+VLOOKUP($AJ886,Data_Validation!$A:$E,5,0)</f>
        <v>#N/A</v>
      </c>
    </row>
    <row r="887" spans="1:52" ht="15" customHeight="1">
      <c r="A887" s="706" t="s">
        <v>1148</v>
      </c>
      <c r="B887" s="706">
        <v>2026</v>
      </c>
      <c r="C887" s="706" t="s">
        <v>2809</v>
      </c>
      <c r="D887" s="706" t="s">
        <v>2810</v>
      </c>
      <c r="E887" s="706" t="s">
        <v>1143</v>
      </c>
      <c r="F887" s="706" t="s">
        <v>1152</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G65020</v>
      </c>
      <c r="AK887" s="905" t="str">
        <f t="shared" si="87"/>
        <v>COUT-LOC.CAM.USAGE OPT.</v>
      </c>
      <c r="AL887" s="905">
        <f>IFERROR(INDEX(G887:R887,1,MATCH(Parametres!$B$3,G$1:R$1,0)-1)*IF(OR(F887="L",F887="S",F887="I"),-1,1),"")</f>
        <v>0</v>
      </c>
      <c r="AM887" s="905">
        <f t="shared" si="88"/>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89"/>
        <v>G65020</v>
      </c>
      <c r="AU887" s="488" t="str">
        <f t="shared" si="90"/>
        <v>COUT-LOC.CAM.USAGE OPT.</v>
      </c>
      <c r="AV887" s="899">
        <f>IFERROR(INDEX(V887:AG887,1,MATCH(Parametres!$B$3,V$1:AG$1,0)-1)*IF(OR(C887="L",C887="S",C887="I"),-1,1),"")</f>
        <v>0</v>
      </c>
      <c r="AW887" s="899">
        <f t="shared" si="91"/>
        <v>0</v>
      </c>
      <c r="AX887" s="899">
        <f>INDEX(V887:AG887,1,MATCH(Parametres!$B$3,V$1:AG$1,0))*IF(OR(C887="L",C887="S",C887="I"),-1,1)</f>
        <v>0</v>
      </c>
      <c r="AY887" s="487" t="s">
        <v>337</v>
      </c>
      <c r="AZ887" s="487" t="e">
        <f>+VLOOKUP($AJ887,Data_Validation!$A:$E,5,0)</f>
        <v>#N/A</v>
      </c>
    </row>
    <row r="888" spans="1:52" ht="15" customHeight="1">
      <c r="A888" s="706" t="s">
        <v>1148</v>
      </c>
      <c r="B888" s="706">
        <v>2026</v>
      </c>
      <c r="C888" s="706" t="s">
        <v>2811</v>
      </c>
      <c r="D888" s="706" t="s">
        <v>2812</v>
      </c>
      <c r="E888" s="706" t="s">
        <v>333</v>
      </c>
      <c r="F888" s="706" t="s">
        <v>1152</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G65100</v>
      </c>
      <c r="AK888" s="905" t="str">
        <f t="shared" si="87"/>
        <v>REMISE NEUF CAM.DET.OPT.</v>
      </c>
      <c r="AL888" s="905">
        <f>IFERROR(INDEX(G888:R888,1,MATCH(Parametres!$B$3,G$1:R$1,0)-1)*IF(OR(F888="L",F888="S",F888="I"),-1,1),"")</f>
        <v>0</v>
      </c>
      <c r="AM888" s="905">
        <f t="shared" si="88"/>
        <v>0</v>
      </c>
      <c r="AN888" s="905">
        <f>INDEX(G888:R888,1,MATCH(Parametres!$B$3,G$1:R$1,0))*IF(OR(F888="L",F888="S",F888="I"),-1,1)</f>
        <v>0</v>
      </c>
      <c r="AO888" s="487" t="str">
        <f>+VLOOKUP($AJ888,Data_Validation!$A:$D,1,0)</f>
        <v>G65100</v>
      </c>
      <c r="AP888" s="487">
        <f>+VLOOKUP($AJ888,Data_Validation!$A:$D,3,0)</f>
        <v>0</v>
      </c>
      <c r="AQ888" s="487">
        <f>+VLOOKUP($AJ888,Data_Validation!$A:$D,4,0)</f>
        <v>0</v>
      </c>
      <c r="AR888" s="487" t="s">
        <v>299</v>
      </c>
      <c r="AS888" s="487">
        <f>+VLOOKUP($AJ888,Data_Validation!$A:$E,5,0)</f>
        <v>0</v>
      </c>
      <c r="AT888" s="904" t="str">
        <f t="shared" si="89"/>
        <v>G65100</v>
      </c>
      <c r="AU888" s="488" t="str">
        <f t="shared" si="90"/>
        <v>REMISE NEUF CAM.DET.OPT.</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2813</v>
      </c>
      <c r="D889" s="706" t="s">
        <v>2814</v>
      </c>
      <c r="E889" s="706" t="s">
        <v>333</v>
      </c>
      <c r="F889" s="706" t="s">
        <v>1152</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G65101</v>
      </c>
      <c r="AK889" s="905" t="str">
        <f t="shared" si="87"/>
        <v>REMISE NEUF CAM.DET.AUTRE</v>
      </c>
      <c r="AL889" s="905">
        <f>IFERROR(INDEX(G889:R889,1,MATCH(Parametres!$B$3,G$1:R$1,0)-1)*IF(OR(F889="L",F889="S",F889="I"),-1,1),"")</f>
        <v>0</v>
      </c>
      <c r="AM889" s="905">
        <f t="shared" si="88"/>
        <v>0</v>
      </c>
      <c r="AN889" s="905">
        <f>INDEX(G889:R889,1,MATCH(Parametres!$B$3,G$1:R$1,0))*IF(OR(F889="L",F889="S",F889="I"),-1,1)</f>
        <v>0</v>
      </c>
      <c r="AO889" s="487" t="str">
        <f>+VLOOKUP($AJ889,Data_Validation!$A:$D,1,0)</f>
        <v>G65101</v>
      </c>
      <c r="AP889" s="487">
        <f>+VLOOKUP($AJ889,Data_Validation!$A:$D,3,0)</f>
        <v>0</v>
      </c>
      <c r="AQ889" s="487">
        <f>+VLOOKUP($AJ889,Data_Validation!$A:$D,4,0)</f>
        <v>0</v>
      </c>
      <c r="AR889" s="487" t="s">
        <v>299</v>
      </c>
      <c r="AS889" s="487">
        <f>+VLOOKUP($AJ889,Data_Validation!$A:$E,5,0)</f>
        <v>0</v>
      </c>
      <c r="AT889" s="904" t="str">
        <f t="shared" si="89"/>
        <v>G65101</v>
      </c>
      <c r="AU889" s="488" t="str">
        <f t="shared" si="90"/>
        <v>REMISE NEUF CAM.DET.AUTRE</v>
      </c>
      <c r="AV889" s="899">
        <f>IFERROR(INDEX(V889:AG889,1,MATCH(Parametres!$B$3,V$1:AG$1,0)-1)*IF(OR(C889="L",C889="S",C889="I"),-1,1),"")</f>
        <v>0</v>
      </c>
      <c r="AW889" s="899">
        <f t="shared" si="91"/>
        <v>0</v>
      </c>
      <c r="AX889" s="899">
        <f>INDEX(V889:AG889,1,MATCH(Parametres!$B$3,V$1:AG$1,0))*IF(OR(C889="L",C889="S",C889="I"),-1,1)</f>
        <v>0</v>
      </c>
      <c r="AY889" s="487" t="s">
        <v>337</v>
      </c>
      <c r="AZ889" s="487">
        <f>+VLOOKUP($AJ889,Data_Validation!$A:$E,5,0)</f>
        <v>0</v>
      </c>
    </row>
    <row r="890" spans="1:52" ht="15" customHeight="1">
      <c r="A890" s="706" t="s">
        <v>1148</v>
      </c>
      <c r="B890" s="706">
        <v>2026</v>
      </c>
      <c r="C890" s="706" t="s">
        <v>2815</v>
      </c>
      <c r="D890" s="706" t="s">
        <v>2816</v>
      </c>
      <c r="E890" s="706" t="s">
        <v>333</v>
      </c>
      <c r="F890" s="706" t="s">
        <v>1152</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G65120</v>
      </c>
      <c r="AK890" s="905" t="str">
        <f t="shared" si="87"/>
        <v>REM.NEUF LOC.CAM.DET.OPT.</v>
      </c>
      <c r="AL890" s="905">
        <f>IFERROR(INDEX(G890:R890,1,MATCH(Parametres!$B$3,G$1:R$1,0)-1)*IF(OR(F890="L",F890="S",F890="I"),-1,1),"")</f>
        <v>0</v>
      </c>
      <c r="AM890" s="905">
        <f t="shared" si="88"/>
        <v>0</v>
      </c>
      <c r="AN890" s="905">
        <f>INDEX(G890:R890,1,MATCH(Parametres!$B$3,G$1:R$1,0))*IF(OR(F890="L",F890="S",F890="I"),-1,1)</f>
        <v>0</v>
      </c>
      <c r="AO890" s="487" t="str">
        <f>+VLOOKUP($AJ890,Data_Validation!$A:$D,1,0)</f>
        <v>G65120</v>
      </c>
      <c r="AP890" s="487">
        <f>+VLOOKUP($AJ890,Data_Validation!$A:$D,3,0)</f>
        <v>0</v>
      </c>
      <c r="AQ890" s="487">
        <f>+VLOOKUP($AJ890,Data_Validation!$A:$D,4,0)</f>
        <v>0</v>
      </c>
      <c r="AR890" s="487" t="s">
        <v>299</v>
      </c>
      <c r="AS890" s="487">
        <f>+VLOOKUP($AJ890,Data_Validation!$A:$E,5,0)</f>
        <v>0</v>
      </c>
      <c r="AT890" s="904" t="str">
        <f t="shared" si="89"/>
        <v>G65120</v>
      </c>
      <c r="AU890" s="488" t="str">
        <f t="shared" si="90"/>
        <v>REM.NEUF LOC.CAM.DET.OPT.</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2817</v>
      </c>
      <c r="D891" s="706" t="s">
        <v>2818</v>
      </c>
      <c r="E891" s="706" t="s">
        <v>1143</v>
      </c>
      <c r="F891" s="706" t="s">
        <v>1152</v>
      </c>
      <c r="G891" s="706">
        <v>2051010.87</v>
      </c>
      <c r="H891" s="706">
        <v>3639591.88</v>
      </c>
      <c r="I891" s="706">
        <v>6799634.4299999997</v>
      </c>
      <c r="J891" s="706">
        <v>9640410.0500000007</v>
      </c>
      <c r="K891" s="706">
        <v>4652358.87</v>
      </c>
      <c r="L891" s="706">
        <v>5323087.83</v>
      </c>
      <c r="M891" s="706">
        <v>5349957.83</v>
      </c>
      <c r="N891" s="706">
        <v>0</v>
      </c>
      <c r="O891" s="706">
        <v>0</v>
      </c>
      <c r="P891" s="706">
        <v>0</v>
      </c>
      <c r="Q891" s="706">
        <v>0</v>
      </c>
      <c r="R891" s="706">
        <v>0</v>
      </c>
      <c r="S891" s="706">
        <v>887181.31</v>
      </c>
      <c r="T891" s="706">
        <v>887181.31</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G65200</v>
      </c>
      <c r="AK891" s="905" t="str">
        <f t="shared" si="87"/>
        <v>COUT-CAM. OCCASION GROS</v>
      </c>
      <c r="AL891" s="905">
        <f>IFERROR(INDEX(G891:R891,1,MATCH(Parametres!$B$3,G$1:R$1,0)-1)*IF(OR(F891="L",F891="S",F891="I"),-1,1),"")</f>
        <v>4652358.87</v>
      </c>
      <c r="AM891" s="905">
        <f t="shared" si="88"/>
        <v>670728.95999999996</v>
      </c>
      <c r="AN891" s="905">
        <f>INDEX(G891:R891,1,MATCH(Parametres!$B$3,G$1:R$1,0))*IF(OR(F891="L",F891="S",F891="I"),-1,1)</f>
        <v>5323087.83</v>
      </c>
      <c r="AO891" s="487" t="str">
        <f>+VLOOKUP($AJ891,Data_Validation!$A:$D,1,0)</f>
        <v>G65200</v>
      </c>
      <c r="AP891" s="487" t="str">
        <f>+VLOOKUP($AJ891,Data_Validation!$A:$D,3,0)</f>
        <v>Véhicules usagés</v>
      </c>
      <c r="AQ891" s="487" t="str">
        <f>+VLOOKUP($AJ891,Data_Validation!$A:$D,4,0)</f>
        <v>Ventes au Gros</v>
      </c>
      <c r="AR891" s="487" t="s">
        <v>299</v>
      </c>
      <c r="AS891" s="487">
        <f>+VLOOKUP($AJ891,Data_Validation!$A:$E,5,0)</f>
        <v>0</v>
      </c>
      <c r="AT891" s="904" t="str">
        <f t="shared" si="89"/>
        <v>G65200</v>
      </c>
      <c r="AU891" s="488" t="str">
        <f t="shared" si="90"/>
        <v>COUT-CAM. OCCASION GROS</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customHeight="1">
      <c r="A892" s="706" t="s">
        <v>1148</v>
      </c>
      <c r="B892" s="706">
        <v>2026</v>
      </c>
      <c r="C892" s="706" t="s">
        <v>2819</v>
      </c>
      <c r="D892" s="706" t="s">
        <v>2820</v>
      </c>
      <c r="E892" s="706" t="s">
        <v>1143</v>
      </c>
      <c r="F892" s="706" t="s">
        <v>1152</v>
      </c>
      <c r="G892" s="706">
        <v>6696533.3300000001</v>
      </c>
      <c r="H892" s="706">
        <v>7234033.3300000001</v>
      </c>
      <c r="I892" s="706">
        <v>10174343.33</v>
      </c>
      <c r="J892" s="706">
        <v>15978053.33</v>
      </c>
      <c r="K892" s="706">
        <v>17890973.329999998</v>
      </c>
      <c r="L892" s="706">
        <v>19641398.329999998</v>
      </c>
      <c r="M892" s="706">
        <v>20719898.329999998</v>
      </c>
      <c r="N892" s="706">
        <v>0</v>
      </c>
      <c r="O892" s="706">
        <v>0</v>
      </c>
      <c r="P892" s="706">
        <v>0</v>
      </c>
      <c r="Q892" s="706">
        <v>0</v>
      </c>
      <c r="R892" s="706">
        <v>0</v>
      </c>
      <c r="S892" s="706">
        <v>3273566.39</v>
      </c>
      <c r="T892" s="706">
        <v>3273566.39</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G65201</v>
      </c>
      <c r="AK892" s="905" t="str">
        <f t="shared" si="87"/>
        <v>COUT - WHOLESALE W</v>
      </c>
      <c r="AL892" s="905">
        <f>IFERROR(INDEX(G892:R892,1,MATCH(Parametres!$B$3,G$1:R$1,0)-1)*IF(OR(F892="L",F892="S",F892="I"),-1,1),"")</f>
        <v>17890973.329999998</v>
      </c>
      <c r="AM892" s="905">
        <f t="shared" si="88"/>
        <v>1750425</v>
      </c>
      <c r="AN892" s="905">
        <f>INDEX(G892:R892,1,MATCH(Parametres!$B$3,G$1:R$1,0))*IF(OR(F892="L",F892="S",F892="I"),-1,1)</f>
        <v>19641398.329999998</v>
      </c>
      <c r="AO892" s="487" t="str">
        <f>+VLOOKUP($AJ892,Data_Validation!$A:$D,1,0)</f>
        <v>G65201</v>
      </c>
      <c r="AP892" s="487" t="str">
        <f>+VLOOKUP($AJ892,Data_Validation!$A:$D,3,0)</f>
        <v>Wholesale autres</v>
      </c>
      <c r="AQ892" s="487" t="str">
        <f>+VLOOKUP($AJ892,Data_Validation!$A:$D,4,0)</f>
        <v>Wholesale Luxueux</v>
      </c>
      <c r="AR892" s="487" t="s">
        <v>299</v>
      </c>
      <c r="AS892" s="487">
        <f>+VLOOKUP($AJ892,Data_Validation!$A:$E,5,0)</f>
        <v>0</v>
      </c>
      <c r="AT892" s="904" t="str">
        <f t="shared" si="89"/>
        <v>G65201</v>
      </c>
      <c r="AU892" s="488" t="str">
        <f t="shared" si="90"/>
        <v>COUT - WHOLESALE W</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3195</v>
      </c>
      <c r="D893" s="706" t="s">
        <v>2824</v>
      </c>
      <c r="E893" s="706" t="s">
        <v>333</v>
      </c>
      <c r="F893" s="706" t="s">
        <v>1152</v>
      </c>
      <c r="G893" s="706">
        <v>0</v>
      </c>
      <c r="H893" s="706">
        <v>0</v>
      </c>
      <c r="I893" s="706">
        <v>0</v>
      </c>
      <c r="J893" s="706">
        <v>0</v>
      </c>
      <c r="K893" s="706">
        <v>1473800</v>
      </c>
      <c r="L893" s="706">
        <v>2064800</v>
      </c>
      <c r="M893" s="706">
        <v>2064800</v>
      </c>
      <c r="N893" s="706">
        <v>0</v>
      </c>
      <c r="O893" s="706">
        <v>0</v>
      </c>
      <c r="P893" s="706">
        <v>0</v>
      </c>
      <c r="Q893" s="706">
        <v>0</v>
      </c>
      <c r="R893" s="706">
        <v>0</v>
      </c>
      <c r="S893" s="706">
        <v>344133.33</v>
      </c>
      <c r="T893" s="706">
        <v>344133.33</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G65202</v>
      </c>
      <c r="AK893" s="905" t="str">
        <f t="shared" si="87"/>
        <v>COUT-PLAN PROTECTION USAG</v>
      </c>
      <c r="AL893" s="905">
        <f>IFERROR(INDEX(G893:R893,1,MATCH(Parametres!$B$3,G$1:R$1,0)-1)*IF(OR(F893="L",F893="S",F893="I"),-1,1),"")</f>
        <v>1473800</v>
      </c>
      <c r="AM893" s="905">
        <f t="shared" si="88"/>
        <v>591000</v>
      </c>
      <c r="AN893" s="905">
        <f>INDEX(G893:R893,1,MATCH(Parametres!$B$3,G$1:R$1,0))*IF(OR(F893="L",F893="S",F893="I"),-1,1)</f>
        <v>2064800</v>
      </c>
      <c r="AO893" s="487" t="str">
        <f>+VLOOKUP($AJ893,Data_Validation!$A:$D,1,0)</f>
        <v>G65202</v>
      </c>
      <c r="AP893" s="487" t="str">
        <f>+VLOOKUP($AJ893,Data_Validation!$A:$D,3,0)</f>
        <v>Wholesale autres</v>
      </c>
      <c r="AQ893" s="487" t="str">
        <f>+VLOOKUP($AJ893,Data_Validation!$A:$D,4,0)</f>
        <v>Wholesale Luxueux</v>
      </c>
      <c r="AR893" s="487" t="s">
        <v>299</v>
      </c>
      <c r="AS893" s="487">
        <f>+VLOOKUP($AJ893,Data_Validation!$A:$E,5,0)</f>
        <v>0</v>
      </c>
      <c r="AT893" s="904" t="str">
        <f t="shared" si="89"/>
        <v>G65202</v>
      </c>
      <c r="AU893" s="488" t="str">
        <f t="shared" si="90"/>
        <v>COUT-PLAN PROTECTION USAG</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customHeight="1">
      <c r="A894" s="706" t="s">
        <v>1148</v>
      </c>
      <c r="B894" s="706">
        <v>2026</v>
      </c>
      <c r="C894" s="706" t="s">
        <v>2821</v>
      </c>
      <c r="D894" s="706" t="s">
        <v>2822</v>
      </c>
      <c r="E894" s="706" t="s">
        <v>333</v>
      </c>
      <c r="F894" s="706" t="s">
        <v>1152</v>
      </c>
      <c r="G894" s="706">
        <v>0</v>
      </c>
      <c r="H894" s="706">
        <v>0</v>
      </c>
      <c r="I894" s="706">
        <v>0</v>
      </c>
      <c r="J894" s="706">
        <v>0</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G65300</v>
      </c>
      <c r="AK894" s="905" t="str">
        <f t="shared" si="87"/>
        <v>RECTIFICATION/STOCK/TRUCK</v>
      </c>
      <c r="AL894" s="905">
        <f>IFERROR(INDEX(G894:R894,1,MATCH(Parametres!$B$3,G$1:R$1,0)-1)*IF(OR(F894="L",F894="S",F894="I"),-1,1),"")</f>
        <v>0</v>
      </c>
      <c r="AM894" s="905">
        <f t="shared" si="88"/>
        <v>0</v>
      </c>
      <c r="AN894" s="905">
        <f>INDEX(G894:R894,1,MATCH(Parametres!$B$3,G$1:R$1,0))*IF(OR(F894="L",F894="S",F894="I"),-1,1)</f>
        <v>0</v>
      </c>
      <c r="AO894" s="487" t="str">
        <f>+VLOOKUP($AJ894,Data_Validation!$A:$D,1,0)</f>
        <v>G65300</v>
      </c>
      <c r="AP894" s="487">
        <f>+VLOOKUP($AJ894,Data_Validation!$A:$D,3,0)</f>
        <v>0</v>
      </c>
      <c r="AQ894" s="487">
        <f>+VLOOKUP($AJ894,Data_Validation!$A:$D,4,0)</f>
        <v>0</v>
      </c>
      <c r="AR894" s="487" t="s">
        <v>299</v>
      </c>
      <c r="AS894" s="487">
        <f>+VLOOKUP($AJ894,Data_Validation!$A:$E,5,0)</f>
        <v>0</v>
      </c>
      <c r="AT894" s="904" t="str">
        <f t="shared" si="89"/>
        <v>G65300</v>
      </c>
      <c r="AU894" s="488" t="str">
        <f t="shared" si="90"/>
        <v>RECTIFICATION/STOCK/TRUCK</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customHeight="1">
      <c r="A895" s="706" t="s">
        <v>1148</v>
      </c>
      <c r="B895" s="706">
        <v>2026</v>
      </c>
      <c r="C895" s="706" t="s">
        <v>2823</v>
      </c>
      <c r="D895" s="706" t="s">
        <v>2824</v>
      </c>
      <c r="E895" s="706" t="s">
        <v>333</v>
      </c>
      <c r="F895" s="706" t="s">
        <v>1152</v>
      </c>
      <c r="G895" s="706">
        <v>18498</v>
      </c>
      <c r="H895" s="706">
        <v>22917.759999999998</v>
      </c>
      <c r="I895" s="706">
        <v>31986.76</v>
      </c>
      <c r="J895" s="706">
        <v>54598.76</v>
      </c>
      <c r="K895" s="706">
        <v>72597.759999999995</v>
      </c>
      <c r="L895" s="706">
        <v>89481.76</v>
      </c>
      <c r="M895" s="706">
        <v>89481.76</v>
      </c>
      <c r="N895" s="706">
        <v>0</v>
      </c>
      <c r="O895" s="706">
        <v>0</v>
      </c>
      <c r="P895" s="706">
        <v>0</v>
      </c>
      <c r="Q895" s="706">
        <v>0</v>
      </c>
      <c r="R895" s="706">
        <v>0</v>
      </c>
      <c r="S895" s="706">
        <v>14913.63</v>
      </c>
      <c r="T895" s="706">
        <v>14913.63</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G65400</v>
      </c>
      <c r="AK895" s="905" t="str">
        <f t="shared" si="87"/>
        <v>COUT-PLAN PROTECTION USAG</v>
      </c>
      <c r="AL895" s="905">
        <f>IFERROR(INDEX(G895:R895,1,MATCH(Parametres!$B$3,G$1:R$1,0)-1)*IF(OR(F895="L",F895="S",F895="I"),-1,1),"")</f>
        <v>72597.759999999995</v>
      </c>
      <c r="AM895" s="905">
        <f t="shared" si="88"/>
        <v>16884</v>
      </c>
      <c r="AN895" s="905">
        <f>INDEX(G895:R895,1,MATCH(Parametres!$B$3,G$1:R$1,0))*IF(OR(F895="L",F895="S",F895="I"),-1,1)</f>
        <v>89481.76</v>
      </c>
      <c r="AO895" s="487" t="str">
        <f>+VLOOKUP($AJ895,Data_Validation!$A:$D,1,0)</f>
        <v>G65400</v>
      </c>
      <c r="AP895" s="487" t="str">
        <f>+VLOOKUP($AJ895,Data_Validation!$A:$D,3,0)</f>
        <v>Véhicules usagés</v>
      </c>
      <c r="AQ895" s="487" t="str">
        <f>+VLOOKUP($AJ895,Data_Validation!$A:$D,4,0)</f>
        <v>Rev. Protections</v>
      </c>
      <c r="AR895" s="487" t="s">
        <v>299</v>
      </c>
      <c r="AS895" s="487">
        <f>+VLOOKUP($AJ895,Data_Validation!$A:$E,5,0)</f>
        <v>0</v>
      </c>
      <c r="AT895" s="904" t="str">
        <f t="shared" si="89"/>
        <v>G65400</v>
      </c>
      <c r="AU895" s="488" t="str">
        <f t="shared" si="90"/>
        <v>COUT-PLAN PROTECTION USAG</v>
      </c>
      <c r="AV895" s="899">
        <f>IFERROR(INDEX(V895:AG895,1,MATCH(Parametres!$B$3,V$1:AG$1,0)-1)*IF(OR(C895="L",C895="S",C895="I"),-1,1),"")</f>
        <v>0</v>
      </c>
      <c r="AW895" s="899">
        <f t="shared" si="91"/>
        <v>0</v>
      </c>
      <c r="AX895" s="899">
        <f>INDEX(V895:AG895,1,MATCH(Parametres!$B$3,V$1:AG$1,0))*IF(OR(C895="L",C895="S",C895="I"),-1,1)</f>
        <v>0</v>
      </c>
      <c r="AY895" s="487" t="s">
        <v>337</v>
      </c>
      <c r="AZ895" s="487">
        <f>+VLOOKUP($AJ895,Data_Validation!$A:$E,5,0)</f>
        <v>0</v>
      </c>
    </row>
    <row r="896" spans="1:52" ht="15" customHeight="1">
      <c r="A896" s="706" t="s">
        <v>1148</v>
      </c>
      <c r="B896" s="706">
        <v>2026</v>
      </c>
      <c r="C896" s="706" t="s">
        <v>3352</v>
      </c>
      <c r="D896" s="706" t="s">
        <v>3353</v>
      </c>
      <c r="E896" s="706" t="s">
        <v>333</v>
      </c>
      <c r="F896" s="706" t="s">
        <v>1152</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G65401</v>
      </c>
      <c r="AK896" s="905" t="str">
        <f t="shared" si="87"/>
        <v>COUT ANTIROUILLE USAGE</v>
      </c>
      <c r="AL896" s="905">
        <f>IFERROR(INDEX(G896:R896,1,MATCH(Parametres!$B$3,G$1:R$1,0)-1)*IF(OR(F896="L",F896="S",F896="I"),-1,1),"")</f>
        <v>0</v>
      </c>
      <c r="AM896" s="905">
        <f t="shared" si="88"/>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89"/>
        <v>G65401</v>
      </c>
      <c r="AU896" s="488" t="str">
        <f t="shared" si="90"/>
        <v>COUT ANTIROUILLE USAGE</v>
      </c>
      <c r="AV896" s="899">
        <f>IFERROR(INDEX(V896:AG896,1,MATCH(Parametres!$B$3,V$1:AG$1,0)-1)*IF(OR(C896="L",C896="S",C896="I"),-1,1),"")</f>
        <v>0</v>
      </c>
      <c r="AW896" s="899">
        <f t="shared" si="91"/>
        <v>0</v>
      </c>
      <c r="AX896" s="899">
        <f>INDEX(V896:AG896,1,MATCH(Parametres!$B$3,V$1:AG$1,0))*IF(OR(C896="L",C896="S",C896="I"),-1,1)</f>
        <v>0</v>
      </c>
      <c r="AY896" s="487" t="s">
        <v>337</v>
      </c>
      <c r="AZ896" s="487" t="e">
        <f>+VLOOKUP($AJ896,Data_Validation!$A:$E,5,0)</f>
        <v>#N/A</v>
      </c>
    </row>
    <row r="897" spans="1:52" ht="15" customHeight="1">
      <c r="A897" s="706" t="s">
        <v>1148</v>
      </c>
      <c r="B897" s="706">
        <v>2026</v>
      </c>
      <c r="C897" s="706" t="s">
        <v>3354</v>
      </c>
      <c r="D897" s="706" t="s">
        <v>3355</v>
      </c>
      <c r="E897" s="706" t="s">
        <v>333</v>
      </c>
      <c r="F897" s="706" t="s">
        <v>1152</v>
      </c>
      <c r="G897" s="706">
        <v>0</v>
      </c>
      <c r="H897" s="706">
        <v>0</v>
      </c>
      <c r="I897" s="706">
        <v>0</v>
      </c>
      <c r="J897" s="706">
        <v>0</v>
      </c>
      <c r="K897" s="706">
        <v>0</v>
      </c>
      <c r="L897" s="706">
        <v>0</v>
      </c>
      <c r="M897" s="706">
        <v>0</v>
      </c>
      <c r="N897" s="706">
        <v>0</v>
      </c>
      <c r="O897" s="706">
        <v>0</v>
      </c>
      <c r="P897" s="706">
        <v>0</v>
      </c>
      <c r="Q897" s="706">
        <v>0</v>
      </c>
      <c r="R897" s="706">
        <v>0</v>
      </c>
      <c r="S897" s="706">
        <v>0</v>
      </c>
      <c r="T897" s="706">
        <v>0</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G65403</v>
      </c>
      <c r="AK897" s="905" t="str">
        <f t="shared" si="87"/>
        <v>COUT VITRE-PEINT-TISS- US</v>
      </c>
      <c r="AL897" s="905">
        <f>IFERROR(INDEX(G897:R897,1,MATCH(Parametres!$B$3,G$1:R$1,0)-1)*IF(OR(F897="L",F897="S",F897="I"),-1,1),"")</f>
        <v>0</v>
      </c>
      <c r="AM897" s="905">
        <f t="shared" si="88"/>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t="str">
        <f t="shared" si="89"/>
        <v>G65403</v>
      </c>
      <c r="AU897" s="488" t="str">
        <f t="shared" si="90"/>
        <v>COUT VITRE-PEINT-TISS- US</v>
      </c>
      <c r="AV897" s="899">
        <f>IFERROR(INDEX(V897:AG897,1,MATCH(Parametres!$B$3,V$1:AG$1,0)-1)*IF(OR(C897="L",C897="S",C897="I"),-1,1),"")</f>
        <v>0</v>
      </c>
      <c r="AW897" s="899">
        <f t="shared" si="91"/>
        <v>0</v>
      </c>
      <c r="AX897" s="899">
        <f>INDEX(V897:AG897,1,MATCH(Parametres!$B$3,V$1:AG$1,0))*IF(OR(C897="L",C897="S",C897="I"),-1,1)</f>
        <v>0</v>
      </c>
      <c r="AY897" s="487" t="s">
        <v>337</v>
      </c>
      <c r="AZ897" s="487" t="e">
        <f>+VLOOKUP($AJ897,Data_Validation!$A:$E,5,0)</f>
        <v>#N/A</v>
      </c>
    </row>
    <row r="898" spans="1:52" ht="15" customHeight="1">
      <c r="A898" s="706" t="s">
        <v>1148</v>
      </c>
      <c r="B898" s="706">
        <v>2026</v>
      </c>
      <c r="C898" s="706" t="s">
        <v>3356</v>
      </c>
      <c r="D898" s="706" t="s">
        <v>3357</v>
      </c>
      <c r="E898" s="706" t="s">
        <v>333</v>
      </c>
      <c r="F898" s="706" t="s">
        <v>1152</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G65405</v>
      </c>
      <c r="AK898" s="905" t="str">
        <f t="shared" si="87"/>
        <v>COUT ANTIVOL-TAG - US</v>
      </c>
      <c r="AL898" s="905">
        <f>IFERROR(INDEX(G898:R898,1,MATCH(Parametres!$B$3,G$1:R$1,0)-1)*IF(OR(F898="L",F898="S",F898="I"),-1,1),"")</f>
        <v>0</v>
      </c>
      <c r="AM898" s="905">
        <f t="shared" si="88"/>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89"/>
        <v>G65405</v>
      </c>
      <c r="AU898" s="488" t="str">
        <f t="shared" si="90"/>
        <v>COUT ANTIVOL-TAG - US</v>
      </c>
      <c r="AV898" s="899">
        <f>IFERROR(INDEX(V898:AG898,1,MATCH(Parametres!$B$3,V$1:AG$1,0)-1)*IF(OR(C898="L",C898="S",C898="I"),-1,1),"")</f>
        <v>0</v>
      </c>
      <c r="AW898" s="899">
        <f t="shared" si="91"/>
        <v>0</v>
      </c>
      <c r="AX898" s="899">
        <f>INDEX(V898:AG898,1,MATCH(Parametres!$B$3,V$1:AG$1,0))*IF(OR(C898="L",C898="S",C898="I"),-1,1)</f>
        <v>0</v>
      </c>
      <c r="AY898" s="487" t="s">
        <v>337</v>
      </c>
      <c r="AZ898" s="487" t="e">
        <f>+VLOOKUP($AJ898,Data_Validation!$A:$E,5,0)</f>
        <v>#N/A</v>
      </c>
    </row>
    <row r="899" spans="1:52" ht="15" customHeight="1">
      <c r="A899" s="706" t="s">
        <v>1148</v>
      </c>
      <c r="B899" s="706">
        <v>2026</v>
      </c>
      <c r="C899" s="706" t="s">
        <v>2825</v>
      </c>
      <c r="D899" s="706" t="s">
        <v>2826</v>
      </c>
      <c r="E899" s="706" t="s">
        <v>1143</v>
      </c>
      <c r="F899" s="706" t="s">
        <v>1152</v>
      </c>
      <c r="G899" s="706">
        <v>0</v>
      </c>
      <c r="H899" s="706">
        <v>0</v>
      </c>
      <c r="I899" s="706">
        <v>0</v>
      </c>
      <c r="J899" s="706">
        <v>0</v>
      </c>
      <c r="K899" s="706">
        <v>0</v>
      </c>
      <c r="L899" s="706">
        <v>0</v>
      </c>
      <c r="M899" s="706">
        <v>0</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G65500</v>
      </c>
      <c r="AK899" s="905" t="str">
        <f t="shared" si="87"/>
        <v>RETOUR DE LOCATION-COUT</v>
      </c>
      <c r="AL899" s="905">
        <f>IFERROR(INDEX(G899:R899,1,MATCH(Parametres!$B$3,G$1:R$1,0)-1)*IF(OR(F899="L",F899="S",F899="I"),-1,1),"")</f>
        <v>0</v>
      </c>
      <c r="AM899" s="905">
        <f t="shared" si="88"/>
        <v>0</v>
      </c>
      <c r="AN899" s="905">
        <f>INDEX(G899:R899,1,MATCH(Parametres!$B$3,G$1:R$1,0))*IF(OR(F899="L",F899="S",F899="I"),-1,1)</f>
        <v>0</v>
      </c>
      <c r="AO899" s="487" t="str">
        <f>+VLOOKUP($AJ899,Data_Validation!$A:$D,1,0)</f>
        <v>G65500</v>
      </c>
      <c r="AP899" s="487" t="str">
        <f>+VLOOKUP($AJ899,Data_Validation!$A:$D,3,0)</f>
        <v>Véhicules usagés</v>
      </c>
      <c r="AQ899" s="487" t="str">
        <f>+VLOOKUP($AJ899,Data_Validation!$A:$D,4,0)</f>
        <v>Rev. Protections</v>
      </c>
      <c r="AR899" s="487" t="s">
        <v>299</v>
      </c>
      <c r="AS899" s="487">
        <f>+VLOOKUP($AJ899,Data_Validation!$A:$E,5,0)</f>
        <v>0</v>
      </c>
      <c r="AT899" s="904" t="str">
        <f t="shared" si="89"/>
        <v>G65500</v>
      </c>
      <c r="AU899" s="488" t="str">
        <f t="shared" si="90"/>
        <v>RETOUR DE LOCATION-COUT</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2827</v>
      </c>
      <c r="D900" s="706" t="s">
        <v>2828</v>
      </c>
      <c r="E900" s="706" t="s">
        <v>333</v>
      </c>
      <c r="F900" s="706" t="s">
        <v>1152</v>
      </c>
      <c r="G900" s="706">
        <v>1523.9</v>
      </c>
      <c r="H900" s="706">
        <v>1523.9</v>
      </c>
      <c r="I900" s="706">
        <v>2473.8000000000002</v>
      </c>
      <c r="J900" s="706">
        <v>2473.8000000000002</v>
      </c>
      <c r="K900" s="706">
        <v>2473.8000000000002</v>
      </c>
      <c r="L900" s="706">
        <v>2473.8000000000002</v>
      </c>
      <c r="M900" s="706">
        <v>2473.8000000000002</v>
      </c>
      <c r="N900" s="706">
        <v>0</v>
      </c>
      <c r="O900" s="706">
        <v>0</v>
      </c>
      <c r="P900" s="706">
        <v>0</v>
      </c>
      <c r="Q900" s="706">
        <v>0</v>
      </c>
      <c r="R900" s="706">
        <v>0</v>
      </c>
      <c r="S900" s="706">
        <v>412.3</v>
      </c>
      <c r="T900" s="706">
        <v>412.3</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G65600</v>
      </c>
      <c r="AK900" s="905" t="str">
        <f t="shared" si="87"/>
        <v>COUT-REMPLACEMENT USAGES</v>
      </c>
      <c r="AL900" s="905">
        <f>IFERROR(INDEX(G900:R900,1,MATCH(Parametres!$B$3,G$1:R$1,0)-1)*IF(OR(F900="L",F900="S",F900="I"),-1,1),"")</f>
        <v>2473.8000000000002</v>
      </c>
      <c r="AM900" s="905">
        <f t="shared" si="88"/>
        <v>0</v>
      </c>
      <c r="AN900" s="905">
        <f>INDEX(G900:R900,1,MATCH(Parametres!$B$3,G$1:R$1,0))*IF(OR(F900="L",F900="S",F900="I"),-1,1)</f>
        <v>2473.8000000000002</v>
      </c>
      <c r="AO900" s="487" t="str">
        <f>+VLOOKUP($AJ900,Data_Validation!$A:$D,1,0)</f>
        <v>G65600</v>
      </c>
      <c r="AP900" s="487" t="str">
        <f>+VLOOKUP($AJ900,Data_Validation!$A:$D,3,0)</f>
        <v>Véhicules usagés</v>
      </c>
      <c r="AQ900" s="487" t="str">
        <f>+VLOOKUP($AJ900,Data_Validation!$A:$D,4,0)</f>
        <v>Rev. Protections</v>
      </c>
      <c r="AR900" s="487" t="s">
        <v>299</v>
      </c>
      <c r="AS900" s="487">
        <f>+VLOOKUP($AJ900,Data_Validation!$A:$E,5,0)</f>
        <v>0</v>
      </c>
      <c r="AT900" s="904" t="str">
        <f t="shared" si="89"/>
        <v>G65600</v>
      </c>
      <c r="AU900" s="488" t="str">
        <f t="shared" si="90"/>
        <v>COUT-REMPLACEMENT USAGES</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2829</v>
      </c>
      <c r="D901" s="706" t="s">
        <v>2830</v>
      </c>
      <c r="E901" s="706" t="s">
        <v>1152</v>
      </c>
      <c r="F901" s="706" t="s">
        <v>1152</v>
      </c>
      <c r="G901" s="706">
        <v>0</v>
      </c>
      <c r="H901" s="706">
        <v>11481.43</v>
      </c>
      <c r="I901" s="706">
        <v>11481.43</v>
      </c>
      <c r="J901" s="706">
        <v>11481.43</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G65601</v>
      </c>
      <c r="AK901" s="905" t="str">
        <f t="shared" si="87"/>
        <v>COUT VEH U.S.A</v>
      </c>
      <c r="AL901" s="905">
        <f>IFERROR(INDEX(G901:R901,1,MATCH(Parametres!$B$3,G$1:R$1,0)-1)*IF(OR(F901="L",F901="S",F901="I"),-1,1),"")</f>
        <v>0</v>
      </c>
      <c r="AM901" s="905">
        <f t="shared" si="88"/>
        <v>0</v>
      </c>
      <c r="AN901" s="905">
        <f>INDEX(G901:R901,1,MATCH(Parametres!$B$3,G$1:R$1,0))*IF(OR(F901="L",F901="S",F901="I"),-1,1)</f>
        <v>0</v>
      </c>
      <c r="AO901" s="487" t="str">
        <f>+VLOOKUP($AJ901,Data_Validation!$A:$D,1,0)</f>
        <v>G65601</v>
      </c>
      <c r="AP901" s="487" t="str">
        <f>+VLOOKUP($AJ901,Data_Validation!$A:$D,3,0)</f>
        <v>Wholesale autres</v>
      </c>
      <c r="AQ901" s="487" t="str">
        <f>+VLOOKUP($AJ901,Data_Validation!$A:$D,4,0)</f>
        <v>Wholesale USA</v>
      </c>
      <c r="AR901" s="487" t="s">
        <v>299</v>
      </c>
      <c r="AS901" s="487">
        <f>+VLOOKUP($AJ901,Data_Validation!$A:$E,5,0)</f>
        <v>0</v>
      </c>
      <c r="AT901" s="904" t="str">
        <f t="shared" si="89"/>
        <v>G65601</v>
      </c>
      <c r="AU901" s="488" t="str">
        <f t="shared" si="90"/>
        <v>COUT VEH U.S.A</v>
      </c>
      <c r="AV901" s="899">
        <f>IFERROR(INDEX(V901:AG901,1,MATCH(Parametres!$B$3,V$1:AG$1,0)-1)*IF(OR(C901="L",C901="S",C901="I"),-1,1),"")</f>
        <v>0</v>
      </c>
      <c r="AW901" s="899">
        <f t="shared" si="91"/>
        <v>0</v>
      </c>
      <c r="AX901" s="899">
        <f>INDEX(V901:AG901,1,MATCH(Parametres!$B$3,V$1:AG$1,0))*IF(OR(C901="L",C901="S",C901="I"),-1,1)</f>
        <v>0</v>
      </c>
      <c r="AY901" s="487" t="s">
        <v>337</v>
      </c>
      <c r="AZ901" s="487">
        <f>+VLOOKUP($AJ901,Data_Validation!$A:$E,5,0)</f>
        <v>0</v>
      </c>
    </row>
    <row r="902" spans="1:52" ht="15" customHeight="1">
      <c r="A902" s="706" t="s">
        <v>1148</v>
      </c>
      <c r="B902" s="706">
        <v>2026</v>
      </c>
      <c r="C902" s="706" t="s">
        <v>2831</v>
      </c>
      <c r="D902" s="706" t="s">
        <v>2832</v>
      </c>
      <c r="E902" s="706" t="s">
        <v>333</v>
      </c>
      <c r="F902" s="706" t="s">
        <v>1152</v>
      </c>
      <c r="G902" s="706">
        <v>0</v>
      </c>
      <c r="H902" s="706">
        <v>0</v>
      </c>
      <c r="I902" s="706">
        <v>0</v>
      </c>
      <c r="J902" s="706">
        <v>0</v>
      </c>
      <c r="K902" s="706">
        <v>0</v>
      </c>
      <c r="L902" s="706">
        <v>0</v>
      </c>
      <c r="M902" s="706">
        <v>0</v>
      </c>
      <c r="N902" s="706">
        <v>0</v>
      </c>
      <c r="O902" s="706">
        <v>0</v>
      </c>
      <c r="P902" s="706">
        <v>0</v>
      </c>
      <c r="Q902" s="706">
        <v>0</v>
      </c>
      <c r="R902" s="706">
        <v>0</v>
      </c>
      <c r="S902" s="706">
        <v>0</v>
      </c>
      <c r="T902" s="706">
        <v>0</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G65602</v>
      </c>
      <c r="AK902" s="905" t="str">
        <f t="shared" si="87"/>
        <v>COUT VENTE USA -AJUSTMENT</v>
      </c>
      <c r="AL902" s="905">
        <f>IFERROR(INDEX(G902:R902,1,MATCH(Parametres!$B$3,G$1:R$1,0)-1)*IF(OR(F902="L",F902="S",F902="I"),-1,1),"")</f>
        <v>0</v>
      </c>
      <c r="AM902" s="905">
        <f t="shared" si="88"/>
        <v>0</v>
      </c>
      <c r="AN902" s="905">
        <f>INDEX(G902:R902,1,MATCH(Parametres!$B$3,G$1:R$1,0))*IF(OR(F902="L",F902="S",F902="I"),-1,1)</f>
        <v>0</v>
      </c>
      <c r="AO902" s="487" t="str">
        <f>+VLOOKUP($AJ902,Data_Validation!$A:$D,1,0)</f>
        <v>G65602</v>
      </c>
      <c r="AP902" s="487" t="str">
        <f>+VLOOKUP($AJ902,Data_Validation!$A:$D,3,0)</f>
        <v>Wholesale autres</v>
      </c>
      <c r="AQ902" s="487" t="str">
        <f>+VLOOKUP($AJ902,Data_Validation!$A:$D,4,0)</f>
        <v>Wholesale USA</v>
      </c>
      <c r="AR902" s="487" t="s">
        <v>299</v>
      </c>
      <c r="AS902" s="487">
        <f>+VLOOKUP($AJ902,Data_Validation!$A:$E,5,0)</f>
        <v>0</v>
      </c>
      <c r="AT902" s="904" t="str">
        <f t="shared" si="89"/>
        <v>G65602</v>
      </c>
      <c r="AU902" s="488" t="str">
        <f t="shared" si="90"/>
        <v>COUT VENTE USA -AJUSTMENT</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2833</v>
      </c>
      <c r="D903" s="706" t="s">
        <v>2834</v>
      </c>
      <c r="E903" s="706" t="s">
        <v>1143</v>
      </c>
      <c r="F903" s="706" t="s">
        <v>1152</v>
      </c>
      <c r="G903" s="706">
        <v>1824174.62</v>
      </c>
      <c r="H903" s="706">
        <v>3633133.52</v>
      </c>
      <c r="I903" s="706">
        <v>7320041.8700000001</v>
      </c>
      <c r="J903" s="706">
        <v>11569668.59</v>
      </c>
      <c r="K903" s="706">
        <v>14808103.08</v>
      </c>
      <c r="L903" s="706">
        <v>17839502.09</v>
      </c>
      <c r="M903" s="706">
        <v>18044828.010000002</v>
      </c>
      <c r="N903" s="706">
        <v>0</v>
      </c>
      <c r="O903" s="706">
        <v>0</v>
      </c>
      <c r="P903" s="706">
        <v>0</v>
      </c>
      <c r="Q903" s="706">
        <v>0</v>
      </c>
      <c r="R903" s="706">
        <v>0</v>
      </c>
      <c r="S903" s="706">
        <v>2973250.35</v>
      </c>
      <c r="T903" s="706">
        <v>2973250.35</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G65603</v>
      </c>
      <c r="AK903" s="905" t="str">
        <f t="shared" si="87"/>
        <v>COUTANT VENTES USA</v>
      </c>
      <c r="AL903" s="905">
        <f>IFERROR(INDEX(G903:R903,1,MATCH(Parametres!$B$3,G$1:R$1,0)-1)*IF(OR(F903="L",F903="S",F903="I"),-1,1),"")</f>
        <v>14808103.08</v>
      </c>
      <c r="AM903" s="905">
        <f t="shared" si="88"/>
        <v>3031399.01</v>
      </c>
      <c r="AN903" s="905">
        <f>INDEX(G903:R903,1,MATCH(Parametres!$B$3,G$1:R$1,0))*IF(OR(F903="L",F903="S",F903="I"),-1,1)</f>
        <v>17839502.09</v>
      </c>
      <c r="AO903" s="487" t="str">
        <f>+VLOOKUP($AJ903,Data_Validation!$A:$D,1,0)</f>
        <v>G65603</v>
      </c>
      <c r="AP903" s="487" t="str">
        <f>+VLOOKUP($AJ903,Data_Validation!$A:$D,3,0)</f>
        <v>Wholesale autres</v>
      </c>
      <c r="AQ903" s="487" t="str">
        <f>+VLOOKUP($AJ903,Data_Validation!$A:$D,4,0)</f>
        <v>Wholesale USA</v>
      </c>
      <c r="AR903" s="487" t="s">
        <v>299</v>
      </c>
      <c r="AS903" s="487">
        <f>+VLOOKUP($AJ903,Data_Validation!$A:$E,5,0)</f>
        <v>0</v>
      </c>
      <c r="AT903" s="904" t="str">
        <f t="shared" si="89"/>
        <v>G65603</v>
      </c>
      <c r="AU903" s="488" t="str">
        <f t="shared" si="90"/>
        <v>COUTANT VENTES USA</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2835</v>
      </c>
      <c r="D904" s="706" t="s">
        <v>2836</v>
      </c>
      <c r="E904" s="706" t="s">
        <v>1143</v>
      </c>
      <c r="F904" s="706" t="s">
        <v>1152</v>
      </c>
      <c r="G904" s="706">
        <v>0</v>
      </c>
      <c r="H904" s="706">
        <v>0</v>
      </c>
      <c r="I904" s="706">
        <v>0</v>
      </c>
      <c r="J904" s="706">
        <v>0</v>
      </c>
      <c r="K904" s="706">
        <v>3688515.75</v>
      </c>
      <c r="L904" s="706">
        <v>5629910.8300000001</v>
      </c>
      <c r="M904" s="706">
        <v>5871160.3300000001</v>
      </c>
      <c r="N904" s="706">
        <v>0</v>
      </c>
      <c r="O904" s="706">
        <v>0</v>
      </c>
      <c r="P904" s="706">
        <v>0</v>
      </c>
      <c r="Q904" s="706">
        <v>0</v>
      </c>
      <c r="R904" s="706">
        <v>0</v>
      </c>
      <c r="S904" s="706">
        <v>938318.47</v>
      </c>
      <c r="T904" s="706">
        <v>938318.47</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G656031</v>
      </c>
      <c r="AK904" s="905" t="str">
        <f t="shared" si="87"/>
        <v>COUT VENTES INTERCO USA</v>
      </c>
      <c r="AL904" s="905">
        <f>IFERROR(INDEX(G904:R904,1,MATCH(Parametres!$B$3,G$1:R$1,0)-1)*IF(OR(F904="L",F904="S",F904="I"),-1,1),"")</f>
        <v>3688515.75</v>
      </c>
      <c r="AM904" s="905">
        <f t="shared" si="88"/>
        <v>1941395.08</v>
      </c>
      <c r="AN904" s="905">
        <f>INDEX(G904:R904,1,MATCH(Parametres!$B$3,G$1:R$1,0))*IF(OR(F904="L",F904="S",F904="I"),-1,1)</f>
        <v>5629910.8300000001</v>
      </c>
      <c r="AO904" s="487" t="str">
        <f>+VLOOKUP($AJ904,Data_Validation!$A:$D,1,0)</f>
        <v>G656031</v>
      </c>
      <c r="AP904" s="487">
        <f>+VLOOKUP($AJ904,Data_Validation!$A:$D,3,0)</f>
        <v>0</v>
      </c>
      <c r="AQ904" s="487">
        <f>+VLOOKUP($AJ904,Data_Validation!$A:$D,4,0)</f>
        <v>0</v>
      </c>
      <c r="AR904" s="487" t="s">
        <v>299</v>
      </c>
      <c r="AS904" s="487">
        <f>+VLOOKUP($AJ904,Data_Validation!$A:$E,5,0)</f>
        <v>0</v>
      </c>
      <c r="AT904" s="904" t="str">
        <f t="shared" si="89"/>
        <v>G656031</v>
      </c>
      <c r="AU904" s="488" t="str">
        <f t="shared" si="90"/>
        <v>COUT VENTES INTERCO USA</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2837</v>
      </c>
      <c r="D905" s="706" t="s">
        <v>2838</v>
      </c>
      <c r="E905" s="706" t="s">
        <v>1143</v>
      </c>
      <c r="F905" s="706" t="s">
        <v>1152</v>
      </c>
      <c r="G905" s="706">
        <v>0</v>
      </c>
      <c r="H905" s="706">
        <v>0</v>
      </c>
      <c r="I905" s="706">
        <v>0</v>
      </c>
      <c r="J905" s="706">
        <v>0</v>
      </c>
      <c r="K905" s="706">
        <v>7618583.3200000003</v>
      </c>
      <c r="L905" s="706">
        <v>8208159.9699999997</v>
      </c>
      <c r="M905" s="706">
        <v>8642753.5</v>
      </c>
      <c r="N905" s="706">
        <v>0</v>
      </c>
      <c r="O905" s="706">
        <v>0</v>
      </c>
      <c r="P905" s="706">
        <v>0</v>
      </c>
      <c r="Q905" s="706">
        <v>0</v>
      </c>
      <c r="R905" s="706">
        <v>0</v>
      </c>
      <c r="S905" s="706">
        <v>1368026.66</v>
      </c>
      <c r="T905" s="706">
        <v>1368026.66</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G65605</v>
      </c>
      <c r="AK905" s="905" t="str">
        <f t="shared" si="87"/>
        <v>COUT VENTE WHL CANADA</v>
      </c>
      <c r="AL905" s="905">
        <f>IFERROR(INDEX(G905:R905,1,MATCH(Parametres!$B$3,G$1:R$1,0)-1)*IF(OR(F905="L",F905="S",F905="I"),-1,1),"")</f>
        <v>7618583.3200000003</v>
      </c>
      <c r="AM905" s="905">
        <f t="shared" si="88"/>
        <v>589576.64999999944</v>
      </c>
      <c r="AN905" s="905">
        <f>INDEX(G905:R905,1,MATCH(Parametres!$B$3,G$1:R$1,0))*IF(OR(F905="L",F905="S",F905="I"),-1,1)</f>
        <v>8208159.9699999997</v>
      </c>
      <c r="AO905" s="487" t="str">
        <f>+VLOOKUP($AJ905,Data_Validation!$A:$D,1,0)</f>
        <v>G65605</v>
      </c>
      <c r="AP905" s="487" t="str">
        <f>+VLOOKUP($AJ905,Data_Validation!$A:$D,3,0)</f>
        <v>Wholesale autres</v>
      </c>
      <c r="AQ905" s="487" t="str">
        <f>+VLOOKUP($AJ905,Data_Validation!$A:$D,4,0)</f>
        <v>Wholesale Canada</v>
      </c>
      <c r="AR905" s="487" t="s">
        <v>299</v>
      </c>
      <c r="AS905" s="487">
        <f>+VLOOKUP($AJ905,Data_Validation!$A:$E,5,0)</f>
        <v>0</v>
      </c>
      <c r="AT905" s="904" t="str">
        <f t="shared" si="89"/>
        <v>G65605</v>
      </c>
      <c r="AU905" s="488" t="str">
        <f t="shared" si="90"/>
        <v>COUT VENTE WHL CANADA</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customHeight="1">
      <c r="A906" s="706" t="s">
        <v>1148</v>
      </c>
      <c r="B906" s="706">
        <v>2026</v>
      </c>
      <c r="C906" s="706" t="s">
        <v>2839</v>
      </c>
      <c r="D906" s="706" t="s">
        <v>2840</v>
      </c>
      <c r="E906" s="706" t="s">
        <v>333</v>
      </c>
      <c r="F906" s="706" t="s">
        <v>1152</v>
      </c>
      <c r="G906" s="706">
        <v>13446.01</v>
      </c>
      <c r="H906" s="706">
        <v>29099.53</v>
      </c>
      <c r="I906" s="706">
        <v>45415.22</v>
      </c>
      <c r="J906" s="706">
        <v>64137.919999999998</v>
      </c>
      <c r="K906" s="706">
        <v>77049</v>
      </c>
      <c r="L906" s="706">
        <v>93388.15</v>
      </c>
      <c r="M906" s="706">
        <v>102174.42</v>
      </c>
      <c r="N906" s="706">
        <v>0</v>
      </c>
      <c r="O906" s="706">
        <v>0</v>
      </c>
      <c r="P906" s="706">
        <v>0</v>
      </c>
      <c r="Q906" s="706">
        <v>0</v>
      </c>
      <c r="R906" s="706">
        <v>0</v>
      </c>
      <c r="S906" s="706">
        <v>15564.69</v>
      </c>
      <c r="T906" s="706">
        <v>15564.69</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G66010</v>
      </c>
      <c r="AK906" s="905" t="str">
        <f t="shared" si="87"/>
        <v>COUT CLIENT VOIT CAM LEG.</v>
      </c>
      <c r="AL906" s="905">
        <f>IFERROR(INDEX(G906:R906,1,MATCH(Parametres!$B$3,G$1:R$1,0)-1)*IF(OR(F906="L",F906="S",F906="I"),-1,1),"")</f>
        <v>77049</v>
      </c>
      <c r="AM906" s="905">
        <f t="shared" si="88"/>
        <v>16339.149999999994</v>
      </c>
      <c r="AN906" s="905">
        <f>INDEX(G906:R906,1,MATCH(Parametres!$B$3,G$1:R$1,0))*IF(OR(F906="L",F906="S",F906="I"),-1,1)</f>
        <v>93388.15</v>
      </c>
      <c r="AO906" s="487" t="str">
        <f>+VLOOKUP($AJ906,Data_Validation!$A:$D,1,0)</f>
        <v>G66010</v>
      </c>
      <c r="AP906" s="487" t="str">
        <f>+VLOOKUP($AJ906,Data_Validation!$A:$D,3,0)</f>
        <v>Service</v>
      </c>
      <c r="AQ906" s="487" t="str">
        <f>+VLOOKUP($AJ906,Data_Validation!$A:$D,4,0)</f>
        <v>M/O Client</v>
      </c>
      <c r="AR906" s="487" t="s">
        <v>299</v>
      </c>
      <c r="AS906" s="487">
        <f>+VLOOKUP($AJ906,Data_Validation!$A:$E,5,0)</f>
        <v>0</v>
      </c>
      <c r="AT906" s="904" t="str">
        <f t="shared" si="89"/>
        <v>G66010</v>
      </c>
      <c r="AU906" s="488" t="str">
        <f t="shared" si="90"/>
        <v>COUT CLIENT VOIT CAM LEG.</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3336</v>
      </c>
      <c r="D907" s="706" t="s">
        <v>3337</v>
      </c>
      <c r="E907" s="706" t="s">
        <v>333</v>
      </c>
      <c r="F907" s="706" t="s">
        <v>1152</v>
      </c>
      <c r="G907" s="706">
        <v>0</v>
      </c>
      <c r="H907" s="706">
        <v>0</v>
      </c>
      <c r="I907" s="706">
        <v>0</v>
      </c>
      <c r="J907" s="706">
        <v>0</v>
      </c>
      <c r="K907" s="706">
        <v>0</v>
      </c>
      <c r="L907" s="706">
        <v>3.25</v>
      </c>
      <c r="M907" s="706">
        <v>3.25</v>
      </c>
      <c r="N907" s="706">
        <v>0</v>
      </c>
      <c r="O907" s="706">
        <v>0</v>
      </c>
      <c r="P907" s="706">
        <v>0</v>
      </c>
      <c r="Q907" s="706">
        <v>0</v>
      </c>
      <c r="R907" s="706">
        <v>0</v>
      </c>
      <c r="S907" s="706">
        <v>0.54</v>
      </c>
      <c r="T907" s="706">
        <v>0.54</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G66015</v>
      </c>
      <c r="AK907" s="905" t="str">
        <f t="shared" si="87"/>
        <v>COUT ESTHETIQUE CLIENT</v>
      </c>
      <c r="AL907" s="905">
        <f>IFERROR(INDEX(G907:R907,1,MATCH(Parametres!$B$3,G$1:R$1,0)-1)*IF(OR(F907="L",F907="S",F907="I"),-1,1),"")</f>
        <v>0</v>
      </c>
      <c r="AM907" s="905">
        <f t="shared" si="88"/>
        <v>3.25</v>
      </c>
      <c r="AN907" s="905">
        <f>INDEX(G907:R907,1,MATCH(Parametres!$B$3,G$1:R$1,0))*IF(OR(F907="L",F907="S",F907="I"),-1,1)</f>
        <v>3.25</v>
      </c>
      <c r="AO907" s="487" t="str">
        <f>+VLOOKUP($AJ907,Data_Validation!$A:$D,1,0)</f>
        <v>G66015</v>
      </c>
      <c r="AP907" s="487" t="str">
        <f>+VLOOKUP($AJ907,Data_Validation!$A:$D,3,0)</f>
        <v>Service</v>
      </c>
      <c r="AQ907" s="487" t="str">
        <f>+VLOOKUP($AJ907,Data_Validation!$A:$D,4,0)</f>
        <v>M/O Client</v>
      </c>
      <c r="AR907" s="487" t="s">
        <v>299</v>
      </c>
      <c r="AS907" s="487">
        <f>+VLOOKUP($AJ907,Data_Validation!$A:$E,5,0)</f>
        <v>0</v>
      </c>
      <c r="AT907" s="904" t="str">
        <f t="shared" si="89"/>
        <v>G66015</v>
      </c>
      <c r="AU907" s="488" t="str">
        <f t="shared" si="90"/>
        <v>COUT ESTHETIQUE CLIENT</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2841</v>
      </c>
      <c r="D908" s="706" t="s">
        <v>2842</v>
      </c>
      <c r="E908" s="706" t="s">
        <v>333</v>
      </c>
      <c r="F908" s="706" t="s">
        <v>1152</v>
      </c>
      <c r="G908" s="706">
        <v>0</v>
      </c>
      <c r="H908" s="706">
        <v>0</v>
      </c>
      <c r="I908" s="706">
        <v>0</v>
      </c>
      <c r="J908" s="706">
        <v>0</v>
      </c>
      <c r="K908" s="706">
        <v>0</v>
      </c>
      <c r="L908" s="706">
        <v>0</v>
      </c>
      <c r="M908" s="706">
        <v>0</v>
      </c>
      <c r="N908" s="706">
        <v>0</v>
      </c>
      <c r="O908" s="706">
        <v>0</v>
      </c>
      <c r="P908" s="706">
        <v>0</v>
      </c>
      <c r="Q908" s="706">
        <v>0</v>
      </c>
      <c r="R908" s="706">
        <v>0</v>
      </c>
      <c r="S908" s="706">
        <v>0</v>
      </c>
      <c r="T908" s="706">
        <v>0</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G66020</v>
      </c>
      <c r="AK908" s="905" t="str">
        <f t="shared" si="87"/>
        <v>COUT CON.SER.VOIT CAM LEG</v>
      </c>
      <c r="AL908" s="905">
        <f>IFERROR(INDEX(G908:R908,1,MATCH(Parametres!$B$3,G$1:R$1,0)-1)*IF(OR(F908="L",F908="S",F908="I"),-1,1),"")</f>
        <v>0</v>
      </c>
      <c r="AM908" s="905">
        <f t="shared" si="88"/>
        <v>0</v>
      </c>
      <c r="AN908" s="905">
        <f>INDEX(G908:R908,1,MATCH(Parametres!$B$3,G$1:R$1,0))*IF(OR(F908="L",F908="S",F908="I"),-1,1)</f>
        <v>0</v>
      </c>
      <c r="AO908" s="487" t="str">
        <f>+VLOOKUP($AJ908,Data_Validation!$A:$D,1,0)</f>
        <v>G66020</v>
      </c>
      <c r="AP908" s="487" t="str">
        <f>+VLOOKUP($AJ908,Data_Validation!$A:$D,3,0)</f>
        <v>Service</v>
      </c>
      <c r="AQ908" s="487" t="str">
        <f>+VLOOKUP($AJ908,Data_Validation!$A:$D,4,0)</f>
        <v>M/O Garantie</v>
      </c>
      <c r="AR908" s="487" t="s">
        <v>299</v>
      </c>
      <c r="AS908" s="487">
        <f>+VLOOKUP($AJ908,Data_Validation!$A:$E,5,0)</f>
        <v>0</v>
      </c>
      <c r="AT908" s="904" t="str">
        <f t="shared" si="89"/>
        <v>G66020</v>
      </c>
      <c r="AU908" s="488" t="str">
        <f t="shared" si="90"/>
        <v>COUT CON.SER.VOIT CAM LEG</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customHeight="1">
      <c r="A909" s="706" t="s">
        <v>1148</v>
      </c>
      <c r="B909" s="706">
        <v>2026</v>
      </c>
      <c r="C909" s="706" t="s">
        <v>2843</v>
      </c>
      <c r="D909" s="706" t="s">
        <v>2844</v>
      </c>
      <c r="E909" s="706" t="s">
        <v>333</v>
      </c>
      <c r="F909" s="706" t="s">
        <v>1152</v>
      </c>
      <c r="G909" s="706">
        <v>0</v>
      </c>
      <c r="H909" s="706">
        <v>0</v>
      </c>
      <c r="I909" s="706">
        <v>0</v>
      </c>
      <c r="J909" s="706">
        <v>0</v>
      </c>
      <c r="K909" s="706">
        <v>0</v>
      </c>
      <c r="L909" s="706">
        <v>0</v>
      </c>
      <c r="M909" s="706">
        <v>0</v>
      </c>
      <c r="N909" s="706">
        <v>0</v>
      </c>
      <c r="O909" s="706">
        <v>0</v>
      </c>
      <c r="P909" s="706">
        <v>0</v>
      </c>
      <c r="Q909" s="706">
        <v>0</v>
      </c>
      <c r="R909" s="706">
        <v>0</v>
      </c>
      <c r="S909" s="706">
        <v>0</v>
      </c>
      <c r="T909" s="706">
        <v>0</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G66030</v>
      </c>
      <c r="AK909" s="905" t="str">
        <f t="shared" si="87"/>
        <v>COUT-M.D.PLAN PROT.A.AUTO</v>
      </c>
      <c r="AL909" s="905">
        <f>IFERROR(INDEX(G909:R909,1,MATCH(Parametres!$B$3,G$1:R$1,0)-1)*IF(OR(F909="L",F909="S",F909="I"),-1,1),"")</f>
        <v>0</v>
      </c>
      <c r="AM909" s="905">
        <f t="shared" si="88"/>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t="str">
        <f t="shared" si="89"/>
        <v>G66030</v>
      </c>
      <c r="AU909" s="488" t="str">
        <f t="shared" si="90"/>
        <v>COUT-M.D.PLAN PROT.A.AUTO</v>
      </c>
      <c r="AV909" s="899">
        <f>IFERROR(INDEX(V909:AG909,1,MATCH(Parametres!$B$3,V$1:AG$1,0)-1)*IF(OR(C909="L",C909="S",C909="I"),-1,1),"")</f>
        <v>0</v>
      </c>
      <c r="AW909" s="899">
        <f t="shared" si="91"/>
        <v>0</v>
      </c>
      <c r="AX909" s="899">
        <f>INDEX(V909:AG909,1,MATCH(Parametres!$B$3,V$1:AG$1,0))*IF(OR(C909="L",C909="S",C909="I"),-1,1)</f>
        <v>0</v>
      </c>
      <c r="AY909" s="487" t="s">
        <v>337</v>
      </c>
      <c r="AZ909" s="487" t="e">
        <f>+VLOOKUP($AJ909,Data_Validation!$A:$E,5,0)</f>
        <v>#N/A</v>
      </c>
    </row>
    <row r="910" spans="1:52" ht="15" customHeight="1">
      <c r="A910" s="706" t="s">
        <v>1148</v>
      </c>
      <c r="B910" s="706">
        <v>2026</v>
      </c>
      <c r="C910" s="706" t="s">
        <v>2845</v>
      </c>
      <c r="D910" s="706" t="s">
        <v>2846</v>
      </c>
      <c r="E910" s="706" t="s">
        <v>333</v>
      </c>
      <c r="F910" s="706" t="s">
        <v>1152</v>
      </c>
      <c r="G910" s="706">
        <v>518.16</v>
      </c>
      <c r="H910" s="706">
        <v>817.18</v>
      </c>
      <c r="I910" s="706">
        <v>937.18</v>
      </c>
      <c r="J910" s="706">
        <v>1459.1</v>
      </c>
      <c r="K910" s="706">
        <v>2870.89</v>
      </c>
      <c r="L910" s="706">
        <v>3656.76</v>
      </c>
      <c r="M910" s="706">
        <v>4017.02</v>
      </c>
      <c r="N910" s="706">
        <v>0</v>
      </c>
      <c r="O910" s="706">
        <v>0</v>
      </c>
      <c r="P910" s="706">
        <v>0</v>
      </c>
      <c r="Q910" s="706">
        <v>0</v>
      </c>
      <c r="R910" s="706">
        <v>0</v>
      </c>
      <c r="S910" s="706">
        <v>609.46</v>
      </c>
      <c r="T910" s="706">
        <v>609.46</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G66040</v>
      </c>
      <c r="AK910" s="905" t="str">
        <f t="shared" si="87"/>
        <v>COUT SER RAP.VOIT CAM LEG</v>
      </c>
      <c r="AL910" s="905">
        <f>IFERROR(INDEX(G910:R910,1,MATCH(Parametres!$B$3,G$1:R$1,0)-1)*IF(OR(F910="L",F910="S",F910="I"),-1,1),"")</f>
        <v>2870.89</v>
      </c>
      <c r="AM910" s="905">
        <f t="shared" si="88"/>
        <v>785.87000000000035</v>
      </c>
      <c r="AN910" s="905">
        <f>INDEX(G910:R910,1,MATCH(Parametres!$B$3,G$1:R$1,0))*IF(OR(F910="L",F910="S",F910="I"),-1,1)</f>
        <v>3656.76</v>
      </c>
      <c r="AO910" s="487" t="str">
        <f>+VLOOKUP($AJ910,Data_Validation!$A:$D,1,0)</f>
        <v>G66040</v>
      </c>
      <c r="AP910" s="487" t="str">
        <f>+VLOOKUP($AJ910,Data_Validation!$A:$D,3,0)</f>
        <v>Service</v>
      </c>
      <c r="AQ910" s="487" t="str">
        <f>+VLOOKUP($AJ910,Data_Validation!$A:$D,4,0)</f>
        <v>M/O Client</v>
      </c>
      <c r="AR910" s="487" t="s">
        <v>299</v>
      </c>
      <c r="AS910" s="487">
        <f>+VLOOKUP($AJ910,Data_Validation!$A:$E,5,0)</f>
        <v>0</v>
      </c>
      <c r="AT910" s="904" t="str">
        <f t="shared" si="89"/>
        <v>G66040</v>
      </c>
      <c r="AU910" s="488" t="str">
        <f t="shared" si="90"/>
        <v>COUT SER RAP.VOIT CAM LEG</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3338</v>
      </c>
      <c r="D911" s="706" t="s">
        <v>3339</v>
      </c>
      <c r="E911" s="706" t="s">
        <v>333</v>
      </c>
      <c r="F911" s="706" t="s">
        <v>1152</v>
      </c>
      <c r="G911" s="706">
        <v>0</v>
      </c>
      <c r="H911" s="706">
        <v>0</v>
      </c>
      <c r="I911" s="706">
        <v>0</v>
      </c>
      <c r="J911" s="706">
        <v>0</v>
      </c>
      <c r="K911" s="706">
        <v>0</v>
      </c>
      <c r="L911" s="706">
        <v>0</v>
      </c>
      <c r="M911" s="706">
        <v>0</v>
      </c>
      <c r="N911" s="706">
        <v>0</v>
      </c>
      <c r="O911" s="706">
        <v>0</v>
      </c>
      <c r="P911" s="706">
        <v>0</v>
      </c>
      <c r="Q911" s="706">
        <v>0</v>
      </c>
      <c r="R911" s="706">
        <v>0</v>
      </c>
      <c r="S911" s="706">
        <v>0</v>
      </c>
      <c r="T911" s="706">
        <v>0</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G66050</v>
      </c>
      <c r="AK911" s="905" t="str">
        <f t="shared" si="87"/>
        <v>COUT M-0 ELECTRIQUE   CLT</v>
      </c>
      <c r="AL911" s="905">
        <f>IFERROR(INDEX(G911:R911,1,MATCH(Parametres!$B$3,G$1:R$1,0)-1)*IF(OR(F911="L",F911="S",F911="I"),-1,1),"")</f>
        <v>0</v>
      </c>
      <c r="AM911" s="905">
        <f t="shared" si="88"/>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t="str">
        <f t="shared" si="89"/>
        <v>G66050</v>
      </c>
      <c r="AU911" s="488" t="str">
        <f t="shared" si="90"/>
        <v>COUT M-0 ELECTRIQUE   CLT</v>
      </c>
      <c r="AV911" s="899">
        <f>IFERROR(INDEX(V911:AG911,1,MATCH(Parametres!$B$3,V$1:AG$1,0)-1)*IF(OR(C911="L",C911="S",C911="I"),-1,1),"")</f>
        <v>0</v>
      </c>
      <c r="AW911" s="899">
        <f t="shared" si="91"/>
        <v>0</v>
      </c>
      <c r="AX911" s="899">
        <f>INDEX(V911:AG911,1,MATCH(Parametres!$B$3,V$1:AG$1,0))*IF(OR(C911="L",C911="S",C911="I"),-1,1)</f>
        <v>0</v>
      </c>
      <c r="AY911" s="487" t="s">
        <v>337</v>
      </c>
      <c r="AZ911" s="487" t="e">
        <f>+VLOOKUP($AJ911,Data_Validation!$A:$E,5,0)</f>
        <v>#N/A</v>
      </c>
    </row>
    <row r="912" spans="1:52" ht="15" customHeight="1">
      <c r="A912" s="706" t="s">
        <v>1148</v>
      </c>
      <c r="B912" s="706">
        <v>2026</v>
      </c>
      <c r="C912" s="706" t="s">
        <v>2847</v>
      </c>
      <c r="D912" s="706" t="s">
        <v>2848</v>
      </c>
      <c r="E912" s="706" t="s">
        <v>333</v>
      </c>
      <c r="F912" s="706" t="s">
        <v>1152</v>
      </c>
      <c r="G912" s="706">
        <v>20932.87</v>
      </c>
      <c r="H912" s="706">
        <v>42417.59</v>
      </c>
      <c r="I912" s="706">
        <v>67392.460000000006</v>
      </c>
      <c r="J912" s="706">
        <v>93090.14</v>
      </c>
      <c r="K912" s="706">
        <v>109633.39</v>
      </c>
      <c r="L912" s="706">
        <v>114844.03</v>
      </c>
      <c r="M912" s="706">
        <v>118251.34</v>
      </c>
      <c r="N912" s="706">
        <v>0</v>
      </c>
      <c r="O912" s="706">
        <v>0</v>
      </c>
      <c r="P912" s="706">
        <v>0</v>
      </c>
      <c r="Q912" s="706">
        <v>0</v>
      </c>
      <c r="R912" s="706">
        <v>0</v>
      </c>
      <c r="S912" s="706">
        <v>19140.669999999998</v>
      </c>
      <c r="T912" s="706">
        <v>19140.669999999998</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G66110</v>
      </c>
      <c r="AK912" s="905" t="str">
        <f t="shared" si="87"/>
        <v>COUT CLIENTS CAMION MOYEN</v>
      </c>
      <c r="AL912" s="905">
        <f>IFERROR(INDEX(G912:R912,1,MATCH(Parametres!$B$3,G$1:R$1,0)-1)*IF(OR(F912="L",F912="S",F912="I"),-1,1),"")</f>
        <v>109633.39</v>
      </c>
      <c r="AM912" s="905">
        <f t="shared" si="88"/>
        <v>5210.6399999999994</v>
      </c>
      <c r="AN912" s="905">
        <f>INDEX(G912:R912,1,MATCH(Parametres!$B$3,G$1:R$1,0))*IF(OR(F912="L",F912="S",F912="I"),-1,1)</f>
        <v>114844.03</v>
      </c>
      <c r="AO912" s="487" t="str">
        <f>+VLOOKUP($AJ912,Data_Validation!$A:$D,1,0)</f>
        <v>G66110</v>
      </c>
      <c r="AP912" s="487" t="str">
        <f>+VLOOKUP($AJ912,Data_Validation!$A:$D,3,0)</f>
        <v>SAAQ</v>
      </c>
      <c r="AQ912" s="487" t="str">
        <f>+VLOOKUP($AJ912,Data_Validation!$A:$D,4,0)</f>
        <v>Inspection - Véhicules Légers</v>
      </c>
      <c r="AR912" s="487" t="s">
        <v>299</v>
      </c>
      <c r="AS912" s="487">
        <f>+VLOOKUP($AJ912,Data_Validation!$A:$E,5,0)</f>
        <v>0</v>
      </c>
      <c r="AT912" s="904" t="str">
        <f t="shared" si="89"/>
        <v>G66110</v>
      </c>
      <c r="AU912" s="488" t="str">
        <f t="shared" si="90"/>
        <v>COUT CLIENTS CAMION MOYEN</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3340</v>
      </c>
      <c r="D913" s="706" t="s">
        <v>3341</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G66111</v>
      </c>
      <c r="AK913" s="905" t="str">
        <f t="shared" si="87"/>
        <v>COUT M-O CLIENT FLOTTES</v>
      </c>
      <c r="AL913" s="905">
        <f>IFERROR(INDEX(G913:R913,1,MATCH(Parametres!$B$3,G$1:R$1,0)-1)*IF(OR(F913="L",F913="S",F913="I"),-1,1),"")</f>
        <v>0</v>
      </c>
      <c r="AM913" s="905">
        <f t="shared" si="88"/>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t="str">
        <f t="shared" si="89"/>
        <v>G66111</v>
      </c>
      <c r="AU913" s="488" t="str">
        <f t="shared" si="90"/>
        <v>COUT M-O CLIENT FLOTTES</v>
      </c>
      <c r="AV913" s="899">
        <f>IFERROR(INDEX(V913:AG913,1,MATCH(Parametres!$B$3,V$1:AG$1,0)-1)*IF(OR(C913="L",C913="S",C913="I"),-1,1),"")</f>
        <v>0</v>
      </c>
      <c r="AW913" s="899">
        <f t="shared" si="91"/>
        <v>0</v>
      </c>
      <c r="AX913" s="899">
        <f>INDEX(V913:AG913,1,MATCH(Parametres!$B$3,V$1:AG$1,0))*IF(OR(C913="L",C913="S",C913="I"),-1,1)</f>
        <v>0</v>
      </c>
      <c r="AY913" s="487" t="s">
        <v>337</v>
      </c>
      <c r="AZ913" s="487" t="e">
        <f>+VLOOKUP($AJ913,Data_Validation!$A:$E,5,0)</f>
        <v>#N/A</v>
      </c>
    </row>
    <row r="914" spans="1:52" ht="15" customHeight="1">
      <c r="A914" s="706" t="s">
        <v>1148</v>
      </c>
      <c r="B914" s="706">
        <v>2026</v>
      </c>
      <c r="C914" s="706" t="s">
        <v>2849</v>
      </c>
      <c r="D914" s="706" t="s">
        <v>2850</v>
      </c>
      <c r="E914" s="706" t="s">
        <v>333</v>
      </c>
      <c r="F914" s="706" t="s">
        <v>1152</v>
      </c>
      <c r="G914" s="706">
        <v>0</v>
      </c>
      <c r="H914" s="706">
        <v>0</v>
      </c>
      <c r="I914" s="706">
        <v>0</v>
      </c>
      <c r="J914" s="706">
        <v>0</v>
      </c>
      <c r="K914" s="706">
        <v>0</v>
      </c>
      <c r="L914" s="706">
        <v>0</v>
      </c>
      <c r="M914" s="706">
        <v>0</v>
      </c>
      <c r="N914" s="706">
        <v>0</v>
      </c>
      <c r="O914" s="706">
        <v>0</v>
      </c>
      <c r="P914" s="706">
        <v>0</v>
      </c>
      <c r="Q914" s="706">
        <v>0</v>
      </c>
      <c r="R914" s="706">
        <v>0</v>
      </c>
      <c r="S914" s="706">
        <v>0</v>
      </c>
      <c r="T914" s="706">
        <v>0</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G66120</v>
      </c>
      <c r="AK914" s="905" t="str">
        <f t="shared" si="87"/>
        <v>COUT CLAIM CAMIONS MOYEN</v>
      </c>
      <c r="AL914" s="905">
        <f>IFERROR(INDEX(G914:R914,1,MATCH(Parametres!$B$3,G$1:R$1,0)-1)*IF(OR(F914="L",F914="S",F914="I"),-1,1),"")</f>
        <v>0</v>
      </c>
      <c r="AM914" s="905">
        <f t="shared" si="88"/>
        <v>0</v>
      </c>
      <c r="AN914" s="905">
        <f>INDEX(G914:R914,1,MATCH(Parametres!$B$3,G$1:R$1,0))*IF(OR(F914="L",F914="S",F914="I"),-1,1)</f>
        <v>0</v>
      </c>
      <c r="AO914" s="487" t="str">
        <f>+VLOOKUP($AJ914,Data_Validation!$A:$D,1,0)</f>
        <v>G66120</v>
      </c>
      <c r="AP914" s="487" t="str">
        <f>+VLOOKUP($AJ914,Data_Validation!$A:$D,3,0)</f>
        <v>SAAQ</v>
      </c>
      <c r="AQ914" s="487" t="str">
        <f>+VLOOKUP($AJ914,Data_Validation!$A:$D,4,0)</f>
        <v>Inspection - Véhicules Interne</v>
      </c>
      <c r="AR914" s="487" t="s">
        <v>299</v>
      </c>
      <c r="AS914" s="487">
        <f>+VLOOKUP($AJ914,Data_Validation!$A:$E,5,0)</f>
        <v>0</v>
      </c>
      <c r="AT914" s="904" t="str">
        <f t="shared" si="89"/>
        <v>G66120</v>
      </c>
      <c r="AU914" s="488" t="str">
        <f t="shared" si="90"/>
        <v>COUT CLAIM CAMIONS MOYEN</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2851</v>
      </c>
      <c r="D915" s="706" t="s">
        <v>2852</v>
      </c>
      <c r="E915" s="706" t="s">
        <v>333</v>
      </c>
      <c r="F915" s="706" t="s">
        <v>1152</v>
      </c>
      <c r="G915" s="706">
        <v>0</v>
      </c>
      <c r="H915" s="706">
        <v>0</v>
      </c>
      <c r="I915" s="706">
        <v>0</v>
      </c>
      <c r="J915" s="706">
        <v>0</v>
      </c>
      <c r="K915" s="706">
        <v>6127.11</v>
      </c>
      <c r="L915" s="706">
        <v>23905.25</v>
      </c>
      <c r="M915" s="706">
        <v>34639.51</v>
      </c>
      <c r="N915" s="706">
        <v>0</v>
      </c>
      <c r="O915" s="706">
        <v>0</v>
      </c>
      <c r="P915" s="706">
        <v>0</v>
      </c>
      <c r="Q915" s="706">
        <v>0</v>
      </c>
      <c r="R915" s="706">
        <v>0</v>
      </c>
      <c r="S915" s="706">
        <v>3984.21</v>
      </c>
      <c r="T915" s="706">
        <v>3984.21</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G66140</v>
      </c>
      <c r="AK915" s="905" t="str">
        <f t="shared" si="87"/>
        <v>COUT SER RAP.CAMION MOYEN</v>
      </c>
      <c r="AL915" s="905">
        <f>IFERROR(INDEX(G915:R915,1,MATCH(Parametres!$B$3,G$1:R$1,0)-1)*IF(OR(F915="L",F915="S",F915="I"),-1,1),"")</f>
        <v>6127.11</v>
      </c>
      <c r="AM915" s="905">
        <f t="shared" si="88"/>
        <v>17778.14</v>
      </c>
      <c r="AN915" s="905">
        <f>INDEX(G915:R915,1,MATCH(Parametres!$B$3,G$1:R$1,0))*IF(OR(F915="L",F915="S",F915="I"),-1,1)</f>
        <v>23905.25</v>
      </c>
      <c r="AO915" s="487" t="str">
        <f>+VLOOKUP($AJ915,Data_Validation!$A:$D,1,0)</f>
        <v>G66140</v>
      </c>
      <c r="AP915" s="487" t="str">
        <f>+VLOOKUP($AJ915,Data_Validation!$A:$D,3,0)</f>
        <v>SAAQ</v>
      </c>
      <c r="AQ915" s="487" t="str">
        <f>+VLOOKUP($AJ915,Data_Validation!$A:$D,4,0)</f>
        <v>Inspection - Véhicules Lourds</v>
      </c>
      <c r="AR915" s="487" t="s">
        <v>299</v>
      </c>
      <c r="AS915" s="487">
        <f>+VLOOKUP($AJ915,Data_Validation!$A:$E,5,0)</f>
        <v>0</v>
      </c>
      <c r="AT915" s="904" t="str">
        <f t="shared" si="89"/>
        <v>G66140</v>
      </c>
      <c r="AU915" s="488" t="str">
        <f t="shared" si="90"/>
        <v>COUT SER RAP.CAMION MOYEN</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customHeight="1">
      <c r="A916" s="706" t="s">
        <v>1148</v>
      </c>
      <c r="B916" s="706">
        <v>2026</v>
      </c>
      <c r="C916" s="706" t="s">
        <v>3342</v>
      </c>
      <c r="D916" s="706" t="s">
        <v>3343</v>
      </c>
      <c r="E916" s="706" t="s">
        <v>333</v>
      </c>
      <c r="F916" s="706" t="s">
        <v>1152</v>
      </c>
      <c r="G916" s="706">
        <v>0</v>
      </c>
      <c r="H916" s="706">
        <v>0</v>
      </c>
      <c r="I916" s="706">
        <v>0</v>
      </c>
      <c r="J916" s="706">
        <v>0</v>
      </c>
      <c r="K916" s="706">
        <v>0</v>
      </c>
      <c r="L916" s="706">
        <v>0</v>
      </c>
      <c r="M916" s="706">
        <v>0</v>
      </c>
      <c r="N916" s="706">
        <v>0</v>
      </c>
      <c r="O916" s="706">
        <v>0</v>
      </c>
      <c r="P916" s="706">
        <v>0</v>
      </c>
      <c r="Q916" s="706">
        <v>0</v>
      </c>
      <c r="R916" s="706">
        <v>0</v>
      </c>
      <c r="S916" s="706">
        <v>0</v>
      </c>
      <c r="T916" s="706">
        <v>0</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G66150</v>
      </c>
      <c r="AK916" s="905" t="str">
        <f t="shared" si="87"/>
        <v>COUT M-O ELECTIQUE FLOTTE</v>
      </c>
      <c r="AL916" s="905">
        <f>IFERROR(INDEX(G916:R916,1,MATCH(Parametres!$B$3,G$1:R$1,0)-1)*IF(OR(F916="L",F916="S",F916="I"),-1,1),"")</f>
        <v>0</v>
      </c>
      <c r="AM916" s="905">
        <f t="shared" si="88"/>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t="str">
        <f t="shared" si="89"/>
        <v>G66150</v>
      </c>
      <c r="AU916" s="488" t="str">
        <f t="shared" si="90"/>
        <v>COUT M-O ELECTIQUE FLOTTE</v>
      </c>
      <c r="AV916" s="899">
        <f>IFERROR(INDEX(V916:AG916,1,MATCH(Parametres!$B$3,V$1:AG$1,0)-1)*IF(OR(C916="L",C916="S",C916="I"),-1,1),"")</f>
        <v>0</v>
      </c>
      <c r="AW916" s="899">
        <f t="shared" si="91"/>
        <v>0</v>
      </c>
      <c r="AX916" s="899">
        <f>INDEX(V916:AG916,1,MATCH(Parametres!$B$3,V$1:AG$1,0))*IF(OR(C916="L",C916="S",C916="I"),-1,1)</f>
        <v>0</v>
      </c>
      <c r="AY916" s="487" t="s">
        <v>337</v>
      </c>
      <c r="AZ916" s="487" t="e">
        <f>+VLOOKUP($AJ916,Data_Validation!$A:$E,5,0)</f>
        <v>#N/A</v>
      </c>
    </row>
    <row r="917" spans="1:52" ht="15" customHeight="1">
      <c r="A917" s="706" t="s">
        <v>1148</v>
      </c>
      <c r="B917" s="706">
        <v>2026</v>
      </c>
      <c r="C917" s="706" t="s">
        <v>2853</v>
      </c>
      <c r="D917" s="706" t="s">
        <v>2854</v>
      </c>
      <c r="E917" s="706" t="s">
        <v>333</v>
      </c>
      <c r="F917" s="706" t="s">
        <v>1152</v>
      </c>
      <c r="G917" s="706">
        <v>14191.43</v>
      </c>
      <c r="H917" s="706">
        <v>29244.7</v>
      </c>
      <c r="I917" s="706">
        <v>50520.5</v>
      </c>
      <c r="J917" s="706">
        <v>67066.95</v>
      </c>
      <c r="K917" s="706">
        <v>77880.88</v>
      </c>
      <c r="L917" s="706">
        <v>105207.05</v>
      </c>
      <c r="M917" s="706">
        <v>111955.88</v>
      </c>
      <c r="N917" s="706">
        <v>0</v>
      </c>
      <c r="O917" s="706">
        <v>0</v>
      </c>
      <c r="P917" s="706">
        <v>0</v>
      </c>
      <c r="Q917" s="706">
        <v>0</v>
      </c>
      <c r="R917" s="706">
        <v>0</v>
      </c>
      <c r="S917" s="706">
        <v>17534.509999999998</v>
      </c>
      <c r="T917" s="706">
        <v>17534.509999999998</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G66200</v>
      </c>
      <c r="AK917" s="905" t="str">
        <f t="shared" si="87"/>
        <v>COUT-M.D. GARANTIE</v>
      </c>
      <c r="AL917" s="905">
        <f>IFERROR(INDEX(G917:R917,1,MATCH(Parametres!$B$3,G$1:R$1,0)-1)*IF(OR(F917="L",F917="S",F917="I"),-1,1),"")</f>
        <v>77880.88</v>
      </c>
      <c r="AM917" s="905">
        <f t="shared" si="88"/>
        <v>27326.17</v>
      </c>
      <c r="AN917" s="905">
        <f>INDEX(G917:R917,1,MATCH(Parametres!$B$3,G$1:R$1,0))*IF(OR(F917="L",F917="S",F917="I"),-1,1)</f>
        <v>105207.05</v>
      </c>
      <c r="AO917" s="487" t="str">
        <f>+VLOOKUP($AJ917,Data_Validation!$A:$D,1,0)</f>
        <v>G66200</v>
      </c>
      <c r="AP917" s="487" t="str">
        <f>+VLOOKUP($AJ917,Data_Validation!$A:$D,3,0)</f>
        <v>Service</v>
      </c>
      <c r="AQ917" s="487" t="str">
        <f>+VLOOKUP($AJ917,Data_Validation!$A:$D,4,0)</f>
        <v>M/O Garantie</v>
      </c>
      <c r="AR917" s="487" t="s">
        <v>299</v>
      </c>
      <c r="AS917" s="487">
        <f>+VLOOKUP($AJ917,Data_Validation!$A:$E,5,0)</f>
        <v>0</v>
      </c>
      <c r="AT917" s="904" t="str">
        <f t="shared" si="89"/>
        <v>G66200</v>
      </c>
      <c r="AU917" s="488" t="str">
        <f t="shared" si="90"/>
        <v>COUT-M.D. GARANTIE</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2855</v>
      </c>
      <c r="D918" s="706" t="s">
        <v>2856</v>
      </c>
      <c r="E918" s="706" t="s">
        <v>333</v>
      </c>
      <c r="F918" s="706" t="s">
        <v>1152</v>
      </c>
      <c r="G918" s="706">
        <v>13086.47</v>
      </c>
      <c r="H918" s="706">
        <v>27742.02</v>
      </c>
      <c r="I918" s="706">
        <v>45448.12</v>
      </c>
      <c r="J918" s="706">
        <v>63048.71</v>
      </c>
      <c r="K918" s="706">
        <v>78622.61</v>
      </c>
      <c r="L918" s="706">
        <v>96597.02</v>
      </c>
      <c r="M918" s="706">
        <v>102229.77</v>
      </c>
      <c r="N918" s="706">
        <v>0</v>
      </c>
      <c r="O918" s="706">
        <v>0</v>
      </c>
      <c r="P918" s="706">
        <v>0</v>
      </c>
      <c r="Q918" s="706">
        <v>0</v>
      </c>
      <c r="R918" s="706">
        <v>0</v>
      </c>
      <c r="S918" s="706">
        <v>16099.5</v>
      </c>
      <c r="T918" s="706">
        <v>16099.5</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G66300</v>
      </c>
      <c r="AK918" s="905" t="str">
        <f t="shared" si="87"/>
        <v>COUT-M.D. INTERNE</v>
      </c>
      <c r="AL918" s="905">
        <f>IFERROR(INDEX(G918:R918,1,MATCH(Parametres!$B$3,G$1:R$1,0)-1)*IF(OR(F918="L",F918="S",F918="I"),-1,1),"")</f>
        <v>78622.61</v>
      </c>
      <c r="AM918" s="905">
        <f t="shared" si="88"/>
        <v>17974.410000000003</v>
      </c>
      <c r="AN918" s="905">
        <f>INDEX(G918:R918,1,MATCH(Parametres!$B$3,G$1:R$1,0))*IF(OR(F918="L",F918="S",F918="I"),-1,1)</f>
        <v>96597.02</v>
      </c>
      <c r="AO918" s="487" t="str">
        <f>+VLOOKUP($AJ918,Data_Validation!$A:$D,1,0)</f>
        <v>G66300</v>
      </c>
      <c r="AP918" s="487" t="str">
        <f>+VLOOKUP($AJ918,Data_Validation!$A:$D,3,0)</f>
        <v>Service</v>
      </c>
      <c r="AQ918" s="487" t="str">
        <f>+VLOOKUP($AJ918,Data_Validation!$A:$D,4,0)</f>
        <v>M/O Interne</v>
      </c>
      <c r="AR918" s="487" t="s">
        <v>299</v>
      </c>
      <c r="AS918" s="487">
        <f>+VLOOKUP($AJ918,Data_Validation!$A:$E,5,0)</f>
        <v>0</v>
      </c>
      <c r="AT918" s="904" t="str">
        <f t="shared" si="89"/>
        <v>G66300</v>
      </c>
      <c r="AU918" s="488" t="str">
        <f t="shared" si="90"/>
        <v>COUT-M.D. INTERNE</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customHeight="1">
      <c r="A919" s="706" t="s">
        <v>1148</v>
      </c>
      <c r="B919" s="706">
        <v>2026</v>
      </c>
      <c r="C919" s="706" t="s">
        <v>3344</v>
      </c>
      <c r="D919" s="706" t="s">
        <v>3345</v>
      </c>
      <c r="E919" s="706" t="s">
        <v>333</v>
      </c>
      <c r="F919" s="706" t="s">
        <v>1152</v>
      </c>
      <c r="G919" s="706">
        <v>0</v>
      </c>
      <c r="H919" s="706">
        <v>0</v>
      </c>
      <c r="I919" s="706">
        <v>0</v>
      </c>
      <c r="J919" s="706">
        <v>0</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G66305</v>
      </c>
      <c r="AK919" s="905" t="str">
        <f t="shared" si="87"/>
        <v>COUT ESTHETIQUE INTERNE</v>
      </c>
      <c r="AL919" s="905">
        <f>IFERROR(INDEX(G919:R919,1,MATCH(Parametres!$B$3,G$1:R$1,0)-1)*IF(OR(F919="L",F919="S",F919="I"),-1,1),"")</f>
        <v>0</v>
      </c>
      <c r="AM919" s="905">
        <f t="shared" si="88"/>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t="str">
        <f t="shared" si="89"/>
        <v>G66305</v>
      </c>
      <c r="AU919" s="488" t="str">
        <f t="shared" si="90"/>
        <v>COUT ESTHETIQUE INTERNE</v>
      </c>
      <c r="AV919" s="899">
        <f>IFERROR(INDEX(V919:AG919,1,MATCH(Parametres!$B$3,V$1:AG$1,0)-1)*IF(OR(C919="L",C919="S",C919="I"),-1,1),"")</f>
        <v>0</v>
      </c>
      <c r="AW919" s="899">
        <f t="shared" si="91"/>
        <v>0</v>
      </c>
      <c r="AX919" s="899">
        <f>INDEX(V919:AG919,1,MATCH(Parametres!$B$3,V$1:AG$1,0))*IF(OR(C919="L",C919="S",C919="I"),-1,1)</f>
        <v>0</v>
      </c>
      <c r="AY919" s="487" t="s">
        <v>337</v>
      </c>
      <c r="AZ919" s="487" t="e">
        <f>+VLOOKUP($AJ919,Data_Validation!$A:$E,5,0)</f>
        <v>#N/A</v>
      </c>
    </row>
    <row r="920" spans="1:52" ht="15" customHeight="1">
      <c r="A920" s="706" t="s">
        <v>1148</v>
      </c>
      <c r="B920" s="706">
        <v>2026</v>
      </c>
      <c r="C920" s="706" t="s">
        <v>2857</v>
      </c>
      <c r="D920" s="706" t="s">
        <v>2858</v>
      </c>
      <c r="E920" s="706" t="s">
        <v>333</v>
      </c>
      <c r="F920" s="706" t="s">
        <v>1152</v>
      </c>
      <c r="G920" s="706">
        <v>481.76</v>
      </c>
      <c r="H920" s="706">
        <v>594.08000000000004</v>
      </c>
      <c r="I920" s="706">
        <v>664.46</v>
      </c>
      <c r="J920" s="706">
        <v>705.77</v>
      </c>
      <c r="K920" s="706">
        <v>830.53</v>
      </c>
      <c r="L920" s="706">
        <v>830.53</v>
      </c>
      <c r="M920" s="706">
        <v>908.65</v>
      </c>
      <c r="N920" s="706">
        <v>0</v>
      </c>
      <c r="O920" s="706">
        <v>0</v>
      </c>
      <c r="P920" s="706">
        <v>0</v>
      </c>
      <c r="Q920" s="706">
        <v>0</v>
      </c>
      <c r="R920" s="706">
        <v>0</v>
      </c>
      <c r="S920" s="706">
        <v>138.41999999999999</v>
      </c>
      <c r="T920" s="706">
        <v>138.41999999999999</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si="86"/>
        <v>G66320</v>
      </c>
      <c r="AK920" s="905" t="str">
        <f t="shared" si="87"/>
        <v>COUT-MO INTERNE CAM MOYEN</v>
      </c>
      <c r="AL920" s="905">
        <f>IFERROR(INDEX(G920:R920,1,MATCH(Parametres!$B$3,G$1:R$1,0)-1)*IF(OR(F920="L",F920="S",F920="I"),-1,1),"")</f>
        <v>830.53</v>
      </c>
      <c r="AM920" s="905">
        <f t="shared" si="88"/>
        <v>0</v>
      </c>
      <c r="AN920" s="905">
        <f>INDEX(G920:R920,1,MATCH(Parametres!$B$3,G$1:R$1,0))*IF(OR(F920="L",F920="S",F920="I"),-1,1)</f>
        <v>830.53</v>
      </c>
      <c r="AO920" s="487" t="str">
        <f>+VLOOKUP($AJ920,Data_Validation!$A:$D,1,0)</f>
        <v>G66320</v>
      </c>
      <c r="AP920" s="487" t="str">
        <f>+VLOOKUP($AJ920,Data_Validation!$A:$D,3,0)</f>
        <v>SAAQ</v>
      </c>
      <c r="AQ920" s="487" t="str">
        <f>+VLOOKUP($AJ920,Data_Validation!$A:$D,4,0)</f>
        <v>Inspection - Véhicules Interne</v>
      </c>
      <c r="AR920" s="487" t="s">
        <v>299</v>
      </c>
      <c r="AS920" s="487">
        <f>+VLOOKUP($AJ920,Data_Validation!$A:$E,5,0)</f>
        <v>0</v>
      </c>
      <c r="AT920" s="904" t="str">
        <f t="shared" si="89"/>
        <v>G66320</v>
      </c>
      <c r="AU920" s="488" t="str">
        <f t="shared" si="90"/>
        <v>COUT-MO INTERNE CAM MOYEN</v>
      </c>
      <c r="AV920" s="899">
        <f>IFERROR(INDEX(V920:AG920,1,MATCH(Parametres!$B$3,V$1:AG$1,0)-1)*IF(OR(C920="L",C920="S",C920="I"),-1,1),"")</f>
        <v>0</v>
      </c>
      <c r="AW920" s="899">
        <f t="shared" si="91"/>
        <v>0</v>
      </c>
      <c r="AX920" s="899">
        <f>INDEX(V920:AG920,1,MATCH(Parametres!$B$3,V$1:AG$1,0))*IF(OR(C920="L",C920="S",C920="I"),-1,1)</f>
        <v>0</v>
      </c>
      <c r="AY920" s="487" t="s">
        <v>337</v>
      </c>
      <c r="AZ920" s="487">
        <f>+VLOOKUP($AJ920,Data_Validation!$A:$E,5,0)</f>
        <v>0</v>
      </c>
    </row>
    <row r="921" spans="1:52" ht="15" customHeight="1">
      <c r="A921" s="706" t="s">
        <v>1148</v>
      </c>
      <c r="B921" s="706">
        <v>2026</v>
      </c>
      <c r="C921" s="706" t="s">
        <v>2859</v>
      </c>
      <c r="D921" s="706" t="s">
        <v>2860</v>
      </c>
      <c r="E921" s="706" t="s">
        <v>333</v>
      </c>
      <c r="F921" s="706" t="s">
        <v>1152</v>
      </c>
      <c r="G921" s="706">
        <v>3682.15</v>
      </c>
      <c r="H921" s="706">
        <v>8560.8700000000008</v>
      </c>
      <c r="I921" s="706">
        <v>15429.87</v>
      </c>
      <c r="J921" s="706">
        <v>19268.740000000002</v>
      </c>
      <c r="K921" s="706">
        <v>22629.65</v>
      </c>
      <c r="L921" s="706">
        <v>26304.38</v>
      </c>
      <c r="M921" s="706">
        <v>27764.27</v>
      </c>
      <c r="N921" s="706">
        <v>0</v>
      </c>
      <c r="O921" s="706">
        <v>0</v>
      </c>
      <c r="P921" s="706">
        <v>0</v>
      </c>
      <c r="Q921" s="706">
        <v>0</v>
      </c>
      <c r="R921" s="706">
        <v>0</v>
      </c>
      <c r="S921" s="706">
        <v>4384.0600000000004</v>
      </c>
      <c r="T921" s="706">
        <v>4384.0600000000004</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86"/>
        <v>G66400</v>
      </c>
      <c r="AK921" s="905" t="str">
        <f t="shared" si="87"/>
        <v>COUT-M.D. INSP.</v>
      </c>
      <c r="AL921" s="905">
        <f>IFERROR(INDEX(G921:R921,1,MATCH(Parametres!$B$3,G$1:R$1,0)-1)*IF(OR(F921="L",F921="S",F921="I"),-1,1),"")</f>
        <v>22629.65</v>
      </c>
      <c r="AM921" s="905">
        <f t="shared" si="88"/>
        <v>3674.7299999999996</v>
      </c>
      <c r="AN921" s="905">
        <f>INDEX(G921:R921,1,MATCH(Parametres!$B$3,G$1:R$1,0))*IF(OR(F921="L",F921="S",F921="I"),-1,1)</f>
        <v>26304.38</v>
      </c>
      <c r="AO921" s="487" t="str">
        <f>+VLOOKUP($AJ921,Data_Validation!$A:$D,1,0)</f>
        <v>G66400</v>
      </c>
      <c r="AP921" s="487" t="str">
        <f>+VLOOKUP($AJ921,Data_Validation!$A:$D,3,0)</f>
        <v>Service</v>
      </c>
      <c r="AQ921" s="487" t="str">
        <f>+VLOOKUP($AJ921,Data_Validation!$A:$D,4,0)</f>
        <v>M/O Interne</v>
      </c>
      <c r="AR921" s="487" t="s">
        <v>299</v>
      </c>
      <c r="AS921" s="487">
        <f>+VLOOKUP($AJ921,Data_Validation!$A:$E,5,0)</f>
        <v>0</v>
      </c>
      <c r="AT921" s="904" t="str">
        <f t="shared" si="89"/>
        <v>G66400</v>
      </c>
      <c r="AU921" s="488" t="str">
        <f t="shared" si="90"/>
        <v>COUT-M.D. INSP.</v>
      </c>
      <c r="AV921" s="899">
        <f>IFERROR(INDEX(V921:AG921,1,MATCH(Parametres!$B$3,V$1:AG$1,0)-1)*IF(OR(C921="L",C921="S",C921="I"),-1,1),"")</f>
        <v>0</v>
      </c>
      <c r="AW921" s="899">
        <f t="shared" si="91"/>
        <v>0</v>
      </c>
      <c r="AX921" s="899">
        <f>INDEX(V921:AG921,1,MATCH(Parametres!$B$3,V$1:AG$1,0))*IF(OR(C921="L",C921="S",C921="I"),-1,1)</f>
        <v>0</v>
      </c>
      <c r="AY921" s="487" t="s">
        <v>337</v>
      </c>
      <c r="AZ921" s="487">
        <f>+VLOOKUP($AJ921,Data_Validation!$A:$E,5,0)</f>
        <v>0</v>
      </c>
    </row>
    <row r="922" spans="1:52" ht="15" customHeight="1">
      <c r="A922" s="706" t="s">
        <v>1148</v>
      </c>
      <c r="B922" s="706">
        <v>2026</v>
      </c>
      <c r="C922" s="706" t="s">
        <v>2861</v>
      </c>
      <c r="D922" s="706" t="s">
        <v>2862</v>
      </c>
      <c r="E922" s="706" t="s">
        <v>333</v>
      </c>
      <c r="F922" s="706" t="s">
        <v>1152</v>
      </c>
      <c r="G922" s="706">
        <v>0</v>
      </c>
      <c r="H922" s="706">
        <v>0</v>
      </c>
      <c r="I922" s="706">
        <v>0</v>
      </c>
      <c r="J922" s="706">
        <v>0</v>
      </c>
      <c r="K922" s="706">
        <v>0</v>
      </c>
      <c r="L922" s="706">
        <v>0</v>
      </c>
      <c r="M922" s="706">
        <v>0</v>
      </c>
      <c r="N922" s="706">
        <v>0</v>
      </c>
      <c r="O922" s="706">
        <v>0</v>
      </c>
      <c r="P922" s="706">
        <v>0</v>
      </c>
      <c r="Q922" s="706">
        <v>0</v>
      </c>
      <c r="R922" s="706">
        <v>0</v>
      </c>
      <c r="S922" s="706">
        <v>0</v>
      </c>
      <c r="T922" s="706">
        <v>0</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86"/>
        <v>G66420</v>
      </c>
      <c r="AK922" s="905" t="str">
        <f t="shared" si="87"/>
        <v>COUT-MO INSPECTON PDI</v>
      </c>
      <c r="AL922" s="905">
        <f>IFERROR(INDEX(G922:R922,1,MATCH(Parametres!$B$3,G$1:R$1,0)-1)*IF(OR(F922="L",F922="S",F922="I"),-1,1),"")</f>
        <v>0</v>
      </c>
      <c r="AM922" s="905">
        <f t="shared" si="88"/>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t="str">
        <f t="shared" si="89"/>
        <v>G66420</v>
      </c>
      <c r="AU922" s="488" t="str">
        <f t="shared" si="90"/>
        <v>COUT-MO INSPECTON PDI</v>
      </c>
      <c r="AV922" s="899">
        <f>IFERROR(INDEX(V922:AG922,1,MATCH(Parametres!$B$3,V$1:AG$1,0)-1)*IF(OR(C922="L",C922="S",C922="I"),-1,1),"")</f>
        <v>0</v>
      </c>
      <c r="AW922" s="899">
        <f t="shared" si="91"/>
        <v>0</v>
      </c>
      <c r="AX922" s="899">
        <f>INDEX(V922:AG922,1,MATCH(Parametres!$B$3,V$1:AG$1,0))*IF(OR(C922="L",C922="S",C922="I"),-1,1)</f>
        <v>0</v>
      </c>
      <c r="AY922" s="487" t="s">
        <v>337</v>
      </c>
      <c r="AZ922" s="487" t="e">
        <f>+VLOOKUP($AJ922,Data_Validation!$A:$E,5,0)</f>
        <v>#N/A</v>
      </c>
    </row>
    <row r="923" spans="1:52" ht="15" customHeight="1">
      <c r="A923" s="706" t="s">
        <v>1148</v>
      </c>
      <c r="B923" s="706">
        <v>2026</v>
      </c>
      <c r="C923" s="706" t="s">
        <v>2863</v>
      </c>
      <c r="D923" s="706" t="s">
        <v>2864</v>
      </c>
      <c r="E923" s="706" t="s">
        <v>333</v>
      </c>
      <c r="F923" s="706" t="s">
        <v>1152</v>
      </c>
      <c r="G923" s="706">
        <v>-249.81</v>
      </c>
      <c r="H923" s="706">
        <v>-2752.08</v>
      </c>
      <c r="I923" s="706">
        <v>969.52</v>
      </c>
      <c r="J923" s="706">
        <v>9033.7199999999993</v>
      </c>
      <c r="K923" s="706">
        <v>8671.65</v>
      </c>
      <c r="L923" s="706">
        <v>9332.99</v>
      </c>
      <c r="M923" s="706">
        <v>9332.99</v>
      </c>
      <c r="N923" s="706">
        <v>0</v>
      </c>
      <c r="O923" s="706">
        <v>0</v>
      </c>
      <c r="P923" s="706">
        <v>0</v>
      </c>
      <c r="Q923" s="706">
        <v>0</v>
      </c>
      <c r="R923" s="706">
        <v>0</v>
      </c>
      <c r="S923" s="706">
        <v>1555.5</v>
      </c>
      <c r="T923" s="706">
        <v>1555.5</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ref="AJ923:AJ986" si="92">C923</f>
        <v>G66500</v>
      </c>
      <c r="AK923" s="905" t="str">
        <f t="shared" ref="AK923:AK986" si="93">D923</f>
        <v>TEMPS PERDU SERVICE</v>
      </c>
      <c r="AL923" s="905">
        <f>IFERROR(INDEX(G923:R923,1,MATCH(Parametres!$B$3,G$1:R$1,0)-1)*IF(OR(F923="L",F923="S",F923="I"),-1,1),"")</f>
        <v>8671.65</v>
      </c>
      <c r="AM923" s="905">
        <f t="shared" ref="AM923:AM986" si="94">AN923-AL923</f>
        <v>661.34000000000015</v>
      </c>
      <c r="AN923" s="905">
        <f>INDEX(G923:R923,1,MATCH(Parametres!$B$3,G$1:R$1,0))*IF(OR(F923="L",F923="S",F923="I"),-1,1)</f>
        <v>9332.99</v>
      </c>
      <c r="AO923" s="487" t="str">
        <f>+VLOOKUP($AJ923,Data_Validation!$A:$D,1,0)</f>
        <v>G66500</v>
      </c>
      <c r="AP923" s="487" t="str">
        <f>+VLOOKUP($AJ923,Data_Validation!$A:$D,3,0)</f>
        <v>Service</v>
      </c>
      <c r="AQ923" s="487" t="str">
        <f>+VLOOKUP($AJ923,Data_Validation!$A:$D,4,0)</f>
        <v>Ajustement M/O</v>
      </c>
      <c r="AR923" s="487" t="s">
        <v>299</v>
      </c>
      <c r="AS923" s="487">
        <f>+VLOOKUP($AJ923,Data_Validation!$A:$E,5,0)</f>
        <v>0</v>
      </c>
      <c r="AT923" s="904" t="str">
        <f t="shared" ref="AT923:AT986" si="95">C923</f>
        <v>G66500</v>
      </c>
      <c r="AU923" s="488" t="str">
        <f t="shared" ref="AU923:AU986" si="96">D923</f>
        <v>TEMPS PERDU SERVICE</v>
      </c>
      <c r="AV923" s="899">
        <f>IFERROR(INDEX(V923:AG923,1,MATCH(Parametres!$B$3,V$1:AG$1,0)-1)*IF(OR(C923="L",C923="S",C923="I"),-1,1),"")</f>
        <v>0</v>
      </c>
      <c r="AW923" s="899">
        <f t="shared" ref="AW923:AW986" si="97">AX923-AV923</f>
        <v>0</v>
      </c>
      <c r="AX923" s="899">
        <f>INDEX(V923:AG923,1,MATCH(Parametres!$B$3,V$1:AG$1,0))*IF(OR(C923="L",C923="S",C923="I"),-1,1)</f>
        <v>0</v>
      </c>
      <c r="AY923" s="487" t="s">
        <v>337</v>
      </c>
      <c r="AZ923" s="487">
        <f>+VLOOKUP($AJ923,Data_Validation!$A:$E,5,0)</f>
        <v>0</v>
      </c>
    </row>
    <row r="924" spans="1:52" ht="15" customHeight="1">
      <c r="A924" s="706" t="s">
        <v>1148</v>
      </c>
      <c r="B924" s="706">
        <v>2026</v>
      </c>
      <c r="C924" s="706" t="s">
        <v>2865</v>
      </c>
      <c r="D924" s="706" t="s">
        <v>2866</v>
      </c>
      <c r="E924" s="706" t="s">
        <v>333</v>
      </c>
      <c r="F924" s="706" t="s">
        <v>1152</v>
      </c>
      <c r="G924" s="706">
        <v>3932.85</v>
      </c>
      <c r="H924" s="706">
        <v>16561.11</v>
      </c>
      <c r="I924" s="706">
        <v>30890.93</v>
      </c>
      <c r="J924" s="706">
        <v>38338.85</v>
      </c>
      <c r="K924" s="706">
        <v>49545.99</v>
      </c>
      <c r="L924" s="706">
        <v>58561.65</v>
      </c>
      <c r="M924" s="706">
        <v>62098.04</v>
      </c>
      <c r="N924" s="706">
        <v>0</v>
      </c>
      <c r="O924" s="706">
        <v>0</v>
      </c>
      <c r="P924" s="706">
        <v>0</v>
      </c>
      <c r="Q924" s="706">
        <v>0</v>
      </c>
      <c r="R924" s="706">
        <v>0</v>
      </c>
      <c r="S924" s="706">
        <v>9760.2800000000007</v>
      </c>
      <c r="T924" s="706">
        <v>9760.2800000000007</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G66600</v>
      </c>
      <c r="AK924" s="905" t="str">
        <f t="shared" si="93"/>
        <v>COUT-SOUS-CONTRATS SERV.</v>
      </c>
      <c r="AL924" s="905">
        <f>IFERROR(INDEX(G924:R924,1,MATCH(Parametres!$B$3,G$1:R$1,0)-1)*IF(OR(F924="L",F924="S",F924="I"),-1,1),"")</f>
        <v>49545.99</v>
      </c>
      <c r="AM924" s="905">
        <f t="shared" si="94"/>
        <v>9015.6600000000035</v>
      </c>
      <c r="AN924" s="905">
        <f>INDEX(G924:R924,1,MATCH(Parametres!$B$3,G$1:R$1,0))*IF(OR(F924="L",F924="S",F924="I"),-1,1)</f>
        <v>58561.65</v>
      </c>
      <c r="AO924" s="487" t="str">
        <f>+VLOOKUP($AJ924,Data_Validation!$A:$D,1,0)</f>
        <v>G66600</v>
      </c>
      <c r="AP924" s="487" t="str">
        <f>+VLOOKUP($AJ924,Data_Validation!$A:$D,3,0)</f>
        <v>Service</v>
      </c>
      <c r="AQ924" s="487" t="str">
        <f>+VLOOKUP($AJ924,Data_Validation!$A:$D,4,0)</f>
        <v>Sous-traitement</v>
      </c>
      <c r="AR924" s="487" t="s">
        <v>299</v>
      </c>
      <c r="AS924" s="487">
        <f>+VLOOKUP($AJ924,Data_Validation!$A:$E,5,0)</f>
        <v>0</v>
      </c>
      <c r="AT924" s="904" t="str">
        <f t="shared" si="95"/>
        <v>G66600</v>
      </c>
      <c r="AU924" s="488" t="str">
        <f t="shared" si="96"/>
        <v>COUT-SOUS-CONTRATS SERV.</v>
      </c>
      <c r="AV924" s="899">
        <f>IFERROR(INDEX(V924:AG924,1,MATCH(Parametres!$B$3,V$1:AG$1,0)-1)*IF(OR(C924="L",C924="S",C924="I"),-1,1),"")</f>
        <v>0</v>
      </c>
      <c r="AW924" s="899">
        <f t="shared" si="97"/>
        <v>0</v>
      </c>
      <c r="AX924" s="899">
        <f>INDEX(V924:AG924,1,MATCH(Parametres!$B$3,V$1:AG$1,0))*IF(OR(C924="L",C924="S",C924="I"),-1,1)</f>
        <v>0</v>
      </c>
      <c r="AY924" s="487" t="s">
        <v>337</v>
      </c>
      <c r="AZ924" s="487">
        <f>+VLOOKUP($AJ924,Data_Validation!$A:$E,5,0)</f>
        <v>0</v>
      </c>
    </row>
    <row r="925" spans="1:52" ht="15" customHeight="1">
      <c r="A925" s="706" t="s">
        <v>1148</v>
      </c>
      <c r="B925" s="706">
        <v>2026</v>
      </c>
      <c r="C925" s="706" t="s">
        <v>2867</v>
      </c>
      <c r="D925" s="706" t="s">
        <v>3140</v>
      </c>
      <c r="E925" s="706" t="s">
        <v>333</v>
      </c>
      <c r="F925" s="706" t="s">
        <v>1152</v>
      </c>
      <c r="G925" s="706">
        <v>0</v>
      </c>
      <c r="H925" s="706">
        <v>0</v>
      </c>
      <c r="I925" s="706">
        <v>0</v>
      </c>
      <c r="J925" s="706">
        <v>0</v>
      </c>
      <c r="K925" s="706">
        <v>0</v>
      </c>
      <c r="L925" s="706">
        <v>0</v>
      </c>
      <c r="M925" s="706">
        <v>0</v>
      </c>
      <c r="N925" s="706">
        <v>0</v>
      </c>
      <c r="O925" s="706">
        <v>0</v>
      </c>
      <c r="P925" s="706">
        <v>0</v>
      </c>
      <c r="Q925" s="706">
        <v>0</v>
      </c>
      <c r="R925" s="706">
        <v>0</v>
      </c>
      <c r="S925" s="706">
        <v>0</v>
      </c>
      <c r="T925" s="706">
        <v>0</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G66610</v>
      </c>
      <c r="AK925" s="905" t="str">
        <f t="shared" si="93"/>
        <v>COUT-SOUS-TRAITANCE SAAQ</v>
      </c>
      <c r="AL925" s="905">
        <f>IFERROR(INDEX(G925:R925,1,MATCH(Parametres!$B$3,G$1:R$1,0)-1)*IF(OR(F925="L",F925="S",F925="I"),-1,1),"")</f>
        <v>0</v>
      </c>
      <c r="AM925" s="905">
        <f t="shared" si="94"/>
        <v>0</v>
      </c>
      <c r="AN925" s="905">
        <f>INDEX(G925:R925,1,MATCH(Parametres!$B$3,G$1:R$1,0))*IF(OR(F925="L",F925="S",F925="I"),-1,1)</f>
        <v>0</v>
      </c>
      <c r="AO925" s="487" t="str">
        <f>+VLOOKUP($AJ925,Data_Validation!$A:$D,1,0)</f>
        <v>G66610</v>
      </c>
      <c r="AP925" s="487" t="str">
        <f>+VLOOKUP($AJ925,Data_Validation!$A:$D,3,0)</f>
        <v>SAAQ</v>
      </c>
      <c r="AQ925" s="487" t="str">
        <f>+VLOOKUP($AJ925,Data_Validation!$A:$D,4,0)</f>
        <v>Inspection - Véhicules Interne</v>
      </c>
      <c r="AR925" s="487" t="s">
        <v>299</v>
      </c>
      <c r="AS925" s="487">
        <f>+VLOOKUP($AJ925,Data_Validation!$A:$E,5,0)</f>
        <v>0</v>
      </c>
      <c r="AT925" s="904" t="str">
        <f t="shared" si="95"/>
        <v>G66610</v>
      </c>
      <c r="AU925" s="488" t="str">
        <f t="shared" si="96"/>
        <v>COUT-SOUS-TRAITANCE SAAQ</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2869</v>
      </c>
      <c r="D926" s="706" t="s">
        <v>2870</v>
      </c>
      <c r="E926" s="706" t="s">
        <v>333</v>
      </c>
      <c r="F926" s="706" t="s">
        <v>1152</v>
      </c>
      <c r="G926" s="706">
        <v>0</v>
      </c>
      <c r="H926" s="706">
        <v>0</v>
      </c>
      <c r="I926" s="706">
        <v>0</v>
      </c>
      <c r="J926" s="706">
        <v>0</v>
      </c>
      <c r="K926" s="706">
        <v>0</v>
      </c>
      <c r="L926" s="706">
        <v>0</v>
      </c>
      <c r="M926" s="706">
        <v>0</v>
      </c>
      <c r="N926" s="706">
        <v>0</v>
      </c>
      <c r="O926" s="706">
        <v>0</v>
      </c>
      <c r="P926" s="706">
        <v>0</v>
      </c>
      <c r="Q926" s="706">
        <v>0</v>
      </c>
      <c r="R926" s="706">
        <v>0</v>
      </c>
      <c r="S926" s="706">
        <v>0</v>
      </c>
      <c r="T926" s="706">
        <v>0</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G66611</v>
      </c>
      <c r="AK926" s="905" t="str">
        <f t="shared" si="93"/>
        <v>SUPER VITRE COUT SUBLET</v>
      </c>
      <c r="AL926" s="905">
        <f>IFERROR(INDEX(G926:R926,1,MATCH(Parametres!$B$3,G$1:R$1,0)-1)*IF(OR(F926="L",F926="S",F926="I"),-1,1),"")</f>
        <v>0</v>
      </c>
      <c r="AM926" s="905">
        <f t="shared" si="94"/>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t="str">
        <f t="shared" si="95"/>
        <v>G66611</v>
      </c>
      <c r="AU926" s="488" t="str">
        <f t="shared" si="96"/>
        <v>SUPER VITRE COUT SUBLET</v>
      </c>
      <c r="AV926" s="899">
        <f>IFERROR(INDEX(V926:AG926,1,MATCH(Parametres!$B$3,V$1:AG$1,0)-1)*IF(OR(C926="L",C926="S",C926="I"),-1,1),"")</f>
        <v>0</v>
      </c>
      <c r="AW926" s="899">
        <f t="shared" si="97"/>
        <v>0</v>
      </c>
      <c r="AX926" s="899">
        <f>INDEX(V926:AG926,1,MATCH(Parametres!$B$3,V$1:AG$1,0))*IF(OR(C926="L",C926="S",C926="I"),-1,1)</f>
        <v>0</v>
      </c>
      <c r="AY926" s="487" t="s">
        <v>337</v>
      </c>
      <c r="AZ926" s="487" t="e">
        <f>+VLOOKUP($AJ926,Data_Validation!$A:$E,5,0)</f>
        <v>#N/A</v>
      </c>
    </row>
    <row r="927" spans="1:52" ht="15" customHeight="1">
      <c r="A927" s="706" t="s">
        <v>1148</v>
      </c>
      <c r="B927" s="706">
        <v>2026</v>
      </c>
      <c r="C927" s="706" t="s">
        <v>2871</v>
      </c>
      <c r="D927" s="706" t="s">
        <v>2872</v>
      </c>
      <c r="E927" s="706" t="s">
        <v>333</v>
      </c>
      <c r="F927" s="706" t="s">
        <v>1152</v>
      </c>
      <c r="G927" s="706">
        <v>40254.79</v>
      </c>
      <c r="H927" s="706">
        <v>81742.2</v>
      </c>
      <c r="I927" s="706">
        <v>111760.52</v>
      </c>
      <c r="J927" s="706">
        <v>138837.42000000001</v>
      </c>
      <c r="K927" s="706">
        <v>157385.72</v>
      </c>
      <c r="L927" s="706">
        <v>196092.61</v>
      </c>
      <c r="M927" s="706">
        <v>213887.56</v>
      </c>
      <c r="N927" s="706">
        <v>0</v>
      </c>
      <c r="O927" s="706">
        <v>0</v>
      </c>
      <c r="P927" s="706">
        <v>0</v>
      </c>
      <c r="Q927" s="706">
        <v>0</v>
      </c>
      <c r="R927" s="706">
        <v>0</v>
      </c>
      <c r="S927" s="706">
        <v>32682.1</v>
      </c>
      <c r="T927" s="706">
        <v>32682.1</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G66710</v>
      </c>
      <c r="AK927" s="905" t="str">
        <f t="shared" si="93"/>
        <v>COUT P&amp;A SERV.CLIENT AUTO</v>
      </c>
      <c r="AL927" s="905">
        <f>IFERROR(INDEX(G927:R927,1,MATCH(Parametres!$B$3,G$1:R$1,0)-1)*IF(OR(F927="L",F927="S",F927="I"),-1,1),"")</f>
        <v>157385.72</v>
      </c>
      <c r="AM927" s="905">
        <f t="shared" si="94"/>
        <v>38706.889999999985</v>
      </c>
      <c r="AN927" s="905">
        <f>INDEX(G927:R927,1,MATCH(Parametres!$B$3,G$1:R$1,0))*IF(OR(F927="L",F927="S",F927="I"),-1,1)</f>
        <v>196092.61</v>
      </c>
      <c r="AO927" s="487" t="str">
        <f>+VLOOKUP($AJ927,Data_Validation!$A:$D,1,0)</f>
        <v>G66710</v>
      </c>
      <c r="AP927" s="487" t="str">
        <f>+VLOOKUP($AJ927,Data_Validation!$A:$D,3,0)</f>
        <v>Pièces</v>
      </c>
      <c r="AQ927" s="487" t="str">
        <f>+VLOOKUP($AJ927,Data_Validation!$A:$D,4,0)</f>
        <v>Pièces Ro Clients</v>
      </c>
      <c r="AR927" s="487" t="s">
        <v>299</v>
      </c>
      <c r="AS927" s="487">
        <f>+VLOOKUP($AJ927,Data_Validation!$A:$E,5,0)</f>
        <v>0</v>
      </c>
      <c r="AT927" s="904" t="str">
        <f t="shared" si="95"/>
        <v>G66710</v>
      </c>
      <c r="AU927" s="488" t="str">
        <f t="shared" si="96"/>
        <v>COUT P&amp;A SERV.CLIENT AUTO</v>
      </c>
      <c r="AV927" s="899">
        <f>IFERROR(INDEX(V927:AG927,1,MATCH(Parametres!$B$3,V$1:AG$1,0)-1)*IF(OR(C927="L",C927="S",C927="I"),-1,1),"")</f>
        <v>0</v>
      </c>
      <c r="AW927" s="899">
        <f t="shared" si="97"/>
        <v>0</v>
      </c>
      <c r="AX927" s="899">
        <f>INDEX(V927:AG927,1,MATCH(Parametres!$B$3,V$1:AG$1,0))*IF(OR(C927="L",C927="S",C927="I"),-1,1)</f>
        <v>0</v>
      </c>
      <c r="AY927" s="487" t="s">
        <v>337</v>
      </c>
      <c r="AZ927" s="487">
        <f>+VLOOKUP($AJ927,Data_Validation!$A:$E,5,0)</f>
        <v>0</v>
      </c>
    </row>
    <row r="928" spans="1:52" ht="15" customHeight="1">
      <c r="A928" s="706" t="s">
        <v>1148</v>
      </c>
      <c r="B928" s="706">
        <v>2026</v>
      </c>
      <c r="C928" s="706" t="s">
        <v>2873</v>
      </c>
      <c r="D928" s="706" t="s">
        <v>2874</v>
      </c>
      <c r="E928" s="706" t="s">
        <v>333</v>
      </c>
      <c r="F928" s="706" t="s">
        <v>1152</v>
      </c>
      <c r="G928" s="706">
        <v>0</v>
      </c>
      <c r="H928" s="706">
        <v>0</v>
      </c>
      <c r="I928" s="706">
        <v>0</v>
      </c>
      <c r="J928" s="706">
        <v>0</v>
      </c>
      <c r="K928" s="706">
        <v>0</v>
      </c>
      <c r="L928" s="706">
        <v>0</v>
      </c>
      <c r="M928" s="706">
        <v>0</v>
      </c>
      <c r="N928" s="706">
        <v>0</v>
      </c>
      <c r="O928" s="706">
        <v>0</v>
      </c>
      <c r="P928" s="706">
        <v>0</v>
      </c>
      <c r="Q928" s="706">
        <v>0</v>
      </c>
      <c r="R928" s="706">
        <v>0</v>
      </c>
      <c r="S928" s="706">
        <v>0</v>
      </c>
      <c r="T928" s="706">
        <v>0</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G66720</v>
      </c>
      <c r="AK928" s="905" t="str">
        <f t="shared" si="93"/>
        <v>COUT-P&amp;A SERV.PL.PROT.AUT</v>
      </c>
      <c r="AL928" s="905">
        <f>IFERROR(INDEX(G928:R928,1,MATCH(Parametres!$B$3,G$1:R$1,0)-1)*IF(OR(F928="L",F928="S",F928="I"),-1,1),"")</f>
        <v>0</v>
      </c>
      <c r="AM928" s="905">
        <f t="shared" si="94"/>
        <v>0</v>
      </c>
      <c r="AN928" s="905">
        <f>INDEX(G928:R928,1,MATCH(Parametres!$B$3,G$1:R$1,0))*IF(OR(F928="L",F928="S",F928="I"),-1,1)</f>
        <v>0</v>
      </c>
      <c r="AO928" s="487" t="str">
        <f>+VLOOKUP($AJ928,Data_Validation!$A:$D,1,0)</f>
        <v>G66720</v>
      </c>
      <c r="AP928" s="487" t="str">
        <f>+VLOOKUP($AJ928,Data_Validation!$A:$D,3,0)</f>
        <v>Pièces</v>
      </c>
      <c r="AQ928" s="487" t="str">
        <f>+VLOOKUP($AJ928,Data_Validation!$A:$D,4,0)</f>
        <v>Pièces Ro Clients</v>
      </c>
      <c r="AR928" s="487" t="s">
        <v>299</v>
      </c>
      <c r="AS928" s="487">
        <f>+VLOOKUP($AJ928,Data_Validation!$A:$E,5,0)</f>
        <v>0</v>
      </c>
      <c r="AT928" s="904" t="str">
        <f t="shared" si="95"/>
        <v>G66720</v>
      </c>
      <c r="AU928" s="488" t="str">
        <f t="shared" si="96"/>
        <v>COUT-P&amp;A SERV.PL.PROT.AUT</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2875</v>
      </c>
      <c r="D929" s="706" t="s">
        <v>2876</v>
      </c>
      <c r="E929" s="706" t="s">
        <v>333</v>
      </c>
      <c r="F929" s="706" t="s">
        <v>1152</v>
      </c>
      <c r="G929" s="706">
        <v>0</v>
      </c>
      <c r="H929" s="706">
        <v>0</v>
      </c>
      <c r="I929" s="706">
        <v>0</v>
      </c>
      <c r="J929" s="706">
        <v>0</v>
      </c>
      <c r="K929" s="706">
        <v>0</v>
      </c>
      <c r="L929" s="706">
        <v>0</v>
      </c>
      <c r="M929" s="706">
        <v>0</v>
      </c>
      <c r="N929" s="706">
        <v>0</v>
      </c>
      <c r="O929" s="706">
        <v>0</v>
      </c>
      <c r="P929" s="706">
        <v>0</v>
      </c>
      <c r="Q929" s="706">
        <v>0</v>
      </c>
      <c r="R929" s="706">
        <v>0</v>
      </c>
      <c r="S929" s="706">
        <v>0</v>
      </c>
      <c r="T929" s="706">
        <v>0</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G66740</v>
      </c>
      <c r="AK929" s="905" t="str">
        <f t="shared" si="93"/>
        <v>P&amp;A GOOD VOIT CAM LEGER</v>
      </c>
      <c r="AL929" s="905">
        <f>IFERROR(INDEX(G929:R929,1,MATCH(Parametres!$B$3,G$1:R$1,0)-1)*IF(OR(F929="L",F929="S",F929="I"),-1,1),"")</f>
        <v>0</v>
      </c>
      <c r="AM929" s="905">
        <f t="shared" si="94"/>
        <v>0</v>
      </c>
      <c r="AN929" s="905">
        <f>INDEX(G929:R929,1,MATCH(Parametres!$B$3,G$1:R$1,0))*IF(OR(F929="L",F929="S",F929="I"),-1,1)</f>
        <v>0</v>
      </c>
      <c r="AO929" s="487" t="str">
        <f>+VLOOKUP($AJ929,Data_Validation!$A:$D,1,0)</f>
        <v>G66740</v>
      </c>
      <c r="AP929" s="487">
        <f>+VLOOKUP($AJ929,Data_Validation!$A:$D,3,0)</f>
        <v>0</v>
      </c>
      <c r="AQ929" s="487">
        <f>+VLOOKUP($AJ929,Data_Validation!$A:$D,4,0)</f>
        <v>0</v>
      </c>
      <c r="AR929" s="487" t="s">
        <v>299</v>
      </c>
      <c r="AS929" s="487">
        <f>+VLOOKUP($AJ929,Data_Validation!$A:$E,5,0)</f>
        <v>0</v>
      </c>
      <c r="AT929" s="904" t="str">
        <f t="shared" si="95"/>
        <v>G66740</v>
      </c>
      <c r="AU929" s="488" t="str">
        <f t="shared" si="96"/>
        <v>P&amp;A GOOD VOIT CAM LEGER</v>
      </c>
      <c r="AV929" s="899">
        <f>IFERROR(INDEX(V929:AG929,1,MATCH(Parametres!$B$3,V$1:AG$1,0)-1)*IF(OR(C929="L",C929="S",C929="I"),-1,1),"")</f>
        <v>0</v>
      </c>
      <c r="AW929" s="899">
        <f t="shared" si="97"/>
        <v>0</v>
      </c>
      <c r="AX929" s="899">
        <f>INDEX(V929:AG929,1,MATCH(Parametres!$B$3,V$1:AG$1,0))*IF(OR(C929="L",C929="S",C929="I"),-1,1)</f>
        <v>0</v>
      </c>
      <c r="AY929" s="487" t="s">
        <v>337</v>
      </c>
      <c r="AZ929" s="487">
        <f>+VLOOKUP($AJ929,Data_Validation!$A:$E,5,0)</f>
        <v>0</v>
      </c>
    </row>
    <row r="930" spans="1:52" ht="15" customHeight="1">
      <c r="A930" s="706" t="s">
        <v>1148</v>
      </c>
      <c r="B930" s="706">
        <v>2026</v>
      </c>
      <c r="C930" s="706" t="s">
        <v>2877</v>
      </c>
      <c r="D930" s="706" t="s">
        <v>2878</v>
      </c>
      <c r="E930" s="706" t="s">
        <v>333</v>
      </c>
      <c r="F930" s="706" t="s">
        <v>1152</v>
      </c>
      <c r="G930" s="706">
        <v>0</v>
      </c>
      <c r="H930" s="706">
        <v>0</v>
      </c>
      <c r="I930" s="706">
        <v>0</v>
      </c>
      <c r="J930" s="706">
        <v>0</v>
      </c>
      <c r="K930" s="706">
        <v>0</v>
      </c>
      <c r="L930" s="706">
        <v>0</v>
      </c>
      <c r="M930" s="706">
        <v>0</v>
      </c>
      <c r="N930" s="706">
        <v>0</v>
      </c>
      <c r="O930" s="706">
        <v>0</v>
      </c>
      <c r="P930" s="706">
        <v>0</v>
      </c>
      <c r="Q930" s="706">
        <v>0</v>
      </c>
      <c r="R930" s="706">
        <v>0</v>
      </c>
      <c r="S930" s="706">
        <v>0</v>
      </c>
      <c r="T930" s="706">
        <v>0</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G66800</v>
      </c>
      <c r="AK930" s="905" t="str">
        <f t="shared" si="93"/>
        <v>COUT-VOIT.OCC.EN GROS-DET</v>
      </c>
      <c r="AL930" s="905">
        <f>IFERROR(INDEX(G930:R930,1,MATCH(Parametres!$B$3,G$1:R$1,0)-1)*IF(OR(F930="L",F930="S",F930="I"),-1,1),"")</f>
        <v>0</v>
      </c>
      <c r="AM930" s="905">
        <f t="shared" si="94"/>
        <v>0</v>
      </c>
      <c r="AN930" s="905">
        <f>INDEX(G930:R930,1,MATCH(Parametres!$B$3,G$1:R$1,0))*IF(OR(F930="L",F930="S",F930="I"),-1,1)</f>
        <v>0</v>
      </c>
      <c r="AO930" s="487" t="str">
        <f>+VLOOKUP($AJ930,Data_Validation!$A:$D,1,0)</f>
        <v>G66800</v>
      </c>
      <c r="AP930" s="487">
        <f>+VLOOKUP($AJ930,Data_Validation!$A:$D,3,0)</f>
        <v>0</v>
      </c>
      <c r="AQ930" s="487">
        <f>+VLOOKUP($AJ930,Data_Validation!$A:$D,4,0)</f>
        <v>0</v>
      </c>
      <c r="AR930" s="487" t="s">
        <v>299</v>
      </c>
      <c r="AS930" s="487">
        <f>+VLOOKUP($AJ930,Data_Validation!$A:$E,5,0)</f>
        <v>0</v>
      </c>
      <c r="AT930" s="904" t="str">
        <f t="shared" si="95"/>
        <v>G66800</v>
      </c>
      <c r="AU930" s="488" t="str">
        <f t="shared" si="96"/>
        <v>COUT-VOIT.OCC.EN GROS-DET</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customHeight="1">
      <c r="A931" s="706" t="s">
        <v>1148</v>
      </c>
      <c r="B931" s="706">
        <v>2026</v>
      </c>
      <c r="C931" s="706" t="s">
        <v>2879</v>
      </c>
      <c r="D931" s="706" t="s">
        <v>2880</v>
      </c>
      <c r="E931" s="706" t="s">
        <v>333</v>
      </c>
      <c r="F931" s="706" t="s">
        <v>1152</v>
      </c>
      <c r="G931" s="706">
        <v>0</v>
      </c>
      <c r="H931" s="706">
        <v>0</v>
      </c>
      <c r="I931" s="706">
        <v>0</v>
      </c>
      <c r="J931" s="706">
        <v>0</v>
      </c>
      <c r="K931" s="706">
        <v>0</v>
      </c>
      <c r="L931" s="706">
        <v>0</v>
      </c>
      <c r="M931" s="706">
        <v>0</v>
      </c>
      <c r="N931" s="706">
        <v>0</v>
      </c>
      <c r="O931" s="706">
        <v>0</v>
      </c>
      <c r="P931" s="706">
        <v>0</v>
      </c>
      <c r="Q931" s="706">
        <v>0</v>
      </c>
      <c r="R931" s="706">
        <v>0</v>
      </c>
      <c r="S931" s="706">
        <v>0</v>
      </c>
      <c r="T931" s="706">
        <v>0</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G66810</v>
      </c>
      <c r="AK931" s="905" t="str">
        <f t="shared" si="93"/>
        <v>COUT-P&amp;A SERV.CLIENT CAM.</v>
      </c>
      <c r="AL931" s="905">
        <f>IFERROR(INDEX(G931:R931,1,MATCH(Parametres!$B$3,G$1:R$1,0)-1)*IF(OR(F931="L",F931="S",F931="I"),-1,1),"")</f>
        <v>0</v>
      </c>
      <c r="AM931" s="905">
        <f t="shared" si="94"/>
        <v>0</v>
      </c>
      <c r="AN931" s="905">
        <f>INDEX(G931:R931,1,MATCH(Parametres!$B$3,G$1:R$1,0))*IF(OR(F931="L",F931="S",F931="I"),-1,1)</f>
        <v>0</v>
      </c>
      <c r="AO931" s="487" t="str">
        <f>+VLOOKUP($AJ931,Data_Validation!$A:$D,1,0)</f>
        <v>G66810</v>
      </c>
      <c r="AP931" s="487">
        <f>+VLOOKUP($AJ931,Data_Validation!$A:$D,3,0)</f>
        <v>0</v>
      </c>
      <c r="AQ931" s="487">
        <f>+VLOOKUP($AJ931,Data_Validation!$A:$D,4,0)</f>
        <v>0</v>
      </c>
      <c r="AR931" s="487" t="s">
        <v>299</v>
      </c>
      <c r="AS931" s="487">
        <f>+VLOOKUP($AJ931,Data_Validation!$A:$E,5,0)</f>
        <v>0</v>
      </c>
      <c r="AT931" s="904" t="str">
        <f t="shared" si="95"/>
        <v>G66810</v>
      </c>
      <c r="AU931" s="488" t="str">
        <f t="shared" si="96"/>
        <v>COUT-P&amp;A SERV.CLIENT CAM.</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customHeight="1">
      <c r="A932" s="706" t="s">
        <v>1148</v>
      </c>
      <c r="B932" s="706">
        <v>2026</v>
      </c>
      <c r="C932" s="706" t="s">
        <v>2881</v>
      </c>
      <c r="D932" s="706" t="s">
        <v>2882</v>
      </c>
      <c r="E932" s="706" t="s">
        <v>333</v>
      </c>
      <c r="F932" s="706" t="s">
        <v>1152</v>
      </c>
      <c r="G932" s="706">
        <v>0</v>
      </c>
      <c r="H932" s="706">
        <v>0</v>
      </c>
      <c r="I932" s="706">
        <v>0</v>
      </c>
      <c r="J932" s="706">
        <v>0</v>
      </c>
      <c r="K932" s="706">
        <v>0</v>
      </c>
      <c r="L932" s="706">
        <v>0</v>
      </c>
      <c r="M932" s="706">
        <v>0</v>
      </c>
      <c r="N932" s="706">
        <v>0</v>
      </c>
      <c r="O932" s="706">
        <v>0</v>
      </c>
      <c r="P932" s="706">
        <v>0</v>
      </c>
      <c r="Q932" s="706">
        <v>0</v>
      </c>
      <c r="R932" s="706">
        <v>0</v>
      </c>
      <c r="S932" s="706">
        <v>0</v>
      </c>
      <c r="T932" s="706">
        <v>0</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G66840</v>
      </c>
      <c r="AK932" s="905" t="str">
        <f t="shared" si="93"/>
        <v>COUT-P&amp;A GOODWRENCH CAM.</v>
      </c>
      <c r="AL932" s="905">
        <f>IFERROR(INDEX(G932:R932,1,MATCH(Parametres!$B$3,G$1:R$1,0)-1)*IF(OR(F932="L",F932="S",F932="I"),-1,1),"")</f>
        <v>0</v>
      </c>
      <c r="AM932" s="905">
        <f t="shared" si="94"/>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t="str">
        <f t="shared" si="95"/>
        <v>G66840</v>
      </c>
      <c r="AU932" s="488" t="str">
        <f t="shared" si="96"/>
        <v>COUT-P&amp;A GOODWRENCH CAM.</v>
      </c>
      <c r="AV932" s="899">
        <f>IFERROR(INDEX(V932:AG932,1,MATCH(Parametres!$B$3,V$1:AG$1,0)-1)*IF(OR(C932="L",C932="S",C932="I"),-1,1),"")</f>
        <v>0</v>
      </c>
      <c r="AW932" s="899">
        <f t="shared" si="97"/>
        <v>0</v>
      </c>
      <c r="AX932" s="899">
        <f>INDEX(V932:AG932,1,MATCH(Parametres!$B$3,V$1:AG$1,0))*IF(OR(C932="L",C932="S",C932="I"),-1,1)</f>
        <v>0</v>
      </c>
      <c r="AY932" s="487" t="s">
        <v>337</v>
      </c>
      <c r="AZ932" s="487" t="e">
        <f>+VLOOKUP($AJ932,Data_Validation!$A:$E,5,0)</f>
        <v>#N/A</v>
      </c>
    </row>
    <row r="933" spans="1:52" ht="15" customHeight="1">
      <c r="A933" s="706" t="s">
        <v>1148</v>
      </c>
      <c r="B933" s="706">
        <v>2026</v>
      </c>
      <c r="C933" s="706" t="s">
        <v>2883</v>
      </c>
      <c r="D933" s="706" t="s">
        <v>2884</v>
      </c>
      <c r="E933" s="706" t="s">
        <v>333</v>
      </c>
      <c r="F933" s="706" t="s">
        <v>1152</v>
      </c>
      <c r="G933" s="706">
        <v>1697.93</v>
      </c>
      <c r="H933" s="706">
        <v>605.92999999999995</v>
      </c>
      <c r="I933" s="706">
        <v>2814.77</v>
      </c>
      <c r="J933" s="706">
        <v>6319.61</v>
      </c>
      <c r="K933" s="706">
        <v>8033.4</v>
      </c>
      <c r="L933" s="706">
        <v>10284.52</v>
      </c>
      <c r="M933" s="706">
        <v>10284.52</v>
      </c>
      <c r="N933" s="706">
        <v>0</v>
      </c>
      <c r="O933" s="706">
        <v>0</v>
      </c>
      <c r="P933" s="706">
        <v>0</v>
      </c>
      <c r="Q933" s="706">
        <v>0</v>
      </c>
      <c r="R933" s="706">
        <v>0</v>
      </c>
      <c r="S933" s="706">
        <v>1714.09</v>
      </c>
      <c r="T933" s="706">
        <v>1714.09</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G66900</v>
      </c>
      <c r="AK933" s="905" t="str">
        <f t="shared" si="93"/>
        <v>COUT MATERIEL ATELIER</v>
      </c>
      <c r="AL933" s="905">
        <f>IFERROR(INDEX(G933:R933,1,MATCH(Parametres!$B$3,G$1:R$1,0)-1)*IF(OR(F933="L",F933="S",F933="I"),-1,1),"")</f>
        <v>8033.4</v>
      </c>
      <c r="AM933" s="905">
        <f t="shared" si="94"/>
        <v>2251.1200000000008</v>
      </c>
      <c r="AN933" s="905">
        <f>INDEX(G933:R933,1,MATCH(Parametres!$B$3,G$1:R$1,0))*IF(OR(F933="L",F933="S",F933="I"),-1,1)</f>
        <v>10284.52</v>
      </c>
      <c r="AO933" s="487" t="str">
        <f>+VLOOKUP($AJ933,Data_Validation!$A:$D,1,0)</f>
        <v>G66900</v>
      </c>
      <c r="AP933" s="487" t="str">
        <f>+VLOOKUP($AJ933,Data_Validation!$A:$D,3,0)</f>
        <v>Service</v>
      </c>
      <c r="AQ933" s="487" t="str">
        <f>+VLOOKUP($AJ933,Data_Validation!$A:$D,4,0)</f>
        <v>Sous-traitement</v>
      </c>
      <c r="AR933" s="487" t="s">
        <v>299</v>
      </c>
      <c r="AS933" s="487">
        <f>+VLOOKUP($AJ933,Data_Validation!$A:$E,5,0)</f>
        <v>0</v>
      </c>
      <c r="AT933" s="904" t="str">
        <f t="shared" si="95"/>
        <v>G66900</v>
      </c>
      <c r="AU933" s="488" t="str">
        <f t="shared" si="96"/>
        <v>COUT MATERIEL ATELIER</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customHeight="1">
      <c r="A934" s="706" t="s">
        <v>1148</v>
      </c>
      <c r="B934" s="706">
        <v>2026</v>
      </c>
      <c r="C934" s="706" t="s">
        <v>2885</v>
      </c>
      <c r="D934" s="706" t="s">
        <v>2886</v>
      </c>
      <c r="E934" s="706" t="s">
        <v>333</v>
      </c>
      <c r="F934" s="706" t="s">
        <v>1152</v>
      </c>
      <c r="G934" s="706">
        <v>0</v>
      </c>
      <c r="H934" s="706">
        <v>0</v>
      </c>
      <c r="I934" s="706">
        <v>0</v>
      </c>
      <c r="J934" s="706">
        <v>0</v>
      </c>
      <c r="K934" s="706">
        <v>1266.73</v>
      </c>
      <c r="L934" s="706">
        <v>3705.88</v>
      </c>
      <c r="M934" s="706">
        <v>4250.34</v>
      </c>
      <c r="N934" s="706">
        <v>0</v>
      </c>
      <c r="O934" s="706">
        <v>0</v>
      </c>
      <c r="P934" s="706">
        <v>0</v>
      </c>
      <c r="Q934" s="706">
        <v>0</v>
      </c>
      <c r="R934" s="706">
        <v>0</v>
      </c>
      <c r="S934" s="706">
        <v>617.65</v>
      </c>
      <c r="T934" s="706">
        <v>617.65</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G67000</v>
      </c>
      <c r="AK934" s="905" t="str">
        <f t="shared" si="93"/>
        <v>COUT-M.D. PEINTURE</v>
      </c>
      <c r="AL934" s="905">
        <f>IFERROR(INDEX(G934:R934,1,MATCH(Parametres!$B$3,G$1:R$1,0)-1)*IF(OR(F934="L",F934="S",F934="I"),-1,1),"")</f>
        <v>1266.73</v>
      </c>
      <c r="AM934" s="905">
        <f t="shared" si="94"/>
        <v>2439.15</v>
      </c>
      <c r="AN934" s="905">
        <f>INDEX(G934:R934,1,MATCH(Parametres!$B$3,G$1:R$1,0))*IF(OR(F934="L",F934="S",F934="I"),-1,1)</f>
        <v>3705.88</v>
      </c>
      <c r="AO934" s="487" t="str">
        <f>+VLOOKUP($AJ934,Data_Validation!$A:$D,1,0)</f>
        <v>G67000</v>
      </c>
      <c r="AP934" s="487" t="str">
        <f>+VLOOKUP($AJ934,Data_Validation!$A:$D,3,0)</f>
        <v>Carrosserie</v>
      </c>
      <c r="AQ934" s="487" t="str">
        <f>+VLOOKUP($AJ934,Data_Validation!$A:$D,4,0)</f>
        <v>Carrosserie Clients</v>
      </c>
      <c r="AR934" s="487" t="s">
        <v>299</v>
      </c>
      <c r="AS934" s="487">
        <f>+VLOOKUP($AJ934,Data_Validation!$A:$E,5,0)</f>
        <v>0</v>
      </c>
      <c r="AT934" s="904" t="str">
        <f t="shared" si="95"/>
        <v>G67000</v>
      </c>
      <c r="AU934" s="488" t="str">
        <f t="shared" si="96"/>
        <v>COUT-M.D. PEINTURE</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customHeight="1">
      <c r="A935" s="706" t="s">
        <v>1148</v>
      </c>
      <c r="B935" s="706">
        <v>2026</v>
      </c>
      <c r="C935" s="706" t="s">
        <v>2887</v>
      </c>
      <c r="D935" s="706" t="s">
        <v>2888</v>
      </c>
      <c r="E935" s="706" t="s">
        <v>333</v>
      </c>
      <c r="F935" s="706" t="s">
        <v>1152</v>
      </c>
      <c r="G935" s="706">
        <v>0</v>
      </c>
      <c r="H935" s="706">
        <v>0</v>
      </c>
      <c r="I935" s="706">
        <v>0</v>
      </c>
      <c r="J935" s="706">
        <v>0</v>
      </c>
      <c r="K935" s="706">
        <v>2406.7600000000002</v>
      </c>
      <c r="L935" s="706">
        <v>4008.48</v>
      </c>
      <c r="M935" s="706">
        <v>4934.42</v>
      </c>
      <c r="N935" s="706">
        <v>0</v>
      </c>
      <c r="O935" s="706">
        <v>0</v>
      </c>
      <c r="P935" s="706">
        <v>0</v>
      </c>
      <c r="Q935" s="706">
        <v>0</v>
      </c>
      <c r="R935" s="706">
        <v>0</v>
      </c>
      <c r="S935" s="706">
        <v>668.08</v>
      </c>
      <c r="T935" s="706">
        <v>668.08</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G67005</v>
      </c>
      <c r="AK935" s="905" t="str">
        <f t="shared" si="93"/>
        <v>COUT -M.O CONCES. PEINTUR</v>
      </c>
      <c r="AL935" s="905">
        <f>IFERROR(INDEX(G935:R935,1,MATCH(Parametres!$B$3,G$1:R$1,0)-1)*IF(OR(F935="L",F935="S",F935="I"),-1,1),"")</f>
        <v>2406.7600000000002</v>
      </c>
      <c r="AM935" s="905">
        <f t="shared" si="94"/>
        <v>1601.7199999999998</v>
      </c>
      <c r="AN935" s="905">
        <f>INDEX(G935:R935,1,MATCH(Parametres!$B$3,G$1:R$1,0))*IF(OR(F935="L",F935="S",F935="I"),-1,1)</f>
        <v>4008.48</v>
      </c>
      <c r="AO935" s="487" t="str">
        <f>+VLOOKUP($AJ935,Data_Validation!$A:$D,1,0)</f>
        <v>G67005</v>
      </c>
      <c r="AP935" s="487" t="str">
        <f>+VLOOKUP($AJ935,Data_Validation!$A:$D,3,0)</f>
        <v>Carrosserie</v>
      </c>
      <c r="AQ935" s="487" t="str">
        <f>+VLOOKUP($AJ935,Data_Validation!$A:$D,4,0)</f>
        <v>Carrosserie Concessions</v>
      </c>
      <c r="AR935" s="487" t="s">
        <v>299</v>
      </c>
      <c r="AS935" s="487">
        <f>+VLOOKUP($AJ935,Data_Validation!$A:$E,5,0)</f>
        <v>0</v>
      </c>
      <c r="AT935" s="904" t="str">
        <f t="shared" si="95"/>
        <v>G67005</v>
      </c>
      <c r="AU935" s="488" t="str">
        <f t="shared" si="96"/>
        <v>COUT -M.O CONCES. PEINTUR</v>
      </c>
      <c r="AV935" s="899">
        <f>IFERROR(INDEX(V935:AG935,1,MATCH(Parametres!$B$3,V$1:AG$1,0)-1)*IF(OR(C935="L",C935="S",C935="I"),-1,1),"")</f>
        <v>0</v>
      </c>
      <c r="AW935" s="899">
        <f t="shared" si="97"/>
        <v>0</v>
      </c>
      <c r="AX935" s="899">
        <f>INDEX(V935:AG935,1,MATCH(Parametres!$B$3,V$1:AG$1,0))*IF(OR(C935="L",C935="S",C935="I"),-1,1)</f>
        <v>0</v>
      </c>
      <c r="AY935" s="487" t="s">
        <v>337</v>
      </c>
      <c r="AZ935" s="487">
        <f>+VLOOKUP($AJ935,Data_Validation!$A:$E,5,0)</f>
        <v>0</v>
      </c>
    </row>
    <row r="936" spans="1:52" ht="15" customHeight="1">
      <c r="A936" s="706" t="s">
        <v>1148</v>
      </c>
      <c r="B936" s="706">
        <v>2026</v>
      </c>
      <c r="C936" s="706" t="s">
        <v>2889</v>
      </c>
      <c r="D936" s="706" t="s">
        <v>2890</v>
      </c>
      <c r="E936" s="706" t="s">
        <v>333</v>
      </c>
      <c r="F936" s="706" t="s">
        <v>1152</v>
      </c>
      <c r="G936" s="706">
        <v>19730.259999999998</v>
      </c>
      <c r="H936" s="706">
        <v>41519.22</v>
      </c>
      <c r="I936" s="706">
        <v>61660.73</v>
      </c>
      <c r="J936" s="706">
        <v>100877.37</v>
      </c>
      <c r="K936" s="706">
        <v>107269.34</v>
      </c>
      <c r="L936" s="706">
        <v>114935.97</v>
      </c>
      <c r="M936" s="706">
        <v>117860.55</v>
      </c>
      <c r="N936" s="706">
        <v>0</v>
      </c>
      <c r="O936" s="706">
        <v>0</v>
      </c>
      <c r="P936" s="706">
        <v>0</v>
      </c>
      <c r="Q936" s="706">
        <v>0</v>
      </c>
      <c r="R936" s="706">
        <v>0</v>
      </c>
      <c r="S936" s="706">
        <v>19156</v>
      </c>
      <c r="T936" s="706">
        <v>19156</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G67100</v>
      </c>
      <c r="AK936" s="905" t="str">
        <f t="shared" si="93"/>
        <v>COUT-M.D. CARROSSERIE</v>
      </c>
      <c r="AL936" s="905">
        <f>IFERROR(INDEX(G936:R936,1,MATCH(Parametres!$B$3,G$1:R$1,0)-1)*IF(OR(F936="L",F936="S",F936="I"),-1,1),"")</f>
        <v>107269.34</v>
      </c>
      <c r="AM936" s="905">
        <f t="shared" si="94"/>
        <v>7666.6300000000047</v>
      </c>
      <c r="AN936" s="905">
        <f>INDEX(G936:R936,1,MATCH(Parametres!$B$3,G$1:R$1,0))*IF(OR(F936="L",F936="S",F936="I"),-1,1)</f>
        <v>114935.97</v>
      </c>
      <c r="AO936" s="487" t="str">
        <f>+VLOOKUP($AJ936,Data_Validation!$A:$D,1,0)</f>
        <v>G67100</v>
      </c>
      <c r="AP936" s="487" t="str">
        <f>+VLOOKUP($AJ936,Data_Validation!$A:$D,3,0)</f>
        <v>Carrosserie</v>
      </c>
      <c r="AQ936" s="487" t="str">
        <f>+VLOOKUP($AJ936,Data_Validation!$A:$D,4,0)</f>
        <v>Carrosserie Clients</v>
      </c>
      <c r="AR936" s="487" t="s">
        <v>299</v>
      </c>
      <c r="AS936" s="487">
        <f>+VLOOKUP($AJ936,Data_Validation!$A:$E,5,0)</f>
        <v>0</v>
      </c>
      <c r="AT936" s="904" t="str">
        <f t="shared" si="95"/>
        <v>G67100</v>
      </c>
      <c r="AU936" s="488" t="str">
        <f t="shared" si="96"/>
        <v>COUT-M.D. CARROSSERIE</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customHeight="1">
      <c r="A937" s="706" t="s">
        <v>1148</v>
      </c>
      <c r="B937" s="706">
        <v>2026</v>
      </c>
      <c r="C937" s="706" t="s">
        <v>2891</v>
      </c>
      <c r="D937" s="706" t="s">
        <v>2892</v>
      </c>
      <c r="E937" s="706" t="s">
        <v>333</v>
      </c>
      <c r="F937" s="706" t="s">
        <v>1152</v>
      </c>
      <c r="G937" s="706">
        <v>0</v>
      </c>
      <c r="H937" s="706">
        <v>0</v>
      </c>
      <c r="I937" s="706">
        <v>0</v>
      </c>
      <c r="J937" s="706">
        <v>0</v>
      </c>
      <c r="K937" s="706">
        <v>5591.54</v>
      </c>
      <c r="L937" s="706">
        <v>11000.09</v>
      </c>
      <c r="M937" s="706">
        <v>13654.22</v>
      </c>
      <c r="N937" s="706">
        <v>0</v>
      </c>
      <c r="O937" s="706">
        <v>0</v>
      </c>
      <c r="P937" s="706">
        <v>0</v>
      </c>
      <c r="Q937" s="706">
        <v>0</v>
      </c>
      <c r="R937" s="706">
        <v>0</v>
      </c>
      <c r="S937" s="706">
        <v>1833.35</v>
      </c>
      <c r="T937" s="706">
        <v>1833.35</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G67105</v>
      </c>
      <c r="AK937" s="905" t="str">
        <f t="shared" si="93"/>
        <v>COUT-M.O CONCES. -BODY</v>
      </c>
      <c r="AL937" s="905">
        <f>IFERROR(INDEX(G937:R937,1,MATCH(Parametres!$B$3,G$1:R$1,0)-1)*IF(OR(F937="L",F937="S",F937="I"),-1,1),"")</f>
        <v>5591.54</v>
      </c>
      <c r="AM937" s="905">
        <f t="shared" si="94"/>
        <v>5408.55</v>
      </c>
      <c r="AN937" s="905">
        <f>INDEX(G937:R937,1,MATCH(Parametres!$B$3,G$1:R$1,0))*IF(OR(F937="L",F937="S",F937="I"),-1,1)</f>
        <v>11000.09</v>
      </c>
      <c r="AO937" s="487" t="str">
        <f>+VLOOKUP($AJ937,Data_Validation!$A:$D,1,0)</f>
        <v>G67105</v>
      </c>
      <c r="AP937" s="487" t="str">
        <f>+VLOOKUP($AJ937,Data_Validation!$A:$D,3,0)</f>
        <v>Carrosserie</v>
      </c>
      <c r="AQ937" s="487" t="str">
        <f>+VLOOKUP($AJ937,Data_Validation!$A:$D,4,0)</f>
        <v>Carrosserie Concessions</v>
      </c>
      <c r="AR937" s="487" t="s">
        <v>299</v>
      </c>
      <c r="AS937" s="487">
        <f>+VLOOKUP($AJ937,Data_Validation!$A:$E,5,0)</f>
        <v>0</v>
      </c>
      <c r="AT937" s="904" t="str">
        <f t="shared" si="95"/>
        <v>G67105</v>
      </c>
      <c r="AU937" s="488" t="str">
        <f t="shared" si="96"/>
        <v>COUT-M.O CONCES. -BODY</v>
      </c>
      <c r="AV937" s="899">
        <f>IFERROR(INDEX(V937:AG937,1,MATCH(Parametres!$B$3,V$1:AG$1,0)-1)*IF(OR(C937="L",C937="S",C937="I"),-1,1),"")</f>
        <v>0</v>
      </c>
      <c r="AW937" s="899">
        <f t="shared" si="97"/>
        <v>0</v>
      </c>
      <c r="AX937" s="899">
        <f>INDEX(V937:AG937,1,MATCH(Parametres!$B$3,V$1:AG$1,0))*IF(OR(C937="L",C937="S",C937="I"),-1,1)</f>
        <v>0</v>
      </c>
      <c r="AY937" s="487" t="s">
        <v>337</v>
      </c>
      <c r="AZ937" s="487">
        <f>+VLOOKUP($AJ937,Data_Validation!$A:$E,5,0)</f>
        <v>0</v>
      </c>
    </row>
    <row r="938" spans="1:52" ht="15" customHeight="1">
      <c r="A938" s="706" t="s">
        <v>1148</v>
      </c>
      <c r="B938" s="706">
        <v>2026</v>
      </c>
      <c r="C938" s="706" t="s">
        <v>2893</v>
      </c>
      <c r="D938" s="706" t="s">
        <v>2894</v>
      </c>
      <c r="E938" s="706" t="s">
        <v>333</v>
      </c>
      <c r="F938" s="706" t="s">
        <v>1152</v>
      </c>
      <c r="G938" s="706">
        <v>0</v>
      </c>
      <c r="H938" s="706">
        <v>0</v>
      </c>
      <c r="I938" s="706">
        <v>0</v>
      </c>
      <c r="J938" s="706">
        <v>0</v>
      </c>
      <c r="K938" s="706">
        <v>236.84</v>
      </c>
      <c r="L938" s="706">
        <v>934.73</v>
      </c>
      <c r="M938" s="706">
        <v>1071.3800000000001</v>
      </c>
      <c r="N938" s="706">
        <v>0</v>
      </c>
      <c r="O938" s="706">
        <v>0</v>
      </c>
      <c r="P938" s="706">
        <v>0</v>
      </c>
      <c r="Q938" s="706">
        <v>0</v>
      </c>
      <c r="R938" s="706">
        <v>0</v>
      </c>
      <c r="S938" s="706">
        <v>155.79</v>
      </c>
      <c r="T938" s="706">
        <v>155.79</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G67110</v>
      </c>
      <c r="AK938" s="905" t="str">
        <f t="shared" si="93"/>
        <v>COUT - M.O MEC CLT BODY</v>
      </c>
      <c r="AL938" s="905">
        <f>IFERROR(INDEX(G938:R938,1,MATCH(Parametres!$B$3,G$1:R$1,0)-1)*IF(OR(F938="L",F938="S",F938="I"),-1,1),"")</f>
        <v>236.84</v>
      </c>
      <c r="AM938" s="905">
        <f t="shared" si="94"/>
        <v>697.89</v>
      </c>
      <c r="AN938" s="905">
        <f>INDEX(G938:R938,1,MATCH(Parametres!$B$3,G$1:R$1,0))*IF(OR(F938="L",F938="S",F938="I"),-1,1)</f>
        <v>934.73</v>
      </c>
      <c r="AO938" s="487" t="str">
        <f>+VLOOKUP($AJ938,Data_Validation!$A:$D,1,0)</f>
        <v>G67110</v>
      </c>
      <c r="AP938" s="487" t="str">
        <f>+VLOOKUP($AJ938,Data_Validation!$A:$D,3,0)</f>
        <v>Carrosserie</v>
      </c>
      <c r="AQ938" s="487" t="str">
        <f>+VLOOKUP($AJ938,Data_Validation!$A:$D,4,0)</f>
        <v>Carrosserie Clients</v>
      </c>
      <c r="AR938" s="487" t="s">
        <v>299</v>
      </c>
      <c r="AS938" s="487">
        <f>+VLOOKUP($AJ938,Data_Validation!$A:$E,5,0)</f>
        <v>0</v>
      </c>
      <c r="AT938" s="904" t="str">
        <f t="shared" si="95"/>
        <v>G67110</v>
      </c>
      <c r="AU938" s="488" t="str">
        <f t="shared" si="96"/>
        <v>COUT - M.O MEC CLT BODY</v>
      </c>
      <c r="AV938" s="899">
        <f>IFERROR(INDEX(V938:AG938,1,MATCH(Parametres!$B$3,V$1:AG$1,0)-1)*IF(OR(C938="L",C938="S",C938="I"),-1,1),"")</f>
        <v>0</v>
      </c>
      <c r="AW938" s="899">
        <f t="shared" si="97"/>
        <v>0</v>
      </c>
      <c r="AX938" s="899">
        <f>INDEX(V938:AG938,1,MATCH(Parametres!$B$3,V$1:AG$1,0))*IF(OR(C938="L",C938="S",C938="I"),-1,1)</f>
        <v>0</v>
      </c>
      <c r="AY938" s="487" t="s">
        <v>337</v>
      </c>
      <c r="AZ938" s="487">
        <f>+VLOOKUP($AJ938,Data_Validation!$A:$E,5,0)</f>
        <v>0</v>
      </c>
    </row>
    <row r="939" spans="1:52" ht="15" customHeight="1">
      <c r="A939" s="706" t="s">
        <v>1148</v>
      </c>
      <c r="B939" s="706">
        <v>2026</v>
      </c>
      <c r="C939" s="706" t="s">
        <v>2895</v>
      </c>
      <c r="D939" s="706" t="s">
        <v>2896</v>
      </c>
      <c r="E939" s="706" t="s">
        <v>333</v>
      </c>
      <c r="F939" s="706" t="s">
        <v>1152</v>
      </c>
      <c r="G939" s="706">
        <v>0</v>
      </c>
      <c r="H939" s="706">
        <v>0</v>
      </c>
      <c r="I939" s="706">
        <v>0</v>
      </c>
      <c r="J939" s="706">
        <v>0</v>
      </c>
      <c r="K939" s="706">
        <v>9.7100000000000009</v>
      </c>
      <c r="L939" s="706">
        <v>9.7100000000000009</v>
      </c>
      <c r="M939" s="706">
        <v>9.7100000000000009</v>
      </c>
      <c r="N939" s="706">
        <v>0</v>
      </c>
      <c r="O939" s="706">
        <v>0</v>
      </c>
      <c r="P939" s="706">
        <v>0</v>
      </c>
      <c r="Q939" s="706">
        <v>0</v>
      </c>
      <c r="R939" s="706">
        <v>0</v>
      </c>
      <c r="S939" s="706">
        <v>1.62</v>
      </c>
      <c r="T939" s="706">
        <v>1.62</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G67115</v>
      </c>
      <c r="AK939" s="905" t="str">
        <f t="shared" si="93"/>
        <v>COUT -M.O CONCES MEC-BODY</v>
      </c>
      <c r="AL939" s="905">
        <f>IFERROR(INDEX(G939:R939,1,MATCH(Parametres!$B$3,G$1:R$1,0)-1)*IF(OR(F939="L",F939="S",F939="I"),-1,1),"")</f>
        <v>9.7100000000000009</v>
      </c>
      <c r="AM939" s="905">
        <f t="shared" si="94"/>
        <v>0</v>
      </c>
      <c r="AN939" s="905">
        <f>INDEX(G939:R939,1,MATCH(Parametres!$B$3,G$1:R$1,0))*IF(OR(F939="L",F939="S",F939="I"),-1,1)</f>
        <v>9.7100000000000009</v>
      </c>
      <c r="AO939" s="487" t="str">
        <f>+VLOOKUP($AJ939,Data_Validation!$A:$D,1,0)</f>
        <v>G67115</v>
      </c>
      <c r="AP939" s="487" t="str">
        <f>+VLOOKUP($AJ939,Data_Validation!$A:$D,3,0)</f>
        <v>Carrosserie</v>
      </c>
      <c r="AQ939" s="487" t="str">
        <f>+VLOOKUP($AJ939,Data_Validation!$A:$D,4,0)</f>
        <v>Carrosserie Concessions</v>
      </c>
      <c r="AR939" s="487" t="s">
        <v>299</v>
      </c>
      <c r="AS939" s="487">
        <f>+VLOOKUP($AJ939,Data_Validation!$A:$E,5,0)</f>
        <v>0</v>
      </c>
      <c r="AT939" s="904" t="str">
        <f t="shared" si="95"/>
        <v>G67115</v>
      </c>
      <c r="AU939" s="488" t="str">
        <f t="shared" si="96"/>
        <v>COUT -M.O CONCES MEC-BODY</v>
      </c>
      <c r="AV939" s="899">
        <f>IFERROR(INDEX(V939:AG939,1,MATCH(Parametres!$B$3,V$1:AG$1,0)-1)*IF(OR(C939="L",C939="S",C939="I"),-1,1),"")</f>
        <v>0</v>
      </c>
      <c r="AW939" s="899">
        <f t="shared" si="97"/>
        <v>0</v>
      </c>
      <c r="AX939" s="899">
        <f>INDEX(V939:AG939,1,MATCH(Parametres!$B$3,V$1:AG$1,0))*IF(OR(C939="L",C939="S",C939="I"),-1,1)</f>
        <v>0</v>
      </c>
      <c r="AY939" s="487" t="s">
        <v>337</v>
      </c>
      <c r="AZ939" s="487">
        <f>+VLOOKUP($AJ939,Data_Validation!$A:$E,5,0)</f>
        <v>0</v>
      </c>
    </row>
    <row r="940" spans="1:52" ht="15" customHeight="1">
      <c r="A940" s="706" t="s">
        <v>1148</v>
      </c>
      <c r="B940" s="706">
        <v>2026</v>
      </c>
      <c r="C940" s="706" t="s">
        <v>2897</v>
      </c>
      <c r="D940" s="706" t="s">
        <v>2898</v>
      </c>
      <c r="E940" s="706" t="s">
        <v>333</v>
      </c>
      <c r="F940" s="706" t="s">
        <v>1152</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G67125</v>
      </c>
      <c r="AK940" s="905" t="str">
        <f t="shared" si="93"/>
        <v>**RISTOURNE M.O CONC.BODY</v>
      </c>
      <c r="AL940" s="905">
        <f>IFERROR(INDEX(G940:R940,1,MATCH(Parametres!$B$3,G$1:R$1,0)-1)*IF(OR(F940="L",F940="S",F940="I"),-1,1),"")</f>
        <v>0</v>
      </c>
      <c r="AM940" s="905">
        <f t="shared" si="94"/>
        <v>0</v>
      </c>
      <c r="AN940" s="905">
        <f>INDEX(G940:R940,1,MATCH(Parametres!$B$3,G$1:R$1,0))*IF(OR(F940="L",F940="S",F940="I"),-1,1)</f>
        <v>0</v>
      </c>
      <c r="AO940" s="487" t="str">
        <f>+VLOOKUP($AJ940,Data_Validation!$A:$D,1,0)</f>
        <v>G67125</v>
      </c>
      <c r="AP940" s="487" t="str">
        <f>+VLOOKUP($AJ940,Data_Validation!$A:$D,3,0)</f>
        <v>Carrosserie</v>
      </c>
      <c r="AQ940" s="487" t="str">
        <f>+VLOOKUP($AJ940,Data_Validation!$A:$D,4,0)</f>
        <v>Carrosserie Concessions</v>
      </c>
      <c r="AR940" s="487" t="s">
        <v>299</v>
      </c>
      <c r="AS940" s="487">
        <f>+VLOOKUP($AJ940,Data_Validation!$A:$E,5,0)</f>
        <v>0</v>
      </c>
      <c r="AT940" s="904" t="str">
        <f t="shared" si="95"/>
        <v>G67125</v>
      </c>
      <c r="AU940" s="488" t="str">
        <f t="shared" si="96"/>
        <v>**RISTOURNE M.O CONC.BODY</v>
      </c>
      <c r="AV940" s="899">
        <f>IFERROR(INDEX(V940:AG940,1,MATCH(Parametres!$B$3,V$1:AG$1,0)-1)*IF(OR(C940="L",C940="S",C940="I"),-1,1),"")</f>
        <v>0</v>
      </c>
      <c r="AW940" s="899">
        <f t="shared" si="97"/>
        <v>0</v>
      </c>
      <c r="AX940" s="899">
        <f>INDEX(V940:AG940,1,MATCH(Parametres!$B$3,V$1:AG$1,0))*IF(OR(C940="L",C940="S",C940="I"),-1,1)</f>
        <v>0</v>
      </c>
      <c r="AY940" s="487" t="s">
        <v>337</v>
      </c>
      <c r="AZ940" s="487">
        <f>+VLOOKUP($AJ940,Data_Validation!$A:$E,5,0)</f>
        <v>0</v>
      </c>
    </row>
    <row r="941" spans="1:52" ht="15" customHeight="1">
      <c r="A941" s="706" t="s">
        <v>1148</v>
      </c>
      <c r="B941" s="706">
        <v>2026</v>
      </c>
      <c r="C941" s="706" t="s">
        <v>2899</v>
      </c>
      <c r="D941" s="706" t="s">
        <v>2900</v>
      </c>
      <c r="E941" s="706" t="s">
        <v>333</v>
      </c>
      <c r="F941" s="706" t="s">
        <v>1152</v>
      </c>
      <c r="G941" s="706">
        <v>145.79</v>
      </c>
      <c r="H941" s="706">
        <v>145.79</v>
      </c>
      <c r="I941" s="706">
        <v>145.79</v>
      </c>
      <c r="J941" s="706">
        <v>277.94</v>
      </c>
      <c r="K941" s="706">
        <v>277.94</v>
      </c>
      <c r="L941" s="706">
        <v>277.94</v>
      </c>
      <c r="M941" s="706">
        <v>277.94</v>
      </c>
      <c r="N941" s="706">
        <v>0</v>
      </c>
      <c r="O941" s="706">
        <v>0</v>
      </c>
      <c r="P941" s="706">
        <v>0</v>
      </c>
      <c r="Q941" s="706">
        <v>0</v>
      </c>
      <c r="R941" s="706">
        <v>0</v>
      </c>
      <c r="S941" s="706">
        <v>46.32</v>
      </c>
      <c r="T941" s="706">
        <v>46.32</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G67200</v>
      </c>
      <c r="AK941" s="905" t="str">
        <f t="shared" si="93"/>
        <v>COUT-M.D. B.CLAIM</v>
      </c>
      <c r="AL941" s="905">
        <f>IFERROR(INDEX(G941:R941,1,MATCH(Parametres!$B$3,G$1:R$1,0)-1)*IF(OR(F941="L",F941="S",F941="I"),-1,1),"")</f>
        <v>277.94</v>
      </c>
      <c r="AM941" s="905">
        <f t="shared" si="94"/>
        <v>0</v>
      </c>
      <c r="AN941" s="905">
        <f>INDEX(G941:R941,1,MATCH(Parametres!$B$3,G$1:R$1,0))*IF(OR(F941="L",F941="S",F941="I"),-1,1)</f>
        <v>277.94</v>
      </c>
      <c r="AO941" s="487" t="str">
        <f>+VLOOKUP($AJ941,Data_Validation!$A:$D,1,0)</f>
        <v>G67200</v>
      </c>
      <c r="AP941" s="487" t="str">
        <f>+VLOOKUP($AJ941,Data_Validation!$A:$D,3,0)</f>
        <v>Carrosserie</v>
      </c>
      <c r="AQ941" s="487" t="str">
        <f>+VLOOKUP($AJ941,Data_Validation!$A:$D,4,0)</f>
        <v>Carrosserie Interne</v>
      </c>
      <c r="AR941" s="487" t="s">
        <v>299</v>
      </c>
      <c r="AS941" s="487">
        <f>+VLOOKUP($AJ941,Data_Validation!$A:$E,5,0)</f>
        <v>0</v>
      </c>
      <c r="AT941" s="904" t="str">
        <f t="shared" si="95"/>
        <v>G67200</v>
      </c>
      <c r="AU941" s="488" t="str">
        <f t="shared" si="96"/>
        <v>COUT-M.D. B.CLAIM</v>
      </c>
      <c r="AV941" s="899">
        <f>IFERROR(INDEX(V941:AG941,1,MATCH(Parametres!$B$3,V$1:AG$1,0)-1)*IF(OR(C941="L",C941="S",C941="I"),-1,1),"")</f>
        <v>0</v>
      </c>
      <c r="AW941" s="899">
        <f t="shared" si="97"/>
        <v>0</v>
      </c>
      <c r="AX941" s="899">
        <f>INDEX(V941:AG941,1,MATCH(Parametres!$B$3,V$1:AG$1,0))*IF(OR(C941="L",C941="S",C941="I"),-1,1)</f>
        <v>0</v>
      </c>
      <c r="AY941" s="487" t="s">
        <v>337</v>
      </c>
      <c r="AZ941" s="487">
        <f>+VLOOKUP($AJ941,Data_Validation!$A:$E,5,0)</f>
        <v>0</v>
      </c>
    </row>
    <row r="942" spans="1:52" ht="15" customHeight="1">
      <c r="A942" s="706" t="s">
        <v>1148</v>
      </c>
      <c r="B942" s="706">
        <v>2026</v>
      </c>
      <c r="C942" s="706" t="s">
        <v>2901</v>
      </c>
      <c r="D942" s="706" t="s">
        <v>2902</v>
      </c>
      <c r="E942" s="706" t="s">
        <v>333</v>
      </c>
      <c r="F942" s="706" t="s">
        <v>1152</v>
      </c>
      <c r="G942" s="706">
        <v>1978.84</v>
      </c>
      <c r="H942" s="706">
        <v>6111.77</v>
      </c>
      <c r="I942" s="706">
        <v>10074.299999999999</v>
      </c>
      <c r="J942" s="706">
        <v>13220.18</v>
      </c>
      <c r="K942" s="706">
        <v>16185.95</v>
      </c>
      <c r="L942" s="706">
        <v>18157.95</v>
      </c>
      <c r="M942" s="706">
        <v>18373.7</v>
      </c>
      <c r="N942" s="706">
        <v>0</v>
      </c>
      <c r="O942" s="706">
        <v>0</v>
      </c>
      <c r="P942" s="706">
        <v>0</v>
      </c>
      <c r="Q942" s="706">
        <v>0</v>
      </c>
      <c r="R942" s="706">
        <v>0</v>
      </c>
      <c r="S942" s="706">
        <v>3026.33</v>
      </c>
      <c r="T942" s="706">
        <v>3026.33</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G67300</v>
      </c>
      <c r="AK942" s="905" t="str">
        <f t="shared" si="93"/>
        <v>COUT-M.D. BODY INT.</v>
      </c>
      <c r="AL942" s="905">
        <f>IFERROR(INDEX(G942:R942,1,MATCH(Parametres!$B$3,G$1:R$1,0)-1)*IF(OR(F942="L",F942="S",F942="I"),-1,1),"")</f>
        <v>16185.95</v>
      </c>
      <c r="AM942" s="905">
        <f t="shared" si="94"/>
        <v>1972</v>
      </c>
      <c r="AN942" s="905">
        <f>INDEX(G942:R942,1,MATCH(Parametres!$B$3,G$1:R$1,0))*IF(OR(F942="L",F942="S",F942="I"),-1,1)</f>
        <v>18157.95</v>
      </c>
      <c r="AO942" s="487" t="str">
        <f>+VLOOKUP($AJ942,Data_Validation!$A:$D,1,0)</f>
        <v>G67300</v>
      </c>
      <c r="AP942" s="487" t="str">
        <f>+VLOOKUP($AJ942,Data_Validation!$A:$D,3,0)</f>
        <v>Carrosserie</v>
      </c>
      <c r="AQ942" s="487" t="str">
        <f>+VLOOKUP($AJ942,Data_Validation!$A:$D,4,0)</f>
        <v>Carrosserie Interne</v>
      </c>
      <c r="AR942" s="487" t="s">
        <v>299</v>
      </c>
      <c r="AS942" s="487">
        <f>+VLOOKUP($AJ942,Data_Validation!$A:$E,5,0)</f>
        <v>0</v>
      </c>
      <c r="AT942" s="904" t="str">
        <f t="shared" si="95"/>
        <v>G67300</v>
      </c>
      <c r="AU942" s="488" t="str">
        <f t="shared" si="96"/>
        <v>COUT-M.D. BODY INT.</v>
      </c>
      <c r="AV942" s="899">
        <f>IFERROR(INDEX(V942:AG942,1,MATCH(Parametres!$B$3,V$1:AG$1,0)-1)*IF(OR(C942="L",C942="S",C942="I"),-1,1),"")</f>
        <v>0</v>
      </c>
      <c r="AW942" s="899">
        <f t="shared" si="97"/>
        <v>0</v>
      </c>
      <c r="AX942" s="899">
        <f>INDEX(V942:AG942,1,MATCH(Parametres!$B$3,V$1:AG$1,0))*IF(OR(C942="L",C942="S",C942="I"),-1,1)</f>
        <v>0</v>
      </c>
      <c r="AY942" s="487" t="s">
        <v>337</v>
      </c>
      <c r="AZ942" s="487">
        <f>+VLOOKUP($AJ942,Data_Validation!$A:$E,5,0)</f>
        <v>0</v>
      </c>
    </row>
    <row r="943" spans="1:52" ht="15" customHeight="1">
      <c r="A943" s="706" t="s">
        <v>1148</v>
      </c>
      <c r="B943" s="706">
        <v>2026</v>
      </c>
      <c r="C943" s="706" t="s">
        <v>2903</v>
      </c>
      <c r="D943" s="706" t="s">
        <v>2904</v>
      </c>
      <c r="E943" s="706" t="s">
        <v>333</v>
      </c>
      <c r="F943" s="706" t="s">
        <v>1152</v>
      </c>
      <c r="G943" s="706">
        <v>0</v>
      </c>
      <c r="H943" s="706">
        <v>0</v>
      </c>
      <c r="I943" s="706">
        <v>0</v>
      </c>
      <c r="J943" s="706">
        <v>0</v>
      </c>
      <c r="K943" s="706">
        <v>246.26</v>
      </c>
      <c r="L943" s="706">
        <v>663.68</v>
      </c>
      <c r="M943" s="706">
        <v>813.01</v>
      </c>
      <c r="N943" s="706">
        <v>0</v>
      </c>
      <c r="O943" s="706">
        <v>0</v>
      </c>
      <c r="P943" s="706">
        <v>0</v>
      </c>
      <c r="Q943" s="706">
        <v>0</v>
      </c>
      <c r="R943" s="706">
        <v>0</v>
      </c>
      <c r="S943" s="706">
        <v>110.61</v>
      </c>
      <c r="T943" s="706">
        <v>110.61</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G67303</v>
      </c>
      <c r="AK943" s="905" t="str">
        <f t="shared" si="93"/>
        <v>COUT-M.D. PEINTURE INT.</v>
      </c>
      <c r="AL943" s="905">
        <f>IFERROR(INDEX(G943:R943,1,MATCH(Parametres!$B$3,G$1:R$1,0)-1)*IF(OR(F943="L",F943="S",F943="I"),-1,1),"")</f>
        <v>246.26</v>
      </c>
      <c r="AM943" s="905">
        <f t="shared" si="94"/>
        <v>417.41999999999996</v>
      </c>
      <c r="AN943" s="905">
        <f>INDEX(G943:R943,1,MATCH(Parametres!$B$3,G$1:R$1,0))*IF(OR(F943="L",F943="S",F943="I"),-1,1)</f>
        <v>663.68</v>
      </c>
      <c r="AO943" s="487" t="str">
        <f>+VLOOKUP($AJ943,Data_Validation!$A:$D,1,0)</f>
        <v>G67303</v>
      </c>
      <c r="AP943" s="487" t="str">
        <f>+VLOOKUP($AJ943,Data_Validation!$A:$D,3,0)</f>
        <v>Carrosserie</v>
      </c>
      <c r="AQ943" s="487" t="str">
        <f>+VLOOKUP($AJ943,Data_Validation!$A:$D,4,0)</f>
        <v>Carrosserie Interne</v>
      </c>
      <c r="AR943" s="487" t="s">
        <v>299</v>
      </c>
      <c r="AS943" s="487">
        <f>+VLOOKUP($AJ943,Data_Validation!$A:$E,5,0)</f>
        <v>0</v>
      </c>
      <c r="AT943" s="904" t="str">
        <f t="shared" si="95"/>
        <v>G67303</v>
      </c>
      <c r="AU943" s="488" t="str">
        <f t="shared" si="96"/>
        <v>COUT-M.D. PEINTURE INT.</v>
      </c>
      <c r="AV943" s="899">
        <f>IFERROR(INDEX(V943:AG943,1,MATCH(Parametres!$B$3,V$1:AG$1,0)-1)*IF(OR(C943="L",C943="S",C943="I"),-1,1),"")</f>
        <v>0</v>
      </c>
      <c r="AW943" s="899">
        <f t="shared" si="97"/>
        <v>0</v>
      </c>
      <c r="AX943" s="899">
        <f>INDEX(V943:AG943,1,MATCH(Parametres!$B$3,V$1:AG$1,0))*IF(OR(C943="L",C943="S",C943="I"),-1,1)</f>
        <v>0</v>
      </c>
      <c r="AY943" s="487" t="s">
        <v>337</v>
      </c>
      <c r="AZ943" s="487">
        <f>+VLOOKUP($AJ943,Data_Validation!$A:$E,5,0)</f>
        <v>0</v>
      </c>
    </row>
    <row r="944" spans="1:52" ht="15" customHeight="1">
      <c r="A944" s="706" t="s">
        <v>1148</v>
      </c>
      <c r="B944" s="706">
        <v>2026</v>
      </c>
      <c r="C944" s="706" t="s">
        <v>2905</v>
      </c>
      <c r="D944" s="706" t="s">
        <v>2906</v>
      </c>
      <c r="E944" s="706" t="s">
        <v>333</v>
      </c>
      <c r="F944" s="706" t="s">
        <v>1152</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G67313</v>
      </c>
      <c r="AK944" s="905" t="str">
        <f t="shared" si="93"/>
        <v>COUT -M.O MEC INTERN-BODY</v>
      </c>
      <c r="AL944" s="905">
        <f>IFERROR(INDEX(G944:R944,1,MATCH(Parametres!$B$3,G$1:R$1,0)-1)*IF(OR(F944="L",F944="S",F944="I"),-1,1),"")</f>
        <v>0</v>
      </c>
      <c r="AM944" s="905">
        <f t="shared" si="94"/>
        <v>0</v>
      </c>
      <c r="AN944" s="905">
        <f>INDEX(G944:R944,1,MATCH(Parametres!$B$3,G$1:R$1,0))*IF(OR(F944="L",F944="S",F944="I"),-1,1)</f>
        <v>0</v>
      </c>
      <c r="AO944" s="487" t="str">
        <f>+VLOOKUP($AJ944,Data_Validation!$A:$D,1,0)</f>
        <v>G67313</v>
      </c>
      <c r="AP944" s="487" t="str">
        <f>+VLOOKUP($AJ944,Data_Validation!$A:$D,3,0)</f>
        <v>Carrosserie</v>
      </c>
      <c r="AQ944" s="487" t="str">
        <f>+VLOOKUP($AJ944,Data_Validation!$A:$D,4,0)</f>
        <v>Carrosserie Interne</v>
      </c>
      <c r="AR944" s="487" t="s">
        <v>299</v>
      </c>
      <c r="AS944" s="487">
        <f>+VLOOKUP($AJ944,Data_Validation!$A:$E,5,0)</f>
        <v>0</v>
      </c>
      <c r="AT944" s="904" t="str">
        <f t="shared" si="95"/>
        <v>G67313</v>
      </c>
      <c r="AU944" s="488" t="str">
        <f t="shared" si="96"/>
        <v>COUT -M.O MEC INTERN-BODY</v>
      </c>
      <c r="AV944" s="899">
        <f>IFERROR(INDEX(V944:AG944,1,MATCH(Parametres!$B$3,V$1:AG$1,0)-1)*IF(OR(C944="L",C944="S",C944="I"),-1,1),"")</f>
        <v>0</v>
      </c>
      <c r="AW944" s="899">
        <f t="shared" si="97"/>
        <v>0</v>
      </c>
      <c r="AX944" s="899">
        <f>INDEX(V944:AG944,1,MATCH(Parametres!$B$3,V$1:AG$1,0))*IF(OR(C944="L",C944="S",C944="I"),-1,1)</f>
        <v>0</v>
      </c>
      <c r="AY944" s="487" t="s">
        <v>337</v>
      </c>
      <c r="AZ944" s="487">
        <f>+VLOOKUP($AJ944,Data_Validation!$A:$E,5,0)</f>
        <v>0</v>
      </c>
    </row>
    <row r="945" spans="1:52" ht="15" customHeight="1">
      <c r="A945" s="706" t="s">
        <v>1148</v>
      </c>
      <c r="B945" s="706">
        <v>2026</v>
      </c>
      <c r="C945" s="706" t="s">
        <v>2907</v>
      </c>
      <c r="D945" s="706" t="s">
        <v>2908</v>
      </c>
      <c r="E945" s="706" t="s">
        <v>333</v>
      </c>
      <c r="F945" s="706" t="s">
        <v>1152</v>
      </c>
      <c r="G945" s="706">
        <v>-2076.17</v>
      </c>
      <c r="H945" s="706">
        <v>1683.98</v>
      </c>
      <c r="I945" s="706">
        <v>6440.11</v>
      </c>
      <c r="J945" s="706">
        <v>10406.6</v>
      </c>
      <c r="K945" s="706">
        <v>13512.44</v>
      </c>
      <c r="L945" s="706">
        <v>14653.47</v>
      </c>
      <c r="M945" s="706">
        <v>14653.47</v>
      </c>
      <c r="N945" s="706">
        <v>0</v>
      </c>
      <c r="O945" s="706">
        <v>0</v>
      </c>
      <c r="P945" s="706">
        <v>0</v>
      </c>
      <c r="Q945" s="706">
        <v>0</v>
      </c>
      <c r="R945" s="706">
        <v>0</v>
      </c>
      <c r="S945" s="706">
        <v>2442.25</v>
      </c>
      <c r="T945" s="706">
        <v>2442.25</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G67500</v>
      </c>
      <c r="AK945" s="905" t="str">
        <f t="shared" si="93"/>
        <v>TEMPS PERDU CARROSSERIE</v>
      </c>
      <c r="AL945" s="905">
        <f>IFERROR(INDEX(G945:R945,1,MATCH(Parametres!$B$3,G$1:R$1,0)-1)*IF(OR(F945="L",F945="S",F945="I"),-1,1),"")</f>
        <v>13512.44</v>
      </c>
      <c r="AM945" s="905">
        <f t="shared" si="94"/>
        <v>1141.0299999999988</v>
      </c>
      <c r="AN945" s="905">
        <f>INDEX(G945:R945,1,MATCH(Parametres!$B$3,G$1:R$1,0))*IF(OR(F945="L",F945="S",F945="I"),-1,1)</f>
        <v>14653.47</v>
      </c>
      <c r="AO945" s="487" t="str">
        <f>+VLOOKUP($AJ945,Data_Validation!$A:$D,1,0)</f>
        <v>G67500</v>
      </c>
      <c r="AP945" s="487" t="str">
        <f>+VLOOKUP($AJ945,Data_Validation!$A:$D,3,0)</f>
        <v>Carrosserie</v>
      </c>
      <c r="AQ945" s="487" t="str">
        <f>+VLOOKUP($AJ945,Data_Validation!$A:$D,4,0)</f>
        <v>Ajustement M/O Carrosserie</v>
      </c>
      <c r="AR945" s="487" t="s">
        <v>299</v>
      </c>
      <c r="AS945" s="487">
        <f>+VLOOKUP($AJ945,Data_Validation!$A:$E,5,0)</f>
        <v>0</v>
      </c>
      <c r="AT945" s="904" t="str">
        <f t="shared" si="95"/>
        <v>G67500</v>
      </c>
      <c r="AU945" s="488" t="str">
        <f t="shared" si="96"/>
        <v>TEMPS PERDU CARROSSERIE</v>
      </c>
      <c r="AV945" s="899">
        <f>IFERROR(INDEX(V945:AG945,1,MATCH(Parametres!$B$3,V$1:AG$1,0)-1)*IF(OR(C945="L",C945="S",C945="I"),-1,1),"")</f>
        <v>0</v>
      </c>
      <c r="AW945" s="899">
        <f t="shared" si="97"/>
        <v>0</v>
      </c>
      <c r="AX945" s="899">
        <f>INDEX(V945:AG945,1,MATCH(Parametres!$B$3,V$1:AG$1,0))*IF(OR(C945="L",C945="S",C945="I"),-1,1)</f>
        <v>0</v>
      </c>
      <c r="AY945" s="487" t="s">
        <v>337</v>
      </c>
      <c r="AZ945" s="487">
        <f>+VLOOKUP($AJ945,Data_Validation!$A:$E,5,0)</f>
        <v>0</v>
      </c>
    </row>
    <row r="946" spans="1:52" ht="15" customHeight="1">
      <c r="A946" s="706" t="s">
        <v>1148</v>
      </c>
      <c r="B946" s="706">
        <v>2026</v>
      </c>
      <c r="C946" s="706" t="s">
        <v>2909</v>
      </c>
      <c r="D946" s="706" t="s">
        <v>2910</v>
      </c>
      <c r="E946" s="706" t="s">
        <v>333</v>
      </c>
      <c r="F946" s="706" t="s">
        <v>1152</v>
      </c>
      <c r="G946" s="706">
        <v>72114.69</v>
      </c>
      <c r="H946" s="706">
        <v>142583.76</v>
      </c>
      <c r="I946" s="706">
        <v>197462.96</v>
      </c>
      <c r="J946" s="706">
        <v>229534.23</v>
      </c>
      <c r="K946" s="706">
        <v>255722.15</v>
      </c>
      <c r="L946" s="706">
        <v>293738.59000000003</v>
      </c>
      <c r="M946" s="706">
        <v>305458.18</v>
      </c>
      <c r="N946" s="706">
        <v>0</v>
      </c>
      <c r="O946" s="706">
        <v>0</v>
      </c>
      <c r="P946" s="706">
        <v>0</v>
      </c>
      <c r="Q946" s="706">
        <v>0</v>
      </c>
      <c r="R946" s="706">
        <v>0</v>
      </c>
      <c r="S946" s="706">
        <v>48956.43</v>
      </c>
      <c r="T946" s="706">
        <v>48956.43</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G67600</v>
      </c>
      <c r="AK946" s="905" t="str">
        <f t="shared" si="93"/>
        <v>COUT-REP.SOUS-TRAIT.BODY</v>
      </c>
      <c r="AL946" s="905">
        <f>IFERROR(INDEX(G946:R946,1,MATCH(Parametres!$B$3,G$1:R$1,0)-1)*IF(OR(F946="L",F946="S",F946="I"),-1,1),"")</f>
        <v>255722.15</v>
      </c>
      <c r="AM946" s="905">
        <f t="shared" si="94"/>
        <v>38016.440000000031</v>
      </c>
      <c r="AN946" s="905">
        <f>INDEX(G946:R946,1,MATCH(Parametres!$B$3,G$1:R$1,0))*IF(OR(F946="L",F946="S",F946="I"),-1,1)</f>
        <v>293738.59000000003</v>
      </c>
      <c r="AO946" s="487" t="str">
        <f>+VLOOKUP($AJ946,Data_Validation!$A:$D,1,0)</f>
        <v>G67600</v>
      </c>
      <c r="AP946" s="487" t="str">
        <f>+VLOOKUP($AJ946,Data_Validation!$A:$D,3,0)</f>
        <v>Carrosserie</v>
      </c>
      <c r="AQ946" s="487" t="str">
        <f>+VLOOKUP($AJ946,Data_Validation!$A:$D,4,0)</f>
        <v>Carrosserie Clients</v>
      </c>
      <c r="AR946" s="487" t="s">
        <v>299</v>
      </c>
      <c r="AS946" s="487">
        <f>+VLOOKUP($AJ946,Data_Validation!$A:$E,5,0)</f>
        <v>0</v>
      </c>
      <c r="AT946" s="904" t="str">
        <f t="shared" si="95"/>
        <v>G67600</v>
      </c>
      <c r="AU946" s="488" t="str">
        <f t="shared" si="96"/>
        <v>COUT-REP.SOUS-TRAIT.BODY</v>
      </c>
      <c r="AV946" s="899">
        <f>IFERROR(INDEX(V946:AG946,1,MATCH(Parametres!$B$3,V$1:AG$1,0)-1)*IF(OR(C946="L",C946="S",C946="I"),-1,1),"")</f>
        <v>0</v>
      </c>
      <c r="AW946" s="899">
        <f t="shared" si="97"/>
        <v>0</v>
      </c>
      <c r="AX946" s="899">
        <f>INDEX(V946:AG946,1,MATCH(Parametres!$B$3,V$1:AG$1,0))*IF(OR(C946="L",C946="S",C946="I"),-1,1)</f>
        <v>0</v>
      </c>
      <c r="AY946" s="487" t="s">
        <v>337</v>
      </c>
      <c r="AZ946" s="487">
        <f>+VLOOKUP($AJ946,Data_Validation!$A:$E,5,0)</f>
        <v>0</v>
      </c>
    </row>
    <row r="947" spans="1:52" ht="15" customHeight="1">
      <c r="A947" s="706" t="s">
        <v>1148</v>
      </c>
      <c r="B947" s="706">
        <v>2026</v>
      </c>
      <c r="C947" s="706" t="s">
        <v>2911</v>
      </c>
      <c r="D947" s="706" t="s">
        <v>2912</v>
      </c>
      <c r="E947" s="706" t="s">
        <v>333</v>
      </c>
      <c r="F947" s="706" t="s">
        <v>1152</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G67603</v>
      </c>
      <c r="AK947" s="905" t="str">
        <f t="shared" si="93"/>
        <v>COUT - S.T. INTERN-BODY</v>
      </c>
      <c r="AL947" s="905">
        <f>IFERROR(INDEX(G947:R947,1,MATCH(Parametres!$B$3,G$1:R$1,0)-1)*IF(OR(F947="L",F947="S",F947="I"),-1,1),"")</f>
        <v>0</v>
      </c>
      <c r="AM947" s="905">
        <f t="shared" si="94"/>
        <v>0</v>
      </c>
      <c r="AN947" s="905">
        <f>INDEX(G947:R947,1,MATCH(Parametres!$B$3,G$1:R$1,0))*IF(OR(F947="L",F947="S",F947="I"),-1,1)</f>
        <v>0</v>
      </c>
      <c r="AO947" s="487" t="str">
        <f>+VLOOKUP($AJ947,Data_Validation!$A:$D,1,0)</f>
        <v>G67603</v>
      </c>
      <c r="AP947" s="487" t="str">
        <f>+VLOOKUP($AJ947,Data_Validation!$A:$D,3,0)</f>
        <v>Carrosserie</v>
      </c>
      <c r="AQ947" s="487" t="str">
        <f>+VLOOKUP($AJ947,Data_Validation!$A:$D,4,0)</f>
        <v>Carrosserie Interne</v>
      </c>
      <c r="AR947" s="487" t="s">
        <v>299</v>
      </c>
      <c r="AS947" s="487">
        <f>+VLOOKUP($AJ947,Data_Validation!$A:$E,5,0)</f>
        <v>0</v>
      </c>
      <c r="AT947" s="904" t="str">
        <f t="shared" si="95"/>
        <v>G67603</v>
      </c>
      <c r="AU947" s="488" t="str">
        <f t="shared" si="96"/>
        <v>COUT - S.T. INTERN-BODY</v>
      </c>
      <c r="AV947" s="899">
        <f>IFERROR(INDEX(V947:AG947,1,MATCH(Parametres!$B$3,V$1:AG$1,0)-1)*IF(OR(C947="L",C947="S",C947="I"),-1,1),"")</f>
        <v>0</v>
      </c>
      <c r="AW947" s="899">
        <f t="shared" si="97"/>
        <v>0</v>
      </c>
      <c r="AX947" s="899">
        <f>INDEX(V947:AG947,1,MATCH(Parametres!$B$3,V$1:AG$1,0))*IF(OR(C947="L",C947="S",C947="I"),-1,1)</f>
        <v>0</v>
      </c>
      <c r="AY947" s="487" t="s">
        <v>337</v>
      </c>
      <c r="AZ947" s="487">
        <f>+VLOOKUP($AJ947,Data_Validation!$A:$E,5,0)</f>
        <v>0</v>
      </c>
    </row>
    <row r="948" spans="1:52" ht="15" customHeight="1">
      <c r="A948" s="706" t="s">
        <v>1148</v>
      </c>
      <c r="B948" s="706">
        <v>2026</v>
      </c>
      <c r="C948" s="706" t="s">
        <v>2913</v>
      </c>
      <c r="D948" s="706" t="s">
        <v>2914</v>
      </c>
      <c r="E948" s="706" t="s">
        <v>333</v>
      </c>
      <c r="F948" s="706" t="s">
        <v>1152</v>
      </c>
      <c r="G948" s="706">
        <v>0</v>
      </c>
      <c r="H948" s="706">
        <v>0</v>
      </c>
      <c r="I948" s="706">
        <v>0</v>
      </c>
      <c r="J948" s="706">
        <v>0</v>
      </c>
      <c r="K948" s="706">
        <v>5087.09</v>
      </c>
      <c r="L948" s="706">
        <v>5357.09</v>
      </c>
      <c r="M948" s="706">
        <v>5522.09</v>
      </c>
      <c r="N948" s="706">
        <v>0</v>
      </c>
      <c r="O948" s="706">
        <v>0</v>
      </c>
      <c r="P948" s="706">
        <v>0</v>
      </c>
      <c r="Q948" s="706">
        <v>0</v>
      </c>
      <c r="R948" s="706">
        <v>0</v>
      </c>
      <c r="S948" s="706">
        <v>892.85</v>
      </c>
      <c r="T948" s="706">
        <v>892.85</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G67605</v>
      </c>
      <c r="AK948" s="905" t="str">
        <f t="shared" si="93"/>
        <v>COUT -S.T CONCES. BODY</v>
      </c>
      <c r="AL948" s="905">
        <f>IFERROR(INDEX(G948:R948,1,MATCH(Parametres!$B$3,G$1:R$1,0)-1)*IF(OR(F948="L",F948="S",F948="I"),-1,1),"")</f>
        <v>5087.09</v>
      </c>
      <c r="AM948" s="905">
        <f t="shared" si="94"/>
        <v>270</v>
      </c>
      <c r="AN948" s="905">
        <f>INDEX(G948:R948,1,MATCH(Parametres!$B$3,G$1:R$1,0))*IF(OR(F948="L",F948="S",F948="I"),-1,1)</f>
        <v>5357.09</v>
      </c>
      <c r="AO948" s="487" t="str">
        <f>+VLOOKUP($AJ948,Data_Validation!$A:$D,1,0)</f>
        <v>G67605</v>
      </c>
      <c r="AP948" s="487" t="str">
        <f>+VLOOKUP($AJ948,Data_Validation!$A:$D,3,0)</f>
        <v>Carrosserie</v>
      </c>
      <c r="AQ948" s="487" t="str">
        <f>+VLOOKUP($AJ948,Data_Validation!$A:$D,4,0)</f>
        <v>Carrosserie Concessions</v>
      </c>
      <c r="AR948" s="487" t="s">
        <v>299</v>
      </c>
      <c r="AS948" s="487">
        <f>+VLOOKUP($AJ948,Data_Validation!$A:$E,5,0)</f>
        <v>0</v>
      </c>
      <c r="AT948" s="904" t="str">
        <f t="shared" si="95"/>
        <v>G67605</v>
      </c>
      <c r="AU948" s="488" t="str">
        <f t="shared" si="96"/>
        <v>COUT -S.T CONCES. BODY</v>
      </c>
      <c r="AV948" s="899">
        <f>IFERROR(INDEX(V948:AG948,1,MATCH(Parametres!$B$3,V$1:AG$1,0)-1)*IF(OR(C948="L",C948="S",C948="I"),-1,1),"")</f>
        <v>0</v>
      </c>
      <c r="AW948" s="899">
        <f t="shared" si="97"/>
        <v>0</v>
      </c>
      <c r="AX948" s="899">
        <f>INDEX(V948:AG948,1,MATCH(Parametres!$B$3,V$1:AG$1,0))*IF(OR(C948="L",C948="S",C948="I"),-1,1)</f>
        <v>0</v>
      </c>
      <c r="AY948" s="487" t="s">
        <v>337</v>
      </c>
      <c r="AZ948" s="487">
        <f>+VLOOKUP($AJ948,Data_Validation!$A:$E,5,0)</f>
        <v>0</v>
      </c>
    </row>
    <row r="949" spans="1:52" ht="15" customHeight="1">
      <c r="A949" s="706" t="s">
        <v>1148</v>
      </c>
      <c r="B949" s="706">
        <v>2026</v>
      </c>
      <c r="C949" s="706" t="s">
        <v>2915</v>
      </c>
      <c r="D949" s="706" t="s">
        <v>2916</v>
      </c>
      <c r="E949" s="706" t="s">
        <v>333</v>
      </c>
      <c r="F949" s="706" t="s">
        <v>1152</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G67610</v>
      </c>
      <c r="AK949" s="905" t="str">
        <f t="shared" si="93"/>
        <v>COUT-PCS.S-T BODY -CLIENT</v>
      </c>
      <c r="AL949" s="905">
        <f>IFERROR(INDEX(G949:R949,1,MATCH(Parametres!$B$3,G$1:R$1,0)-1)*IF(OR(F949="L",F949="S",F949="I"),-1,1),"")</f>
        <v>0</v>
      </c>
      <c r="AM949" s="905">
        <f t="shared" si="94"/>
        <v>0</v>
      </c>
      <c r="AN949" s="905">
        <f>INDEX(G949:R949,1,MATCH(Parametres!$B$3,G$1:R$1,0))*IF(OR(F949="L",F949="S",F949="I"),-1,1)</f>
        <v>0</v>
      </c>
      <c r="AO949" s="487" t="str">
        <f>+VLOOKUP($AJ949,Data_Validation!$A:$D,1,0)</f>
        <v>G67610</v>
      </c>
      <c r="AP949" s="487" t="str">
        <f>+VLOOKUP($AJ949,Data_Validation!$A:$D,3,0)</f>
        <v>Carrosserie</v>
      </c>
      <c r="AQ949" s="487" t="str">
        <f>+VLOOKUP($AJ949,Data_Validation!$A:$D,4,0)</f>
        <v>Carrosserie Clients</v>
      </c>
      <c r="AR949" s="487" t="s">
        <v>299</v>
      </c>
      <c r="AS949" s="487">
        <f>+VLOOKUP($AJ949,Data_Validation!$A:$E,5,0)</f>
        <v>0</v>
      </c>
      <c r="AT949" s="904" t="str">
        <f t="shared" si="95"/>
        <v>G67610</v>
      </c>
      <c r="AU949" s="488" t="str">
        <f t="shared" si="96"/>
        <v>COUT-PCS.S-T BODY -CLIENT</v>
      </c>
      <c r="AV949" s="899">
        <f>IFERROR(INDEX(V949:AG949,1,MATCH(Parametres!$B$3,V$1:AG$1,0)-1)*IF(OR(C949="L",C949="S",C949="I"),-1,1),"")</f>
        <v>0</v>
      </c>
      <c r="AW949" s="899">
        <f t="shared" si="97"/>
        <v>0</v>
      </c>
      <c r="AX949" s="899">
        <f>INDEX(V949:AG949,1,MATCH(Parametres!$B$3,V$1:AG$1,0))*IF(OR(C949="L",C949="S",C949="I"),-1,1)</f>
        <v>0</v>
      </c>
      <c r="AY949" s="487" t="s">
        <v>337</v>
      </c>
      <c r="AZ949" s="487">
        <f>+VLOOKUP($AJ949,Data_Validation!$A:$E,5,0)</f>
        <v>0</v>
      </c>
    </row>
    <row r="950" spans="1:52" ht="15" customHeight="1">
      <c r="A950" s="706" t="s">
        <v>1148</v>
      </c>
      <c r="B950" s="706">
        <v>2026</v>
      </c>
      <c r="C950" s="706" t="s">
        <v>2917</v>
      </c>
      <c r="D950" s="706" t="s">
        <v>2918</v>
      </c>
      <c r="E950" s="706" t="s">
        <v>333</v>
      </c>
      <c r="F950" s="706" t="s">
        <v>1152</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G67613</v>
      </c>
      <c r="AK950" s="905" t="str">
        <f t="shared" si="93"/>
        <v>COUT -PIECES INTERN -BODY</v>
      </c>
      <c r="AL950" s="905">
        <f>IFERROR(INDEX(G950:R950,1,MATCH(Parametres!$B$3,G$1:R$1,0)-1)*IF(OR(F950="L",F950="S",F950="I"),-1,1),"")</f>
        <v>0</v>
      </c>
      <c r="AM950" s="905">
        <f t="shared" si="94"/>
        <v>0</v>
      </c>
      <c r="AN950" s="905">
        <f>INDEX(G950:R950,1,MATCH(Parametres!$B$3,G$1:R$1,0))*IF(OR(F950="L",F950="S",F950="I"),-1,1)</f>
        <v>0</v>
      </c>
      <c r="AO950" s="487" t="str">
        <f>+VLOOKUP($AJ950,Data_Validation!$A:$D,1,0)</f>
        <v>G67613</v>
      </c>
      <c r="AP950" s="487" t="str">
        <f>+VLOOKUP($AJ950,Data_Validation!$A:$D,3,0)</f>
        <v>Carrosserie</v>
      </c>
      <c r="AQ950" s="487" t="str">
        <f>+VLOOKUP($AJ950,Data_Validation!$A:$D,4,0)</f>
        <v>Carrosserie Interne</v>
      </c>
      <c r="AR950" s="487" t="s">
        <v>299</v>
      </c>
      <c r="AS950" s="487">
        <f>+VLOOKUP($AJ950,Data_Validation!$A:$E,5,0)</f>
        <v>0</v>
      </c>
      <c r="AT950" s="904" t="str">
        <f t="shared" si="95"/>
        <v>G67613</v>
      </c>
      <c r="AU950" s="488" t="str">
        <f t="shared" si="96"/>
        <v>COUT -PIECES INTERN -BODY</v>
      </c>
      <c r="AV950" s="899">
        <f>IFERROR(INDEX(V950:AG950,1,MATCH(Parametres!$B$3,V$1:AG$1,0)-1)*IF(OR(C950="L",C950="S",C950="I"),-1,1),"")</f>
        <v>0</v>
      </c>
      <c r="AW950" s="899">
        <f t="shared" si="97"/>
        <v>0</v>
      </c>
      <c r="AX950" s="899">
        <f>INDEX(V950:AG950,1,MATCH(Parametres!$B$3,V$1:AG$1,0))*IF(OR(C950="L",C950="S",C950="I"),-1,1)</f>
        <v>0</v>
      </c>
      <c r="AY950" s="487" t="s">
        <v>337</v>
      </c>
      <c r="AZ950" s="487">
        <f>+VLOOKUP($AJ950,Data_Validation!$A:$E,5,0)</f>
        <v>0</v>
      </c>
    </row>
    <row r="951" spans="1:52" ht="15" customHeight="1">
      <c r="A951" s="706" t="s">
        <v>1148</v>
      </c>
      <c r="B951" s="706">
        <v>2026</v>
      </c>
      <c r="C951" s="706" t="s">
        <v>2919</v>
      </c>
      <c r="D951" s="706" t="s">
        <v>2920</v>
      </c>
      <c r="E951" s="706" t="s">
        <v>333</v>
      </c>
      <c r="F951" s="706" t="s">
        <v>1152</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G67615</v>
      </c>
      <c r="AK951" s="905" t="str">
        <f t="shared" si="93"/>
        <v>COUT - S-T PCS CONCES-BOD</v>
      </c>
      <c r="AL951" s="905">
        <f>IFERROR(INDEX(G951:R951,1,MATCH(Parametres!$B$3,G$1:R$1,0)-1)*IF(OR(F951="L",F951="S",F951="I"),-1,1),"")</f>
        <v>0</v>
      </c>
      <c r="AM951" s="905">
        <f t="shared" si="94"/>
        <v>0</v>
      </c>
      <c r="AN951" s="905">
        <f>INDEX(G951:R951,1,MATCH(Parametres!$B$3,G$1:R$1,0))*IF(OR(F951="L",F951="S",F951="I"),-1,1)</f>
        <v>0</v>
      </c>
      <c r="AO951" s="487" t="str">
        <f>+VLOOKUP($AJ951,Data_Validation!$A:$D,1,0)</f>
        <v>G67615</v>
      </c>
      <c r="AP951" s="487" t="str">
        <f>+VLOOKUP($AJ951,Data_Validation!$A:$D,3,0)</f>
        <v>Carrosserie</v>
      </c>
      <c r="AQ951" s="487" t="str">
        <f>+VLOOKUP($AJ951,Data_Validation!$A:$D,4,0)</f>
        <v>Carrosserie Concessions</v>
      </c>
      <c r="AR951" s="487" t="s">
        <v>299</v>
      </c>
      <c r="AS951" s="487">
        <f>+VLOOKUP($AJ951,Data_Validation!$A:$E,5,0)</f>
        <v>0</v>
      </c>
      <c r="AT951" s="904" t="str">
        <f t="shared" si="95"/>
        <v>G67615</v>
      </c>
      <c r="AU951" s="488" t="str">
        <f t="shared" si="96"/>
        <v>COUT - S-T PCS CONCES-BOD</v>
      </c>
      <c r="AV951" s="899">
        <f>IFERROR(INDEX(V951:AG951,1,MATCH(Parametres!$B$3,V$1:AG$1,0)-1)*IF(OR(C951="L",C951="S",C951="I"),-1,1),"")</f>
        <v>0</v>
      </c>
      <c r="AW951" s="899">
        <f t="shared" si="97"/>
        <v>0</v>
      </c>
      <c r="AX951" s="899">
        <f>INDEX(V951:AG951,1,MATCH(Parametres!$B$3,V$1:AG$1,0))*IF(OR(C951="L",C951="S",C951="I"),-1,1)</f>
        <v>0</v>
      </c>
      <c r="AY951" s="487" t="s">
        <v>337</v>
      </c>
      <c r="AZ951" s="487">
        <f>+VLOOKUP($AJ951,Data_Validation!$A:$E,5,0)</f>
        <v>0</v>
      </c>
    </row>
    <row r="952" spans="1:52" ht="15" customHeight="1">
      <c r="A952" s="706" t="s">
        <v>1148</v>
      </c>
      <c r="B952" s="706">
        <v>2026</v>
      </c>
      <c r="C952" s="706" t="s">
        <v>2921</v>
      </c>
      <c r="D952" s="706" t="s">
        <v>2922</v>
      </c>
      <c r="E952" s="706" t="s">
        <v>333</v>
      </c>
      <c r="F952" s="706" t="s">
        <v>1152</v>
      </c>
      <c r="G952" s="706">
        <v>0</v>
      </c>
      <c r="H952" s="706">
        <v>0</v>
      </c>
      <c r="I952" s="706">
        <v>0</v>
      </c>
      <c r="J952" s="706">
        <v>0</v>
      </c>
      <c r="K952" s="706">
        <v>0</v>
      </c>
      <c r="L952" s="706">
        <v>1486.33</v>
      </c>
      <c r="M952" s="706">
        <v>1486.33</v>
      </c>
      <c r="N952" s="706">
        <v>0</v>
      </c>
      <c r="O952" s="706">
        <v>0</v>
      </c>
      <c r="P952" s="706">
        <v>0</v>
      </c>
      <c r="Q952" s="706">
        <v>0</v>
      </c>
      <c r="R952" s="706">
        <v>0</v>
      </c>
      <c r="S952" s="706">
        <v>247.72</v>
      </c>
      <c r="T952" s="706">
        <v>247.72</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G67620</v>
      </c>
      <c r="AK952" s="905" t="str">
        <f t="shared" si="93"/>
        <v>COUT -LOC.COURTOIS - BODY</v>
      </c>
      <c r="AL952" s="905">
        <f>IFERROR(INDEX(G952:R952,1,MATCH(Parametres!$B$3,G$1:R$1,0)-1)*IF(OR(F952="L",F952="S",F952="I"),-1,1),"")</f>
        <v>0</v>
      </c>
      <c r="AM952" s="905">
        <f t="shared" si="94"/>
        <v>1486.33</v>
      </c>
      <c r="AN952" s="905">
        <f>INDEX(G952:R952,1,MATCH(Parametres!$B$3,G$1:R$1,0))*IF(OR(F952="L",F952="S",F952="I"),-1,1)</f>
        <v>1486.33</v>
      </c>
      <c r="AO952" s="487" t="str">
        <f>+VLOOKUP($AJ952,Data_Validation!$A:$D,1,0)</f>
        <v>G67620</v>
      </c>
      <c r="AP952" s="487" t="str">
        <f>+VLOOKUP($AJ952,Data_Validation!$A:$D,3,0)</f>
        <v>Carrosserie</v>
      </c>
      <c r="AQ952" s="487" t="str">
        <f>+VLOOKUP($AJ952,Data_Validation!$A:$D,4,0)</f>
        <v>Carrosserie Clients</v>
      </c>
      <c r="AR952" s="487" t="s">
        <v>299</v>
      </c>
      <c r="AS952" s="487">
        <f>+VLOOKUP($AJ952,Data_Validation!$A:$E,5,0)</f>
        <v>0</v>
      </c>
      <c r="AT952" s="904" t="str">
        <f t="shared" si="95"/>
        <v>G67620</v>
      </c>
      <c r="AU952" s="488" t="str">
        <f t="shared" si="96"/>
        <v>COUT -LOC.COURTOIS - BODY</v>
      </c>
      <c r="AV952" s="899">
        <f>IFERROR(INDEX(V952:AG952,1,MATCH(Parametres!$B$3,V$1:AG$1,0)-1)*IF(OR(C952="L",C952="S",C952="I"),-1,1),"")</f>
        <v>0</v>
      </c>
      <c r="AW952" s="899">
        <f t="shared" si="97"/>
        <v>0</v>
      </c>
      <c r="AX952" s="899">
        <f>INDEX(V952:AG952,1,MATCH(Parametres!$B$3,V$1:AG$1,0))*IF(OR(C952="L",C952="S",C952="I"),-1,1)</f>
        <v>0</v>
      </c>
      <c r="AY952" s="487" t="s">
        <v>337</v>
      </c>
      <c r="AZ952" s="487">
        <f>+VLOOKUP($AJ952,Data_Validation!$A:$E,5,0)</f>
        <v>0</v>
      </c>
    </row>
    <row r="953" spans="1:52" ht="15" customHeight="1">
      <c r="A953" s="706" t="s">
        <v>1148</v>
      </c>
      <c r="B953" s="706">
        <v>2026</v>
      </c>
      <c r="C953" s="706" t="s">
        <v>2923</v>
      </c>
      <c r="D953" s="706" t="s">
        <v>2924</v>
      </c>
      <c r="E953" s="706" t="s">
        <v>333</v>
      </c>
      <c r="F953" s="706" t="s">
        <v>1152</v>
      </c>
      <c r="G953" s="706">
        <v>0</v>
      </c>
      <c r="H953" s="706">
        <v>0</v>
      </c>
      <c r="I953" s="706">
        <v>0</v>
      </c>
      <c r="J953" s="706">
        <v>0</v>
      </c>
      <c r="K953" s="706">
        <v>0</v>
      </c>
      <c r="L953" s="706">
        <v>0</v>
      </c>
      <c r="M953" s="706">
        <v>0</v>
      </c>
      <c r="N953" s="706">
        <v>0</v>
      </c>
      <c r="O953" s="706">
        <v>0</v>
      </c>
      <c r="P953" s="706">
        <v>0</v>
      </c>
      <c r="Q953" s="706">
        <v>0</v>
      </c>
      <c r="R953" s="706">
        <v>0</v>
      </c>
      <c r="S953" s="706">
        <v>0</v>
      </c>
      <c r="T953" s="706">
        <v>0</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G67623</v>
      </c>
      <c r="AK953" s="905" t="str">
        <f t="shared" si="93"/>
        <v>COUT -LOC COURT INT-BODY</v>
      </c>
      <c r="AL953" s="905">
        <f>IFERROR(INDEX(G953:R953,1,MATCH(Parametres!$B$3,G$1:R$1,0)-1)*IF(OR(F953="L",F953="S",F953="I"),-1,1),"")</f>
        <v>0</v>
      </c>
      <c r="AM953" s="905">
        <f t="shared" si="94"/>
        <v>0</v>
      </c>
      <c r="AN953" s="905">
        <f>INDEX(G953:R953,1,MATCH(Parametres!$B$3,G$1:R$1,0))*IF(OR(F953="L",F953="S",F953="I"),-1,1)</f>
        <v>0</v>
      </c>
      <c r="AO953" s="487" t="str">
        <f>+VLOOKUP($AJ953,Data_Validation!$A:$D,1,0)</f>
        <v>G67623</v>
      </c>
      <c r="AP953" s="487">
        <f>+VLOOKUP($AJ953,Data_Validation!$A:$D,3,0)</f>
        <v>0</v>
      </c>
      <c r="AQ953" s="487">
        <f>+VLOOKUP($AJ953,Data_Validation!$A:$D,4,0)</f>
        <v>0</v>
      </c>
      <c r="AR953" s="487" t="s">
        <v>299</v>
      </c>
      <c r="AS953" s="487">
        <f>+VLOOKUP($AJ953,Data_Validation!$A:$E,5,0)</f>
        <v>0</v>
      </c>
      <c r="AT953" s="904" t="str">
        <f t="shared" si="95"/>
        <v>G67623</v>
      </c>
      <c r="AU953" s="488" t="str">
        <f t="shared" si="96"/>
        <v>COUT -LOC COURT INT-BODY</v>
      </c>
      <c r="AV953" s="899">
        <f>IFERROR(INDEX(V953:AG953,1,MATCH(Parametres!$B$3,V$1:AG$1,0)-1)*IF(OR(C953="L",C953="S",C953="I"),-1,1),"")</f>
        <v>0</v>
      </c>
      <c r="AW953" s="899">
        <f t="shared" si="97"/>
        <v>0</v>
      </c>
      <c r="AX953" s="899">
        <f>INDEX(V953:AG953,1,MATCH(Parametres!$B$3,V$1:AG$1,0))*IF(OR(C953="L",C953="S",C953="I"),-1,1)</f>
        <v>0</v>
      </c>
      <c r="AY953" s="487" t="s">
        <v>337</v>
      </c>
      <c r="AZ953" s="487">
        <f>+VLOOKUP($AJ953,Data_Validation!$A:$E,5,0)</f>
        <v>0</v>
      </c>
    </row>
    <row r="954" spans="1:52" ht="15" customHeight="1">
      <c r="A954" s="706" t="s">
        <v>1148</v>
      </c>
      <c r="B954" s="706">
        <v>2026</v>
      </c>
      <c r="C954" s="706" t="s">
        <v>2925</v>
      </c>
      <c r="D954" s="706" t="s">
        <v>2926</v>
      </c>
      <c r="E954" s="706" t="s">
        <v>333</v>
      </c>
      <c r="F954" s="706" t="s">
        <v>1152</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G67625</v>
      </c>
      <c r="AK954" s="905" t="str">
        <f t="shared" si="93"/>
        <v>COUT - LOC COURT CONCES B</v>
      </c>
      <c r="AL954" s="905">
        <f>IFERROR(INDEX(G954:R954,1,MATCH(Parametres!$B$3,G$1:R$1,0)-1)*IF(OR(F954="L",F954="S",F954="I"),-1,1),"")</f>
        <v>0</v>
      </c>
      <c r="AM954" s="905">
        <f t="shared" si="94"/>
        <v>0</v>
      </c>
      <c r="AN954" s="905">
        <f>INDEX(G954:R954,1,MATCH(Parametres!$B$3,G$1:R$1,0))*IF(OR(F954="L",F954="S",F954="I"),-1,1)</f>
        <v>0</v>
      </c>
      <c r="AO954" s="487" t="str">
        <f>+VLOOKUP($AJ954,Data_Validation!$A:$D,1,0)</f>
        <v>G67625</v>
      </c>
      <c r="AP954" s="487">
        <f>+VLOOKUP($AJ954,Data_Validation!$A:$D,3,0)</f>
        <v>0</v>
      </c>
      <c r="AQ954" s="487">
        <f>+VLOOKUP($AJ954,Data_Validation!$A:$D,4,0)</f>
        <v>0</v>
      </c>
      <c r="AR954" s="487" t="s">
        <v>299</v>
      </c>
      <c r="AS954" s="487">
        <f>+VLOOKUP($AJ954,Data_Validation!$A:$E,5,0)</f>
        <v>0</v>
      </c>
      <c r="AT954" s="904" t="str">
        <f t="shared" si="95"/>
        <v>G67625</v>
      </c>
      <c r="AU954" s="488" t="str">
        <f t="shared" si="96"/>
        <v>COUT - LOC COURT CONCES B</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customHeight="1">
      <c r="A955" s="706" t="s">
        <v>1148</v>
      </c>
      <c r="B955" s="706">
        <v>2026</v>
      </c>
      <c r="C955" s="706" t="s">
        <v>2927</v>
      </c>
      <c r="D955" s="706" t="s">
        <v>2928</v>
      </c>
      <c r="E955" s="706" t="s">
        <v>333</v>
      </c>
      <c r="F955" s="706" t="s">
        <v>1152</v>
      </c>
      <c r="G955" s="706">
        <v>0</v>
      </c>
      <c r="H955" s="706">
        <v>0</v>
      </c>
      <c r="I955" s="706">
        <v>0</v>
      </c>
      <c r="J955" s="706">
        <v>0</v>
      </c>
      <c r="K955" s="706">
        <v>49.03</v>
      </c>
      <c r="L955" s="706">
        <v>49.03</v>
      </c>
      <c r="M955" s="706">
        <v>49.03</v>
      </c>
      <c r="N955" s="706">
        <v>0</v>
      </c>
      <c r="O955" s="706">
        <v>0</v>
      </c>
      <c r="P955" s="706">
        <v>0</v>
      </c>
      <c r="Q955" s="706">
        <v>0</v>
      </c>
      <c r="R955" s="706">
        <v>0</v>
      </c>
      <c r="S955" s="706">
        <v>8.17</v>
      </c>
      <c r="T955" s="706">
        <v>8.17</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G67700</v>
      </c>
      <c r="AK955" s="905" t="str">
        <f t="shared" si="93"/>
        <v>COUT P&amp;A CLIENT CARROSSER</v>
      </c>
      <c r="AL955" s="905">
        <f>IFERROR(INDEX(G955:R955,1,MATCH(Parametres!$B$3,G$1:R$1,0)-1)*IF(OR(F955="L",F955="S",F955="I"),-1,1),"")</f>
        <v>49.03</v>
      </c>
      <c r="AM955" s="905">
        <f t="shared" si="94"/>
        <v>0</v>
      </c>
      <c r="AN955" s="905">
        <f>INDEX(G955:R955,1,MATCH(Parametres!$B$3,G$1:R$1,0))*IF(OR(F955="L",F955="S",F955="I"),-1,1)</f>
        <v>49.03</v>
      </c>
      <c r="AO955" s="487" t="str">
        <f>+VLOOKUP($AJ955,Data_Validation!$A:$D,1,0)</f>
        <v>G67700</v>
      </c>
      <c r="AP955" s="487" t="str">
        <f>+VLOOKUP($AJ955,Data_Validation!$A:$D,3,0)</f>
        <v>Pièces</v>
      </c>
      <c r="AQ955" s="487" t="str">
        <f>+VLOOKUP($AJ955,Data_Validation!$A:$D,4,0)</f>
        <v>Pièces Ro Carrosserie</v>
      </c>
      <c r="AR955" s="487" t="s">
        <v>299</v>
      </c>
      <c r="AS955" s="487">
        <f>+VLOOKUP($AJ955,Data_Validation!$A:$E,5,0)</f>
        <v>0</v>
      </c>
      <c r="AT955" s="904" t="str">
        <f t="shared" si="95"/>
        <v>G67700</v>
      </c>
      <c r="AU955" s="488" t="str">
        <f t="shared" si="96"/>
        <v>COUT P&amp;A CLIENT CARROSSER</v>
      </c>
      <c r="AV955" s="899">
        <f>IFERROR(INDEX(V955:AG955,1,MATCH(Parametres!$B$3,V$1:AG$1,0)-1)*IF(OR(C955="L",C955="S",C955="I"),-1,1),"")</f>
        <v>0</v>
      </c>
      <c r="AW955" s="899">
        <f t="shared" si="97"/>
        <v>0</v>
      </c>
      <c r="AX955" s="899">
        <f>INDEX(V955:AG955,1,MATCH(Parametres!$B$3,V$1:AG$1,0))*IF(OR(C955="L",C955="S",C955="I"),-1,1)</f>
        <v>0</v>
      </c>
      <c r="AY955" s="487" t="s">
        <v>337</v>
      </c>
      <c r="AZ955" s="487">
        <f>+VLOOKUP($AJ955,Data_Validation!$A:$E,5,0)</f>
        <v>0</v>
      </c>
    </row>
    <row r="956" spans="1:52" ht="15" customHeight="1">
      <c r="A956" s="706" t="s">
        <v>1148</v>
      </c>
      <c r="B956" s="706">
        <v>2026</v>
      </c>
      <c r="C956" s="706" t="s">
        <v>2929</v>
      </c>
      <c r="D956" s="706" t="s">
        <v>2930</v>
      </c>
      <c r="E956" s="706" t="s">
        <v>333</v>
      </c>
      <c r="F956" s="706" t="s">
        <v>1152</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G67800</v>
      </c>
      <c r="AK956" s="905" t="str">
        <f t="shared" si="93"/>
        <v>COUT-PCE BODY CLIENT CAM</v>
      </c>
      <c r="AL956" s="905">
        <f>IFERROR(INDEX(G956:R956,1,MATCH(Parametres!$B$3,G$1:R$1,0)-1)*IF(OR(F956="L",F956="S",F956="I"),-1,1),"")</f>
        <v>0</v>
      </c>
      <c r="AM956" s="905">
        <f t="shared" si="94"/>
        <v>0</v>
      </c>
      <c r="AN956" s="905">
        <f>INDEX(G956:R956,1,MATCH(Parametres!$B$3,G$1:R$1,0))*IF(OR(F956="L",F956="S",F956="I"),-1,1)</f>
        <v>0</v>
      </c>
      <c r="AO956" s="487" t="str">
        <f>+VLOOKUP($AJ956,Data_Validation!$A:$D,1,0)</f>
        <v>G67800</v>
      </c>
      <c r="AP956" s="487">
        <f>+VLOOKUP($AJ956,Data_Validation!$A:$D,3,0)</f>
        <v>0</v>
      </c>
      <c r="AQ956" s="487">
        <f>+VLOOKUP($AJ956,Data_Validation!$A:$D,4,0)</f>
        <v>0</v>
      </c>
      <c r="AR956" s="487" t="s">
        <v>299</v>
      </c>
      <c r="AS956" s="487">
        <f>+VLOOKUP($AJ956,Data_Validation!$A:$E,5,0)</f>
        <v>0</v>
      </c>
      <c r="AT956" s="904" t="str">
        <f t="shared" si="95"/>
        <v>G67800</v>
      </c>
      <c r="AU956" s="488" t="str">
        <f t="shared" si="96"/>
        <v>COUT-PCE BODY CLIENT CAM</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customHeight="1">
      <c r="A957" s="706" t="s">
        <v>1148</v>
      </c>
      <c r="B957" s="706">
        <v>2026</v>
      </c>
      <c r="C957" s="706" t="s">
        <v>2931</v>
      </c>
      <c r="D957" s="706" t="s">
        <v>2932</v>
      </c>
      <c r="E957" s="706" t="s">
        <v>333</v>
      </c>
      <c r="F957" s="706" t="s">
        <v>1152</v>
      </c>
      <c r="G957" s="706">
        <v>0</v>
      </c>
      <c r="H957" s="706">
        <v>0</v>
      </c>
      <c r="I957" s="706">
        <v>0</v>
      </c>
      <c r="J957" s="706">
        <v>0</v>
      </c>
      <c r="K957" s="706">
        <v>0</v>
      </c>
      <c r="L957" s="706">
        <v>0</v>
      </c>
      <c r="M957" s="706">
        <v>0</v>
      </c>
      <c r="N957" s="706">
        <v>0</v>
      </c>
      <c r="O957" s="706">
        <v>0</v>
      </c>
      <c r="P957" s="706">
        <v>0</v>
      </c>
      <c r="Q957" s="706">
        <v>0</v>
      </c>
      <c r="R957" s="706">
        <v>0</v>
      </c>
      <c r="S957" s="706">
        <v>0</v>
      </c>
      <c r="T957" s="706">
        <v>0</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G67840</v>
      </c>
      <c r="AK957" s="905" t="str">
        <f t="shared" si="93"/>
        <v>COUT-P&amp;A GOODW CAM MOYEN</v>
      </c>
      <c r="AL957" s="905">
        <f>IFERROR(INDEX(G957:R957,1,MATCH(Parametres!$B$3,G$1:R$1,0)-1)*IF(OR(F957="L",F957="S",F957="I"),-1,1),"")</f>
        <v>0</v>
      </c>
      <c r="AM957" s="905">
        <f t="shared" si="94"/>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t="str">
        <f t="shared" si="95"/>
        <v>G67840</v>
      </c>
      <c r="AU957" s="488" t="str">
        <f t="shared" si="96"/>
        <v>COUT-P&amp;A GOODW CAM MOYEN</v>
      </c>
      <c r="AV957" s="899">
        <f>IFERROR(INDEX(V957:AG957,1,MATCH(Parametres!$B$3,V$1:AG$1,0)-1)*IF(OR(C957="L",C957="S",C957="I"),-1,1),"")</f>
        <v>0</v>
      </c>
      <c r="AW957" s="899">
        <f t="shared" si="97"/>
        <v>0</v>
      </c>
      <c r="AX957" s="899">
        <f>INDEX(V957:AG957,1,MATCH(Parametres!$B$3,V$1:AG$1,0))*IF(OR(C957="L",C957="S",C957="I"),-1,1)</f>
        <v>0</v>
      </c>
      <c r="AY957" s="487" t="s">
        <v>337</v>
      </c>
      <c r="AZ957" s="487" t="e">
        <f>+VLOOKUP($AJ957,Data_Validation!$A:$E,5,0)</f>
        <v>#N/A</v>
      </c>
    </row>
    <row r="958" spans="1:52" ht="15" customHeight="1">
      <c r="A958" s="706" t="s">
        <v>1148</v>
      </c>
      <c r="B958" s="706">
        <v>2026</v>
      </c>
      <c r="C958" s="706" t="s">
        <v>2933</v>
      </c>
      <c r="D958" s="706" t="s">
        <v>2934</v>
      </c>
      <c r="E958" s="706" t="s">
        <v>333</v>
      </c>
      <c r="F958" s="706" t="s">
        <v>1152</v>
      </c>
      <c r="G958" s="706">
        <v>14720.33</v>
      </c>
      <c r="H958" s="706">
        <v>34336.69</v>
      </c>
      <c r="I958" s="706">
        <v>49738.05</v>
      </c>
      <c r="J958" s="706">
        <v>81691.16</v>
      </c>
      <c r="K958" s="706">
        <v>88785.44</v>
      </c>
      <c r="L958" s="706">
        <v>95870.11</v>
      </c>
      <c r="M958" s="706">
        <v>97255.679999999993</v>
      </c>
      <c r="N958" s="706">
        <v>0</v>
      </c>
      <c r="O958" s="706">
        <v>0</v>
      </c>
      <c r="P958" s="706">
        <v>0</v>
      </c>
      <c r="Q958" s="706">
        <v>0</v>
      </c>
      <c r="R958" s="706">
        <v>0</v>
      </c>
      <c r="S958" s="706">
        <v>15978.35</v>
      </c>
      <c r="T958" s="706">
        <v>15978.35</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G67900</v>
      </c>
      <c r="AK958" s="905" t="str">
        <f t="shared" si="93"/>
        <v>COUT-PEINTURE CARROSSERIE</v>
      </c>
      <c r="AL958" s="905">
        <f>IFERROR(INDEX(G958:R958,1,MATCH(Parametres!$B$3,G$1:R$1,0)-1)*IF(OR(F958="L",F958="S",F958="I"),-1,1),"")</f>
        <v>88785.44</v>
      </c>
      <c r="AM958" s="905">
        <f t="shared" si="94"/>
        <v>7084.6699999999983</v>
      </c>
      <c r="AN958" s="905">
        <f>INDEX(G958:R958,1,MATCH(Parametres!$B$3,G$1:R$1,0))*IF(OR(F958="L",F958="S",F958="I"),-1,1)</f>
        <v>95870.11</v>
      </c>
      <c r="AO958" s="487" t="str">
        <f>+VLOOKUP($AJ958,Data_Validation!$A:$D,1,0)</f>
        <v>G67900</v>
      </c>
      <c r="AP958" s="487" t="str">
        <f>+VLOOKUP($AJ958,Data_Validation!$A:$D,3,0)</f>
        <v>Carrosserie</v>
      </c>
      <c r="AQ958" s="487" t="str">
        <f>+VLOOKUP($AJ958,Data_Validation!$A:$D,4,0)</f>
        <v>Carrosserie Clients</v>
      </c>
      <c r="AR958" s="487" t="s">
        <v>299</v>
      </c>
      <c r="AS958" s="487">
        <f>+VLOOKUP($AJ958,Data_Validation!$A:$E,5,0)</f>
        <v>0</v>
      </c>
      <c r="AT958" s="904" t="str">
        <f t="shared" si="95"/>
        <v>G67900</v>
      </c>
      <c r="AU958" s="488" t="str">
        <f t="shared" si="96"/>
        <v>COUT-PEINTURE CARROSSERIE</v>
      </c>
      <c r="AV958" s="899">
        <f>IFERROR(INDEX(V958:AG958,1,MATCH(Parametres!$B$3,V$1:AG$1,0)-1)*IF(OR(C958="L",C958="S",C958="I"),-1,1),"")</f>
        <v>0</v>
      </c>
      <c r="AW958" s="899">
        <f t="shared" si="97"/>
        <v>0</v>
      </c>
      <c r="AX958" s="899">
        <f>INDEX(V958:AG958,1,MATCH(Parametres!$B$3,V$1:AG$1,0))*IF(OR(C958="L",C958="S",C958="I"),-1,1)</f>
        <v>0</v>
      </c>
      <c r="AY958" s="487" t="s">
        <v>337</v>
      </c>
      <c r="AZ958" s="487">
        <f>+VLOOKUP($AJ958,Data_Validation!$A:$E,5,0)</f>
        <v>0</v>
      </c>
    </row>
    <row r="959" spans="1:52" ht="15" customHeight="1">
      <c r="A959" s="706" t="s">
        <v>1148</v>
      </c>
      <c r="B959" s="706">
        <v>2026</v>
      </c>
      <c r="C959" s="706" t="s">
        <v>2935</v>
      </c>
      <c r="D959" s="706" t="s">
        <v>2936</v>
      </c>
      <c r="E959" s="706" t="s">
        <v>333</v>
      </c>
      <c r="F959" s="706" t="s">
        <v>1152</v>
      </c>
      <c r="G959" s="706">
        <v>0</v>
      </c>
      <c r="H959" s="706">
        <v>0</v>
      </c>
      <c r="I959" s="706">
        <v>0</v>
      </c>
      <c r="J959" s="706">
        <v>0</v>
      </c>
      <c r="K959" s="706">
        <v>144.72</v>
      </c>
      <c r="L959" s="706">
        <v>604.91</v>
      </c>
      <c r="M959" s="706">
        <v>805.93</v>
      </c>
      <c r="N959" s="706">
        <v>0</v>
      </c>
      <c r="O959" s="706">
        <v>0</v>
      </c>
      <c r="P959" s="706">
        <v>0</v>
      </c>
      <c r="Q959" s="706">
        <v>0</v>
      </c>
      <c r="R959" s="706">
        <v>0</v>
      </c>
      <c r="S959" s="706">
        <v>100.82</v>
      </c>
      <c r="T959" s="706">
        <v>100.82</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G67903</v>
      </c>
      <c r="AK959" s="905" t="str">
        <f t="shared" si="93"/>
        <v>COUT - PEINT. INTERN-BODY</v>
      </c>
      <c r="AL959" s="905">
        <f>IFERROR(INDEX(G959:R959,1,MATCH(Parametres!$B$3,G$1:R$1,0)-1)*IF(OR(F959="L",F959="S",F959="I"),-1,1),"")</f>
        <v>144.72</v>
      </c>
      <c r="AM959" s="905">
        <f t="shared" si="94"/>
        <v>460.18999999999994</v>
      </c>
      <c r="AN959" s="905">
        <f>INDEX(G959:R959,1,MATCH(Parametres!$B$3,G$1:R$1,0))*IF(OR(F959="L",F959="S",F959="I"),-1,1)</f>
        <v>604.91</v>
      </c>
      <c r="AO959" s="487" t="str">
        <f>+VLOOKUP($AJ959,Data_Validation!$A:$D,1,0)</f>
        <v>G67903</v>
      </c>
      <c r="AP959" s="487" t="str">
        <f>+VLOOKUP($AJ959,Data_Validation!$A:$D,3,0)</f>
        <v>Carrosserie</v>
      </c>
      <c r="AQ959" s="487" t="str">
        <f>+VLOOKUP($AJ959,Data_Validation!$A:$D,4,0)</f>
        <v>Carrosserie Interne</v>
      </c>
      <c r="AR959" s="487" t="s">
        <v>299</v>
      </c>
      <c r="AS959" s="487">
        <f>+VLOOKUP($AJ959,Data_Validation!$A:$E,5,0)</f>
        <v>0</v>
      </c>
      <c r="AT959" s="904" t="str">
        <f t="shared" si="95"/>
        <v>G67903</v>
      </c>
      <c r="AU959" s="488" t="str">
        <f t="shared" si="96"/>
        <v>COUT - PEINT. INTERN-BODY</v>
      </c>
      <c r="AV959" s="899">
        <f>IFERROR(INDEX(V959:AG959,1,MATCH(Parametres!$B$3,V$1:AG$1,0)-1)*IF(OR(C959="L",C959="S",C959="I"),-1,1),"")</f>
        <v>0</v>
      </c>
      <c r="AW959" s="899">
        <f t="shared" si="97"/>
        <v>0</v>
      </c>
      <c r="AX959" s="899">
        <f>INDEX(V959:AG959,1,MATCH(Parametres!$B$3,V$1:AG$1,0))*IF(OR(C959="L",C959="S",C959="I"),-1,1)</f>
        <v>0</v>
      </c>
      <c r="AY959" s="487" t="s">
        <v>337</v>
      </c>
      <c r="AZ959" s="487">
        <f>+VLOOKUP($AJ959,Data_Validation!$A:$E,5,0)</f>
        <v>0</v>
      </c>
    </row>
    <row r="960" spans="1:52" ht="15" customHeight="1">
      <c r="A960" s="706" t="s">
        <v>1148</v>
      </c>
      <c r="B960" s="706">
        <v>2026</v>
      </c>
      <c r="C960" s="706" t="s">
        <v>2937</v>
      </c>
      <c r="D960" s="706" t="s">
        <v>2938</v>
      </c>
      <c r="E960" s="706" t="s">
        <v>333</v>
      </c>
      <c r="F960" s="706" t="s">
        <v>1152</v>
      </c>
      <c r="G960" s="706">
        <v>0</v>
      </c>
      <c r="H960" s="706">
        <v>0</v>
      </c>
      <c r="I960" s="706">
        <v>0</v>
      </c>
      <c r="J960" s="706">
        <v>0</v>
      </c>
      <c r="K960" s="706">
        <v>5172.5</v>
      </c>
      <c r="L960" s="706">
        <v>12665.99</v>
      </c>
      <c r="M960" s="706">
        <v>13583.41</v>
      </c>
      <c r="N960" s="706">
        <v>0</v>
      </c>
      <c r="O960" s="706">
        <v>0</v>
      </c>
      <c r="P960" s="706">
        <v>0</v>
      </c>
      <c r="Q960" s="706">
        <v>0</v>
      </c>
      <c r="R960" s="706">
        <v>0</v>
      </c>
      <c r="S960" s="706">
        <v>2111</v>
      </c>
      <c r="T960" s="706">
        <v>2111</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G67905</v>
      </c>
      <c r="AK960" s="905" t="str">
        <f t="shared" si="93"/>
        <v>COUT - PEINT CONC-BODY</v>
      </c>
      <c r="AL960" s="905">
        <f>IFERROR(INDEX(G960:R960,1,MATCH(Parametres!$B$3,G$1:R$1,0)-1)*IF(OR(F960="L",F960="S",F960="I"),-1,1),"")</f>
        <v>5172.5</v>
      </c>
      <c r="AM960" s="905">
        <f t="shared" si="94"/>
        <v>7493.49</v>
      </c>
      <c r="AN960" s="905">
        <f>INDEX(G960:R960,1,MATCH(Parametres!$B$3,G$1:R$1,0))*IF(OR(F960="L",F960="S",F960="I"),-1,1)</f>
        <v>12665.99</v>
      </c>
      <c r="AO960" s="487" t="str">
        <f>+VLOOKUP($AJ960,Data_Validation!$A:$D,1,0)</f>
        <v>G67905</v>
      </c>
      <c r="AP960" s="487" t="str">
        <f>+VLOOKUP($AJ960,Data_Validation!$A:$D,3,0)</f>
        <v>Carrosserie</v>
      </c>
      <c r="AQ960" s="487" t="str">
        <f>+VLOOKUP($AJ960,Data_Validation!$A:$D,4,0)</f>
        <v>Carrosserie Concessions</v>
      </c>
      <c r="AR960" s="487" t="s">
        <v>299</v>
      </c>
      <c r="AS960" s="487">
        <f>+VLOOKUP($AJ960,Data_Validation!$A:$E,5,0)</f>
        <v>0</v>
      </c>
      <c r="AT960" s="904" t="str">
        <f t="shared" si="95"/>
        <v>G67905</v>
      </c>
      <c r="AU960" s="488" t="str">
        <f t="shared" si="96"/>
        <v>COUT - PEINT CONC-BODY</v>
      </c>
      <c r="AV960" s="899">
        <f>IFERROR(INDEX(V960:AG960,1,MATCH(Parametres!$B$3,V$1:AG$1,0)-1)*IF(OR(C960="L",C960="S",C960="I"),-1,1),"")</f>
        <v>0</v>
      </c>
      <c r="AW960" s="899">
        <f t="shared" si="97"/>
        <v>0</v>
      </c>
      <c r="AX960" s="899">
        <f>INDEX(V960:AG960,1,MATCH(Parametres!$B$3,V$1:AG$1,0))*IF(OR(C960="L",C960="S",C960="I"),-1,1)</f>
        <v>0</v>
      </c>
      <c r="AY960" s="487" t="s">
        <v>337</v>
      </c>
      <c r="AZ960" s="487">
        <f>+VLOOKUP($AJ960,Data_Validation!$A:$E,5,0)</f>
        <v>0</v>
      </c>
    </row>
    <row r="961" spans="1:52" ht="15" customHeight="1">
      <c r="A961" s="706" t="s">
        <v>1148</v>
      </c>
      <c r="B961" s="706">
        <v>2026</v>
      </c>
      <c r="C961" s="706" t="s">
        <v>2939</v>
      </c>
      <c r="D961" s="706" t="s">
        <v>2940</v>
      </c>
      <c r="E961" s="706" t="s">
        <v>333</v>
      </c>
      <c r="F961" s="706" t="s">
        <v>1152</v>
      </c>
      <c r="G961" s="706">
        <v>0</v>
      </c>
      <c r="H961" s="706">
        <v>0</v>
      </c>
      <c r="I961" s="706">
        <v>0</v>
      </c>
      <c r="J961" s="706">
        <v>0</v>
      </c>
      <c r="K961" s="706">
        <v>2097.5500000000002</v>
      </c>
      <c r="L961" s="706">
        <v>7486.2</v>
      </c>
      <c r="M961" s="706">
        <v>8782.43</v>
      </c>
      <c r="N961" s="706">
        <v>0</v>
      </c>
      <c r="O961" s="706">
        <v>0</v>
      </c>
      <c r="P961" s="706">
        <v>0</v>
      </c>
      <c r="Q961" s="706">
        <v>0</v>
      </c>
      <c r="R961" s="706">
        <v>0</v>
      </c>
      <c r="S961" s="706">
        <v>1247.7</v>
      </c>
      <c r="T961" s="706">
        <v>1247.7</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G67910</v>
      </c>
      <c r="AK961" s="905" t="str">
        <f t="shared" si="93"/>
        <v>COUT -M-ATELIER CLT-BODY</v>
      </c>
      <c r="AL961" s="905">
        <f>IFERROR(INDEX(G961:R961,1,MATCH(Parametres!$B$3,G$1:R$1,0)-1)*IF(OR(F961="L",F961="S",F961="I"),-1,1),"")</f>
        <v>2097.5500000000002</v>
      </c>
      <c r="AM961" s="905">
        <f t="shared" si="94"/>
        <v>5388.65</v>
      </c>
      <c r="AN961" s="905">
        <f>INDEX(G961:R961,1,MATCH(Parametres!$B$3,G$1:R$1,0))*IF(OR(F961="L",F961="S",F961="I"),-1,1)</f>
        <v>7486.2</v>
      </c>
      <c r="AO961" s="487" t="str">
        <f>+VLOOKUP($AJ961,Data_Validation!$A:$D,1,0)</f>
        <v>G67910</v>
      </c>
      <c r="AP961" s="487" t="str">
        <f>+VLOOKUP($AJ961,Data_Validation!$A:$D,3,0)</f>
        <v>Carrosserie</v>
      </c>
      <c r="AQ961" s="487" t="str">
        <f>+VLOOKUP($AJ961,Data_Validation!$A:$D,4,0)</f>
        <v>Carrosserie Clients</v>
      </c>
      <c r="AR961" s="487" t="s">
        <v>299</v>
      </c>
      <c r="AS961" s="487">
        <f>+VLOOKUP($AJ961,Data_Validation!$A:$E,5,0)</f>
        <v>0</v>
      </c>
      <c r="AT961" s="904" t="str">
        <f t="shared" si="95"/>
        <v>G67910</v>
      </c>
      <c r="AU961" s="488" t="str">
        <f t="shared" si="96"/>
        <v>COUT -M-ATELIER CLT-BODY</v>
      </c>
      <c r="AV961" s="899">
        <f>IFERROR(INDEX(V961:AG961,1,MATCH(Parametres!$B$3,V$1:AG$1,0)-1)*IF(OR(C961="L",C961="S",C961="I"),-1,1),"")</f>
        <v>0</v>
      </c>
      <c r="AW961" s="899">
        <f t="shared" si="97"/>
        <v>0</v>
      </c>
      <c r="AX961" s="899">
        <f>INDEX(V961:AG961,1,MATCH(Parametres!$B$3,V$1:AG$1,0))*IF(OR(C961="L",C961="S",C961="I"),-1,1)</f>
        <v>0</v>
      </c>
      <c r="AY961" s="487" t="s">
        <v>337</v>
      </c>
      <c r="AZ961" s="487">
        <f>+VLOOKUP($AJ961,Data_Validation!$A:$E,5,0)</f>
        <v>0</v>
      </c>
    </row>
    <row r="962" spans="1:52" ht="15" customHeight="1">
      <c r="A962" s="706" t="s">
        <v>1148</v>
      </c>
      <c r="B962" s="706">
        <v>2026</v>
      </c>
      <c r="C962" s="706" t="s">
        <v>2941</v>
      </c>
      <c r="D962" s="706" t="s">
        <v>2942</v>
      </c>
      <c r="E962" s="706" t="s">
        <v>333</v>
      </c>
      <c r="F962" s="706" t="s">
        <v>1152</v>
      </c>
      <c r="G962" s="706">
        <v>0</v>
      </c>
      <c r="H962" s="706">
        <v>0</v>
      </c>
      <c r="I962" s="706">
        <v>0</v>
      </c>
      <c r="J962" s="706">
        <v>0</v>
      </c>
      <c r="K962" s="706">
        <v>135.33000000000001</v>
      </c>
      <c r="L962" s="706">
        <v>430.08</v>
      </c>
      <c r="M962" s="706">
        <v>526.52</v>
      </c>
      <c r="N962" s="706">
        <v>0</v>
      </c>
      <c r="O962" s="706">
        <v>0</v>
      </c>
      <c r="P962" s="706">
        <v>0</v>
      </c>
      <c r="Q962" s="706">
        <v>0</v>
      </c>
      <c r="R962" s="706">
        <v>0</v>
      </c>
      <c r="S962" s="706">
        <v>71.680000000000007</v>
      </c>
      <c r="T962" s="706">
        <v>71.680000000000007</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G67913</v>
      </c>
      <c r="AK962" s="905" t="str">
        <f t="shared" si="93"/>
        <v>COUT -M. ATEL.INTERN-BODY</v>
      </c>
      <c r="AL962" s="905">
        <f>IFERROR(INDEX(G962:R962,1,MATCH(Parametres!$B$3,G$1:R$1,0)-1)*IF(OR(F962="L",F962="S",F962="I"),-1,1),"")</f>
        <v>135.33000000000001</v>
      </c>
      <c r="AM962" s="905">
        <f t="shared" si="94"/>
        <v>294.75</v>
      </c>
      <c r="AN962" s="905">
        <f>INDEX(G962:R962,1,MATCH(Parametres!$B$3,G$1:R$1,0))*IF(OR(F962="L",F962="S",F962="I"),-1,1)</f>
        <v>430.08</v>
      </c>
      <c r="AO962" s="487" t="str">
        <f>+VLOOKUP($AJ962,Data_Validation!$A:$D,1,0)</f>
        <v>G67913</v>
      </c>
      <c r="AP962" s="487" t="str">
        <f>+VLOOKUP($AJ962,Data_Validation!$A:$D,3,0)</f>
        <v>Carrosserie</v>
      </c>
      <c r="AQ962" s="487" t="str">
        <f>+VLOOKUP($AJ962,Data_Validation!$A:$D,4,0)</f>
        <v>Carrosserie Interne</v>
      </c>
      <c r="AR962" s="487" t="s">
        <v>299</v>
      </c>
      <c r="AS962" s="487">
        <f>+VLOOKUP($AJ962,Data_Validation!$A:$E,5,0)</f>
        <v>0</v>
      </c>
      <c r="AT962" s="904" t="str">
        <f t="shared" si="95"/>
        <v>G67913</v>
      </c>
      <c r="AU962" s="488" t="str">
        <f t="shared" si="96"/>
        <v>COUT -M. ATEL.INTERN-BODY</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customHeight="1">
      <c r="A963" s="706" t="s">
        <v>1148</v>
      </c>
      <c r="B963" s="706">
        <v>2026</v>
      </c>
      <c r="C963" s="706" t="s">
        <v>2943</v>
      </c>
      <c r="D963" s="706" t="s">
        <v>2944</v>
      </c>
      <c r="E963" s="706" t="s">
        <v>333</v>
      </c>
      <c r="F963" s="706" t="s">
        <v>1152</v>
      </c>
      <c r="G963" s="706">
        <v>0</v>
      </c>
      <c r="H963" s="706">
        <v>0</v>
      </c>
      <c r="I963" s="706">
        <v>0</v>
      </c>
      <c r="J963" s="706">
        <v>0</v>
      </c>
      <c r="K963" s="706">
        <v>917.14</v>
      </c>
      <c r="L963" s="706">
        <v>4198.8900000000003</v>
      </c>
      <c r="M963" s="706">
        <v>4715.01</v>
      </c>
      <c r="N963" s="706">
        <v>0</v>
      </c>
      <c r="O963" s="706">
        <v>0</v>
      </c>
      <c r="P963" s="706">
        <v>0</v>
      </c>
      <c r="Q963" s="706">
        <v>0</v>
      </c>
      <c r="R963" s="706">
        <v>0</v>
      </c>
      <c r="S963" s="706">
        <v>699.82</v>
      </c>
      <c r="T963" s="706">
        <v>699.82</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G67915</v>
      </c>
      <c r="AK963" s="905" t="str">
        <f t="shared" si="93"/>
        <v>COUT -M.A CONCES. BODY</v>
      </c>
      <c r="AL963" s="905">
        <f>IFERROR(INDEX(G963:R963,1,MATCH(Parametres!$B$3,G$1:R$1,0)-1)*IF(OR(F963="L",F963="S",F963="I"),-1,1),"")</f>
        <v>917.14</v>
      </c>
      <c r="AM963" s="905">
        <f t="shared" si="94"/>
        <v>3281.7500000000005</v>
      </c>
      <c r="AN963" s="905">
        <f>INDEX(G963:R963,1,MATCH(Parametres!$B$3,G$1:R$1,0))*IF(OR(F963="L",F963="S",F963="I"),-1,1)</f>
        <v>4198.8900000000003</v>
      </c>
      <c r="AO963" s="487" t="str">
        <f>+VLOOKUP($AJ963,Data_Validation!$A:$D,1,0)</f>
        <v>G67915</v>
      </c>
      <c r="AP963" s="487" t="str">
        <f>+VLOOKUP($AJ963,Data_Validation!$A:$D,3,0)</f>
        <v>Carrosserie</v>
      </c>
      <c r="AQ963" s="487" t="str">
        <f>+VLOOKUP($AJ963,Data_Validation!$A:$D,4,0)</f>
        <v>Carrosserie Concessions</v>
      </c>
      <c r="AR963" s="487" t="s">
        <v>299</v>
      </c>
      <c r="AS963" s="487">
        <f>+VLOOKUP($AJ963,Data_Validation!$A:$E,5,0)</f>
        <v>0</v>
      </c>
      <c r="AT963" s="904" t="str">
        <f t="shared" si="95"/>
        <v>G67915</v>
      </c>
      <c r="AU963" s="488" t="str">
        <f t="shared" si="96"/>
        <v>COUT -M.A CONCES. BODY</v>
      </c>
      <c r="AV963" s="899">
        <f>IFERROR(INDEX(V963:AG963,1,MATCH(Parametres!$B$3,V$1:AG$1,0)-1)*IF(OR(C963="L",C963="S",C963="I"),-1,1),"")</f>
        <v>0</v>
      </c>
      <c r="AW963" s="899">
        <f t="shared" si="97"/>
        <v>0</v>
      </c>
      <c r="AX963" s="899">
        <f>INDEX(V963:AG963,1,MATCH(Parametres!$B$3,V$1:AG$1,0))*IF(OR(C963="L",C963="S",C963="I"),-1,1)</f>
        <v>0</v>
      </c>
      <c r="AY963" s="487" t="s">
        <v>337</v>
      </c>
      <c r="AZ963" s="487">
        <f>+VLOOKUP($AJ963,Data_Validation!$A:$E,5,0)</f>
        <v>0</v>
      </c>
    </row>
    <row r="964" spans="1:52" ht="15" customHeight="1">
      <c r="A964" s="706" t="s">
        <v>1148</v>
      </c>
      <c r="B964" s="706">
        <v>2026</v>
      </c>
      <c r="C964" s="706" t="s">
        <v>2945</v>
      </c>
      <c r="D964" s="706" t="s">
        <v>2946</v>
      </c>
      <c r="E964" s="706" t="s">
        <v>333</v>
      </c>
      <c r="F964" s="706" t="s">
        <v>1152</v>
      </c>
      <c r="G964" s="706">
        <v>39483.879999999997</v>
      </c>
      <c r="H964" s="706">
        <v>76073.990000000005</v>
      </c>
      <c r="I964" s="706">
        <v>130785.66</v>
      </c>
      <c r="J964" s="706">
        <v>172149.29</v>
      </c>
      <c r="K964" s="706">
        <v>191580.21</v>
      </c>
      <c r="L964" s="706">
        <v>255802.79</v>
      </c>
      <c r="M964" s="706">
        <v>271286.11</v>
      </c>
      <c r="N964" s="706">
        <v>0</v>
      </c>
      <c r="O964" s="706">
        <v>0</v>
      </c>
      <c r="P964" s="706">
        <v>0</v>
      </c>
      <c r="Q964" s="706">
        <v>0</v>
      </c>
      <c r="R964" s="706">
        <v>0</v>
      </c>
      <c r="S964" s="706">
        <v>42633.8</v>
      </c>
      <c r="T964" s="706">
        <v>42633.8</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G68000</v>
      </c>
      <c r="AK964" s="905" t="str">
        <f t="shared" si="93"/>
        <v>COUT-PIECE GARANTIE</v>
      </c>
      <c r="AL964" s="905">
        <f>IFERROR(INDEX(G964:R964,1,MATCH(Parametres!$B$3,G$1:R$1,0)-1)*IF(OR(F964="L",F964="S",F964="I"),-1,1),"")</f>
        <v>191580.21</v>
      </c>
      <c r="AM964" s="905">
        <f t="shared" si="94"/>
        <v>64222.580000000016</v>
      </c>
      <c r="AN964" s="905">
        <f>INDEX(G964:R964,1,MATCH(Parametres!$B$3,G$1:R$1,0))*IF(OR(F964="L",F964="S",F964="I"),-1,1)</f>
        <v>255802.79</v>
      </c>
      <c r="AO964" s="487" t="str">
        <f>+VLOOKUP($AJ964,Data_Validation!$A:$D,1,0)</f>
        <v>G68000</v>
      </c>
      <c r="AP964" s="487" t="str">
        <f>+VLOOKUP($AJ964,Data_Validation!$A:$D,3,0)</f>
        <v>Pièces</v>
      </c>
      <c r="AQ964" s="487" t="str">
        <f>+VLOOKUP($AJ964,Data_Validation!$A:$D,4,0)</f>
        <v>P/A Garantie</v>
      </c>
      <c r="AR964" s="487" t="s">
        <v>299</v>
      </c>
      <c r="AS964" s="487">
        <f>+VLOOKUP($AJ964,Data_Validation!$A:$E,5,0)</f>
        <v>0</v>
      </c>
      <c r="AT964" s="904" t="str">
        <f t="shared" si="95"/>
        <v>G68000</v>
      </c>
      <c r="AU964" s="488" t="str">
        <f t="shared" si="96"/>
        <v>COUT-PIECE GARANTIE</v>
      </c>
      <c r="AV964" s="899">
        <f>IFERROR(INDEX(V964:AG964,1,MATCH(Parametres!$B$3,V$1:AG$1,0)-1)*IF(OR(C964="L",C964="S",C964="I"),-1,1),"")</f>
        <v>0</v>
      </c>
      <c r="AW964" s="899">
        <f t="shared" si="97"/>
        <v>0</v>
      </c>
      <c r="AX964" s="899">
        <f>INDEX(V964:AG964,1,MATCH(Parametres!$B$3,V$1:AG$1,0))*IF(OR(C964="L",C964="S",C964="I"),-1,1)</f>
        <v>0</v>
      </c>
      <c r="AY964" s="487" t="s">
        <v>337</v>
      </c>
      <c r="AZ964" s="487">
        <f>+VLOOKUP($AJ964,Data_Validation!$A:$E,5,0)</f>
        <v>0</v>
      </c>
    </row>
    <row r="965" spans="1:52" ht="15" customHeight="1">
      <c r="A965" s="706" t="s">
        <v>1148</v>
      </c>
      <c r="B965" s="706">
        <v>2026</v>
      </c>
      <c r="C965" s="706" t="s">
        <v>2947</v>
      </c>
      <c r="D965" s="706" t="s">
        <v>2948</v>
      </c>
      <c r="E965" s="706" t="s">
        <v>333</v>
      </c>
      <c r="F965" s="706" t="s">
        <v>1152</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G68020</v>
      </c>
      <c r="AK965" s="905" t="str">
        <f t="shared" si="93"/>
        <v>COUT-P&amp;A RECLAM.CAM MOYEN</v>
      </c>
      <c r="AL965" s="905">
        <f>IFERROR(INDEX(G965:R965,1,MATCH(Parametres!$B$3,G$1:R$1,0)-1)*IF(OR(F965="L",F965="S",F965="I"),-1,1),"")</f>
        <v>0</v>
      </c>
      <c r="AM965" s="905">
        <f t="shared" si="94"/>
        <v>0</v>
      </c>
      <c r="AN965" s="905">
        <f>INDEX(G965:R965,1,MATCH(Parametres!$B$3,G$1:R$1,0))*IF(OR(F965="L",F965="S",F965="I"),-1,1)</f>
        <v>0</v>
      </c>
      <c r="AO965" s="487" t="str">
        <f>+VLOOKUP($AJ965,Data_Validation!$A:$D,1,0)</f>
        <v>G68020</v>
      </c>
      <c r="AP965" s="487" t="str">
        <f>+VLOOKUP($AJ965,Data_Validation!$A:$D,3,0)</f>
        <v>Pièces</v>
      </c>
      <c r="AQ965" s="487" t="str">
        <f>+VLOOKUP($AJ965,Data_Validation!$A:$D,4,0)</f>
        <v>P/A Garantie</v>
      </c>
      <c r="AR965" s="487" t="s">
        <v>299</v>
      </c>
      <c r="AS965" s="487">
        <f>+VLOOKUP($AJ965,Data_Validation!$A:$E,5,0)</f>
        <v>0</v>
      </c>
      <c r="AT965" s="904" t="str">
        <f t="shared" si="95"/>
        <v>G68020</v>
      </c>
      <c r="AU965" s="488" t="str">
        <f t="shared" si="96"/>
        <v>COUT-P&amp;A RECLAM.CAM MOYEN</v>
      </c>
      <c r="AV965" s="899">
        <f>IFERROR(INDEX(V965:AG965,1,MATCH(Parametres!$B$3,V$1:AG$1,0)-1)*IF(OR(C965="L",C965="S",C965="I"),-1,1),"")</f>
        <v>0</v>
      </c>
      <c r="AW965" s="899">
        <f t="shared" si="97"/>
        <v>0</v>
      </c>
      <c r="AX965" s="899">
        <f>INDEX(V965:AG965,1,MATCH(Parametres!$B$3,V$1:AG$1,0))*IF(OR(C965="L",C965="S",C965="I"),-1,1)</f>
        <v>0</v>
      </c>
      <c r="AY965" s="487" t="s">
        <v>337</v>
      </c>
      <c r="AZ965" s="487">
        <f>+VLOOKUP($AJ965,Data_Validation!$A:$E,5,0)</f>
        <v>0</v>
      </c>
    </row>
    <row r="966" spans="1:52" ht="15" customHeight="1">
      <c r="A966" s="706" t="s">
        <v>1148</v>
      </c>
      <c r="B966" s="706">
        <v>2026</v>
      </c>
      <c r="C966" s="706" t="s">
        <v>2949</v>
      </c>
      <c r="D966" s="706" t="s">
        <v>2950</v>
      </c>
      <c r="E966" s="706" t="s">
        <v>333</v>
      </c>
      <c r="F966" s="706" t="s">
        <v>1152</v>
      </c>
      <c r="G966" s="706">
        <v>29709.91</v>
      </c>
      <c r="H966" s="706">
        <v>68901.850000000006</v>
      </c>
      <c r="I966" s="706">
        <v>110629.82</v>
      </c>
      <c r="J966" s="706">
        <v>157545.79999999999</v>
      </c>
      <c r="K966" s="706">
        <v>185833.58</v>
      </c>
      <c r="L966" s="706">
        <v>218696.64</v>
      </c>
      <c r="M966" s="706">
        <v>234446.28</v>
      </c>
      <c r="N966" s="706">
        <v>0</v>
      </c>
      <c r="O966" s="706">
        <v>0</v>
      </c>
      <c r="P966" s="706">
        <v>0</v>
      </c>
      <c r="Q966" s="706">
        <v>0</v>
      </c>
      <c r="R966" s="706">
        <v>0</v>
      </c>
      <c r="S966" s="706">
        <v>36449.440000000002</v>
      </c>
      <c r="T966" s="706">
        <v>36449.440000000002</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G68100</v>
      </c>
      <c r="AK966" s="905" t="str">
        <f t="shared" si="93"/>
        <v>COUT-PIECES INTERNE</v>
      </c>
      <c r="AL966" s="905">
        <f>IFERROR(INDEX(G966:R966,1,MATCH(Parametres!$B$3,G$1:R$1,0)-1)*IF(OR(F966="L",F966="S",F966="I"),-1,1),"")</f>
        <v>185833.58</v>
      </c>
      <c r="AM966" s="905">
        <f t="shared" si="94"/>
        <v>32863.060000000027</v>
      </c>
      <c r="AN966" s="905">
        <f>INDEX(G966:R966,1,MATCH(Parametres!$B$3,G$1:R$1,0))*IF(OR(F966="L",F966="S",F966="I"),-1,1)</f>
        <v>218696.64</v>
      </c>
      <c r="AO966" s="487" t="str">
        <f>+VLOOKUP($AJ966,Data_Validation!$A:$D,1,0)</f>
        <v>G68100</v>
      </c>
      <c r="AP966" s="487" t="str">
        <f>+VLOOKUP($AJ966,Data_Validation!$A:$D,3,0)</f>
        <v>Pièces</v>
      </c>
      <c r="AQ966" s="487" t="str">
        <f>+VLOOKUP($AJ966,Data_Validation!$A:$D,4,0)</f>
        <v>Ventes Internes</v>
      </c>
      <c r="AR966" s="487" t="s">
        <v>299</v>
      </c>
      <c r="AS966" s="487">
        <f>+VLOOKUP($AJ966,Data_Validation!$A:$E,5,0)</f>
        <v>0</v>
      </c>
      <c r="AT966" s="904" t="str">
        <f t="shared" si="95"/>
        <v>G68100</v>
      </c>
      <c r="AU966" s="488" t="str">
        <f t="shared" si="96"/>
        <v>COUT-PIECES INTERNE</v>
      </c>
      <c r="AV966" s="899">
        <f>IFERROR(INDEX(V966:AG966,1,MATCH(Parametres!$B$3,V$1:AG$1,0)-1)*IF(OR(C966="L",C966="S",C966="I"),-1,1),"")</f>
        <v>0</v>
      </c>
      <c r="AW966" s="899">
        <f t="shared" si="97"/>
        <v>0</v>
      </c>
      <c r="AX966" s="899">
        <f>INDEX(V966:AG966,1,MATCH(Parametres!$B$3,V$1:AG$1,0))*IF(OR(C966="L",C966="S",C966="I"),-1,1)</f>
        <v>0</v>
      </c>
      <c r="AY966" s="487" t="s">
        <v>337</v>
      </c>
      <c r="AZ966" s="487">
        <f>+VLOOKUP($AJ966,Data_Validation!$A:$E,5,0)</f>
        <v>0</v>
      </c>
    </row>
    <row r="967" spans="1:52" ht="15" customHeight="1">
      <c r="A967" s="706" t="s">
        <v>1148</v>
      </c>
      <c r="B967" s="706">
        <v>2026</v>
      </c>
      <c r="C967" s="706" t="s">
        <v>2951</v>
      </c>
      <c r="D967" s="706" t="s">
        <v>2952</v>
      </c>
      <c r="E967" s="706" t="s">
        <v>333</v>
      </c>
      <c r="F967" s="706" t="s">
        <v>1152</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G68120</v>
      </c>
      <c r="AK967" s="905" t="str">
        <f t="shared" si="93"/>
        <v>COUT-P&amp;A INTERN CAM MOYEN</v>
      </c>
      <c r="AL967" s="905">
        <f>IFERROR(INDEX(G967:R967,1,MATCH(Parametres!$B$3,G$1:R$1,0)-1)*IF(OR(F967="L",F967="S",F967="I"),-1,1),"")</f>
        <v>0</v>
      </c>
      <c r="AM967" s="905">
        <f t="shared" si="94"/>
        <v>0</v>
      </c>
      <c r="AN967" s="905">
        <f>INDEX(G967:R967,1,MATCH(Parametres!$B$3,G$1:R$1,0))*IF(OR(F967="L",F967="S",F967="I"),-1,1)</f>
        <v>0</v>
      </c>
      <c r="AO967" s="487" t="str">
        <f>+VLOOKUP($AJ967,Data_Validation!$A:$D,1,0)</f>
        <v>G68120</v>
      </c>
      <c r="AP967" s="487" t="str">
        <f>+VLOOKUP($AJ967,Data_Validation!$A:$D,3,0)</f>
        <v>Pièces</v>
      </c>
      <c r="AQ967" s="487" t="str">
        <f>+VLOOKUP($AJ967,Data_Validation!$A:$D,4,0)</f>
        <v>Ventes Internes</v>
      </c>
      <c r="AR967" s="487" t="s">
        <v>299</v>
      </c>
      <c r="AS967" s="487">
        <f>+VLOOKUP($AJ967,Data_Validation!$A:$E,5,0)</f>
        <v>0</v>
      </c>
      <c r="AT967" s="904" t="str">
        <f t="shared" si="95"/>
        <v>G68120</v>
      </c>
      <c r="AU967" s="488" t="str">
        <f t="shared" si="96"/>
        <v>COUT-P&amp;A INTERN CAM MOYEN</v>
      </c>
      <c r="AV967" s="899">
        <f>IFERROR(INDEX(V967:AG967,1,MATCH(Parametres!$B$3,V$1:AG$1,0)-1)*IF(OR(C967="L",C967="S",C967="I"),-1,1),"")</f>
        <v>0</v>
      </c>
      <c r="AW967" s="899">
        <f t="shared" si="97"/>
        <v>0</v>
      </c>
      <c r="AX967" s="899">
        <f>INDEX(V967:AG967,1,MATCH(Parametres!$B$3,V$1:AG$1,0))*IF(OR(C967="L",C967="S",C967="I"),-1,1)</f>
        <v>0</v>
      </c>
      <c r="AY967" s="487" t="s">
        <v>337</v>
      </c>
      <c r="AZ967" s="487">
        <f>+VLOOKUP($AJ967,Data_Validation!$A:$E,5,0)</f>
        <v>0</v>
      </c>
    </row>
    <row r="968" spans="1:52" ht="15" customHeight="1">
      <c r="A968" s="706" t="s">
        <v>1148</v>
      </c>
      <c r="B968" s="706">
        <v>2026</v>
      </c>
      <c r="C968" s="706" t="s">
        <v>2953</v>
      </c>
      <c r="D968" s="706" t="s">
        <v>2954</v>
      </c>
      <c r="E968" s="706" t="s">
        <v>333</v>
      </c>
      <c r="F968" s="706" t="s">
        <v>1152</v>
      </c>
      <c r="G968" s="706">
        <v>21304.98</v>
      </c>
      <c r="H968" s="706">
        <v>37077.14</v>
      </c>
      <c r="I968" s="706">
        <v>69456.759999999995</v>
      </c>
      <c r="J968" s="706">
        <v>99247.83</v>
      </c>
      <c r="K968" s="706">
        <v>128788.14</v>
      </c>
      <c r="L968" s="706">
        <v>167695.60999999999</v>
      </c>
      <c r="M968" s="706">
        <v>195104.5</v>
      </c>
      <c r="N968" s="706">
        <v>0</v>
      </c>
      <c r="O968" s="706">
        <v>0</v>
      </c>
      <c r="P968" s="706">
        <v>0</v>
      </c>
      <c r="Q968" s="706">
        <v>0</v>
      </c>
      <c r="R968" s="706">
        <v>0</v>
      </c>
      <c r="S968" s="706">
        <v>27949.27</v>
      </c>
      <c r="T968" s="706">
        <v>27949.27</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G68200</v>
      </c>
      <c r="AK968" s="905" t="str">
        <f t="shared" si="93"/>
        <v>COUT-PIECES AU DETAIL</v>
      </c>
      <c r="AL968" s="905">
        <f>IFERROR(INDEX(G968:R968,1,MATCH(Parametres!$B$3,G$1:R$1,0)-1)*IF(OR(F968="L",F968="S",F968="I"),-1,1),"")</f>
        <v>128788.14</v>
      </c>
      <c r="AM968" s="905">
        <f t="shared" si="94"/>
        <v>38907.469999999987</v>
      </c>
      <c r="AN968" s="905">
        <f>INDEX(G968:R968,1,MATCH(Parametres!$B$3,G$1:R$1,0))*IF(OR(F968="L",F968="S",F968="I"),-1,1)</f>
        <v>167695.60999999999</v>
      </c>
      <c r="AO968" s="487" t="str">
        <f>+VLOOKUP($AJ968,Data_Validation!$A:$D,1,0)</f>
        <v>G68200</v>
      </c>
      <c r="AP968" s="487" t="str">
        <f>+VLOOKUP($AJ968,Data_Validation!$A:$D,3,0)</f>
        <v>Pièces</v>
      </c>
      <c r="AQ968" s="487" t="str">
        <f>+VLOOKUP($AJ968,Data_Validation!$A:$D,4,0)</f>
        <v>Ventes Détails</v>
      </c>
      <c r="AR968" s="487" t="s">
        <v>299</v>
      </c>
      <c r="AS968" s="487">
        <f>+VLOOKUP($AJ968,Data_Validation!$A:$E,5,0)</f>
        <v>0</v>
      </c>
      <c r="AT968" s="904" t="str">
        <f t="shared" si="95"/>
        <v>G68200</v>
      </c>
      <c r="AU968" s="488" t="str">
        <f t="shared" si="96"/>
        <v>COUT-PIECES AU DETAIL</v>
      </c>
      <c r="AV968" s="899">
        <f>IFERROR(INDEX(V968:AG968,1,MATCH(Parametres!$B$3,V$1:AG$1,0)-1)*IF(OR(C968="L",C968="S",C968="I"),-1,1),"")</f>
        <v>0</v>
      </c>
      <c r="AW968" s="899">
        <f t="shared" si="97"/>
        <v>0</v>
      </c>
      <c r="AX968" s="899">
        <f>INDEX(V968:AG968,1,MATCH(Parametres!$B$3,V$1:AG$1,0))*IF(OR(C968="L",C968="S",C968="I"),-1,1)</f>
        <v>0</v>
      </c>
      <c r="AY968" s="487" t="s">
        <v>337</v>
      </c>
      <c r="AZ968" s="487">
        <f>+VLOOKUP($AJ968,Data_Validation!$A:$E,5,0)</f>
        <v>0</v>
      </c>
    </row>
    <row r="969" spans="1:52" ht="15" customHeight="1">
      <c r="A969" s="706" t="s">
        <v>1148</v>
      </c>
      <c r="B969" s="706">
        <v>2026</v>
      </c>
      <c r="C969" s="706" t="s">
        <v>2955</v>
      </c>
      <c r="D969" s="706" t="s">
        <v>2956</v>
      </c>
      <c r="E969" s="706" t="s">
        <v>333</v>
      </c>
      <c r="F969" s="706" t="s">
        <v>1152</v>
      </c>
      <c r="G969" s="706">
        <v>147820.20000000001</v>
      </c>
      <c r="H969" s="706">
        <v>262818.71000000002</v>
      </c>
      <c r="I969" s="706">
        <v>371846.67</v>
      </c>
      <c r="J969" s="706">
        <v>447721.11</v>
      </c>
      <c r="K969" s="706">
        <v>553773.17000000004</v>
      </c>
      <c r="L969" s="706">
        <v>658467.67000000004</v>
      </c>
      <c r="M969" s="706">
        <v>745295.85</v>
      </c>
      <c r="N969" s="706">
        <v>0</v>
      </c>
      <c r="O969" s="706">
        <v>0</v>
      </c>
      <c r="P969" s="706">
        <v>0</v>
      </c>
      <c r="Q969" s="706">
        <v>0</v>
      </c>
      <c r="R969" s="706">
        <v>0</v>
      </c>
      <c r="S969" s="706">
        <v>109744.61</v>
      </c>
      <c r="T969" s="706">
        <v>109744.61</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G68300</v>
      </c>
      <c r="AK969" s="905" t="str">
        <f t="shared" si="93"/>
        <v>COUT-PIECES EN GROS</v>
      </c>
      <c r="AL969" s="905">
        <f>IFERROR(INDEX(G969:R969,1,MATCH(Parametres!$B$3,G$1:R$1,0)-1)*IF(OR(F969="L",F969="S",F969="I"),-1,1),"")</f>
        <v>553773.17000000004</v>
      </c>
      <c r="AM969" s="905">
        <f t="shared" si="94"/>
        <v>104694.5</v>
      </c>
      <c r="AN969" s="905">
        <f>INDEX(G969:R969,1,MATCH(Parametres!$B$3,G$1:R$1,0))*IF(OR(F969="L",F969="S",F969="I"),-1,1)</f>
        <v>658467.67000000004</v>
      </c>
      <c r="AO969" s="487" t="str">
        <f>+VLOOKUP($AJ969,Data_Validation!$A:$D,1,0)</f>
        <v>G68300</v>
      </c>
      <c r="AP969" s="487" t="str">
        <f>+VLOOKUP($AJ969,Data_Validation!$A:$D,3,0)</f>
        <v>Pièces</v>
      </c>
      <c r="AQ969" s="487" t="str">
        <f>+VLOOKUP($AJ969,Data_Validation!$A:$D,4,0)</f>
        <v>Ventes de Gros</v>
      </c>
      <c r="AR969" s="487" t="s">
        <v>299</v>
      </c>
      <c r="AS969" s="487">
        <f>+VLOOKUP($AJ969,Data_Validation!$A:$E,5,0)</f>
        <v>0</v>
      </c>
      <c r="AT969" s="904" t="str">
        <f t="shared" si="95"/>
        <v>G68300</v>
      </c>
      <c r="AU969" s="488" t="str">
        <f t="shared" si="96"/>
        <v>COUT-PIECES EN GROS</v>
      </c>
      <c r="AV969" s="899">
        <f>IFERROR(INDEX(V969:AG969,1,MATCH(Parametres!$B$3,V$1:AG$1,0)-1)*IF(OR(C969="L",C969="S",C969="I"),-1,1),"")</f>
        <v>0</v>
      </c>
      <c r="AW969" s="899">
        <f t="shared" si="97"/>
        <v>0</v>
      </c>
      <c r="AX969" s="899">
        <f>INDEX(V969:AG969,1,MATCH(Parametres!$B$3,V$1:AG$1,0))*IF(OR(C969="L",C969="S",C969="I"),-1,1)</f>
        <v>0</v>
      </c>
      <c r="AY969" s="487" t="s">
        <v>337</v>
      </c>
      <c r="AZ969" s="487">
        <f>+VLOOKUP($AJ969,Data_Validation!$A:$E,5,0)</f>
        <v>0</v>
      </c>
    </row>
    <row r="970" spans="1:52" ht="15" customHeight="1">
      <c r="A970" s="706" t="s">
        <v>1148</v>
      </c>
      <c r="B970" s="706">
        <v>2026</v>
      </c>
      <c r="C970" s="706" t="s">
        <v>2957</v>
      </c>
      <c r="D970" s="706" t="s">
        <v>2958</v>
      </c>
      <c r="E970" s="706" t="s">
        <v>333</v>
      </c>
      <c r="F970" s="706" t="s">
        <v>1152</v>
      </c>
      <c r="G970" s="706">
        <v>-20065.36</v>
      </c>
      <c r="H970" s="706">
        <v>-23303.48</v>
      </c>
      <c r="I970" s="706">
        <v>-26562.22</v>
      </c>
      <c r="J970" s="706">
        <v>-48976.1</v>
      </c>
      <c r="K970" s="706">
        <v>-59789.15</v>
      </c>
      <c r="L970" s="706">
        <v>-62199.199999999997</v>
      </c>
      <c r="M970" s="706">
        <v>-76105.86</v>
      </c>
      <c r="N970" s="706">
        <v>0</v>
      </c>
      <c r="O970" s="706">
        <v>0</v>
      </c>
      <c r="P970" s="706">
        <v>0</v>
      </c>
      <c r="Q970" s="706">
        <v>0</v>
      </c>
      <c r="R970" s="706">
        <v>0</v>
      </c>
      <c r="S970" s="706">
        <v>-10366.530000000001</v>
      </c>
      <c r="T970" s="706">
        <v>-10366.530000000001</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G68700</v>
      </c>
      <c r="AK970" s="905" t="str">
        <f t="shared" si="93"/>
        <v>ESCOMPTES DE VOLUME</v>
      </c>
      <c r="AL970" s="905">
        <f>IFERROR(INDEX(G970:R970,1,MATCH(Parametres!$B$3,G$1:R$1,0)-1)*IF(OR(F970="L",F970="S",F970="I"),-1,1),"")</f>
        <v>-59789.15</v>
      </c>
      <c r="AM970" s="905">
        <f t="shared" si="94"/>
        <v>-2410.0499999999956</v>
      </c>
      <c r="AN970" s="905">
        <f>INDEX(G970:R970,1,MATCH(Parametres!$B$3,G$1:R$1,0))*IF(OR(F970="L",F970="S",F970="I"),-1,1)</f>
        <v>-62199.199999999997</v>
      </c>
      <c r="AO970" s="487" t="str">
        <f>+VLOOKUP($AJ970,Data_Validation!$A:$D,1,0)</f>
        <v>G68700</v>
      </c>
      <c r="AP970" s="487" t="str">
        <f>+VLOOKUP($AJ970,Data_Validation!$A:$D,3,0)</f>
        <v>Pièces</v>
      </c>
      <c r="AQ970" s="487" t="str">
        <f>+VLOOKUP($AJ970,Data_Validation!$A:$D,4,0)</f>
        <v>Escomptes</v>
      </c>
      <c r="AR970" s="487" t="s">
        <v>299</v>
      </c>
      <c r="AS970" s="487">
        <f>+VLOOKUP($AJ970,Data_Validation!$A:$E,5,0)</f>
        <v>0</v>
      </c>
      <c r="AT970" s="904" t="str">
        <f t="shared" si="95"/>
        <v>G68700</v>
      </c>
      <c r="AU970" s="488" t="str">
        <f t="shared" si="96"/>
        <v>ESCOMPTES DE VOLUME</v>
      </c>
      <c r="AV970" s="899">
        <f>IFERROR(INDEX(V970:AG970,1,MATCH(Parametres!$B$3,V$1:AG$1,0)-1)*IF(OR(C970="L",C970="S",C970="I"),-1,1),"")</f>
        <v>0</v>
      </c>
      <c r="AW970" s="899">
        <f t="shared" si="97"/>
        <v>0</v>
      </c>
      <c r="AX970" s="899">
        <f>INDEX(V970:AG970,1,MATCH(Parametres!$B$3,V$1:AG$1,0))*IF(OR(C970="L",C970="S",C970="I"),-1,1)</f>
        <v>0</v>
      </c>
      <c r="AY970" s="487" t="s">
        <v>337</v>
      </c>
      <c r="AZ970" s="487">
        <f>+VLOOKUP($AJ970,Data_Validation!$A:$E,5,0)</f>
        <v>0</v>
      </c>
    </row>
    <row r="971" spans="1:52" ht="15" customHeight="1">
      <c r="A971" s="706" t="s">
        <v>1148</v>
      </c>
      <c r="B971" s="706">
        <v>2026</v>
      </c>
      <c r="C971" s="706" t="s">
        <v>2959</v>
      </c>
      <c r="D971" s="706" t="s">
        <v>2960</v>
      </c>
      <c r="E971" s="706" t="s">
        <v>333</v>
      </c>
      <c r="F971" s="706" t="s">
        <v>1152</v>
      </c>
      <c r="G971" s="706">
        <v>-3656.81</v>
      </c>
      <c r="H971" s="706">
        <v>-3884.38</v>
      </c>
      <c r="I971" s="706">
        <v>-5049.5</v>
      </c>
      <c r="J971" s="706">
        <v>-4993.82</v>
      </c>
      <c r="K971" s="706">
        <v>-6642.71</v>
      </c>
      <c r="L971" s="706">
        <v>-7079.42</v>
      </c>
      <c r="M971" s="706">
        <v>-6856.32</v>
      </c>
      <c r="N971" s="706">
        <v>0</v>
      </c>
      <c r="O971" s="706">
        <v>0</v>
      </c>
      <c r="P971" s="706">
        <v>0</v>
      </c>
      <c r="Q971" s="706">
        <v>0</v>
      </c>
      <c r="R971" s="706">
        <v>0</v>
      </c>
      <c r="S971" s="706">
        <v>-1179.9000000000001</v>
      </c>
      <c r="T971" s="706">
        <v>-1179.9000000000001</v>
      </c>
      <c r="U971" s="706">
        <v>0</v>
      </c>
      <c r="V971" s="706">
        <v>0</v>
      </c>
      <c r="W971" s="706">
        <v>0</v>
      </c>
      <c r="X971" s="706">
        <v>0</v>
      </c>
      <c r="Y971" s="706">
        <v>0</v>
      </c>
      <c r="Z971" s="706">
        <v>0</v>
      </c>
      <c r="AA971" s="706">
        <v>0</v>
      </c>
      <c r="AB971" s="706">
        <v>0</v>
      </c>
      <c r="AC971" s="706">
        <v>0</v>
      </c>
      <c r="AD971" s="706">
        <v>0</v>
      </c>
      <c r="AE971" s="706">
        <v>0</v>
      </c>
      <c r="AF971" s="706">
        <v>0</v>
      </c>
      <c r="AG971" s="706">
        <v>0</v>
      </c>
      <c r="AH971" s="706">
        <v>0</v>
      </c>
      <c r="AI971" s="706">
        <v>0</v>
      </c>
      <c r="AJ971" s="905" t="str">
        <f t="shared" si="92"/>
        <v>G68800</v>
      </c>
      <c r="AK971" s="905" t="str">
        <f t="shared" si="93"/>
        <v>RECTIFIC.STOCK PIECES</v>
      </c>
      <c r="AL971" s="905">
        <f>IFERROR(INDEX(G971:R971,1,MATCH(Parametres!$B$3,G$1:R$1,0)-1)*IF(OR(F971="L",F971="S",F971="I"),-1,1),"")</f>
        <v>-6642.71</v>
      </c>
      <c r="AM971" s="905">
        <f t="shared" si="94"/>
        <v>-436.71000000000004</v>
      </c>
      <c r="AN971" s="905">
        <f>INDEX(G971:R971,1,MATCH(Parametres!$B$3,G$1:R$1,0))*IF(OR(F971="L",F971="S",F971="I"),-1,1)</f>
        <v>-7079.42</v>
      </c>
      <c r="AO971" s="487" t="str">
        <f>+VLOOKUP($AJ971,Data_Validation!$A:$D,1,0)</f>
        <v>G68800</v>
      </c>
      <c r="AP971" s="487" t="str">
        <f>+VLOOKUP($AJ971,Data_Validation!$A:$D,3,0)</f>
        <v>Pièces</v>
      </c>
      <c r="AQ971" s="487" t="str">
        <f>+VLOOKUP($AJ971,Data_Validation!$A:$D,4,0)</f>
        <v>Rectif. Inventaire</v>
      </c>
      <c r="AR971" s="487" t="s">
        <v>299</v>
      </c>
      <c r="AS971" s="487">
        <f>+VLOOKUP($AJ971,Data_Validation!$A:$E,5,0)</f>
        <v>0</v>
      </c>
      <c r="AT971" s="904" t="str">
        <f t="shared" si="95"/>
        <v>G68800</v>
      </c>
      <c r="AU971" s="488" t="str">
        <f t="shared" si="96"/>
        <v>RECTIFIC.STOCK PIECES</v>
      </c>
      <c r="AV971" s="899">
        <f>IFERROR(INDEX(V971:AG971,1,MATCH(Parametres!$B$3,V$1:AG$1,0)-1)*IF(OR(C971="L",C971="S",C971="I"),-1,1),"")</f>
        <v>0</v>
      </c>
      <c r="AW971" s="899">
        <f t="shared" si="97"/>
        <v>0</v>
      </c>
      <c r="AX971" s="899">
        <f>INDEX(V971:AG971,1,MATCH(Parametres!$B$3,V$1:AG$1,0))*IF(OR(C971="L",C971="S",C971="I"),-1,1)</f>
        <v>0</v>
      </c>
      <c r="AY971" s="487" t="s">
        <v>337</v>
      </c>
      <c r="AZ971" s="487">
        <f>+VLOOKUP($AJ971,Data_Validation!$A:$E,5,0)</f>
        <v>0</v>
      </c>
    </row>
    <row r="972" spans="1:52" ht="15" customHeight="1">
      <c r="A972" s="706" t="s">
        <v>1148</v>
      </c>
      <c r="B972" s="706">
        <v>2026</v>
      </c>
      <c r="C972" s="706" t="s">
        <v>2961</v>
      </c>
      <c r="D972" s="706" t="s">
        <v>2962</v>
      </c>
      <c r="E972" s="706" t="s">
        <v>333</v>
      </c>
      <c r="F972" s="706" t="s">
        <v>1152</v>
      </c>
      <c r="G972" s="706">
        <v>34926.080000000002</v>
      </c>
      <c r="H972" s="706">
        <v>62121.599999999999</v>
      </c>
      <c r="I972" s="706">
        <v>76201.22</v>
      </c>
      <c r="J972" s="706">
        <v>97234.06</v>
      </c>
      <c r="K972" s="706">
        <v>110391.72</v>
      </c>
      <c r="L972" s="706">
        <v>124951.91</v>
      </c>
      <c r="M972" s="706">
        <v>128247.94</v>
      </c>
      <c r="N972" s="706">
        <v>0</v>
      </c>
      <c r="O972" s="706">
        <v>0</v>
      </c>
      <c r="P972" s="706">
        <v>0</v>
      </c>
      <c r="Q972" s="706">
        <v>0</v>
      </c>
      <c r="R972" s="706">
        <v>0</v>
      </c>
      <c r="S972" s="706">
        <v>20825.32</v>
      </c>
      <c r="T972" s="706">
        <v>20825.32</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G69000</v>
      </c>
      <c r="AK972" s="905" t="str">
        <f t="shared" si="93"/>
        <v>COUT-PNEUS VENDUS</v>
      </c>
      <c r="AL972" s="905">
        <f>IFERROR(INDEX(G972:R972,1,MATCH(Parametres!$B$3,G$1:R$1,0)-1)*IF(OR(F972="L",F972="S",F972="I"),-1,1),"")</f>
        <v>110391.72</v>
      </c>
      <c r="AM972" s="905">
        <f t="shared" si="94"/>
        <v>14560.190000000002</v>
      </c>
      <c r="AN972" s="905">
        <f>INDEX(G972:R972,1,MATCH(Parametres!$B$3,G$1:R$1,0))*IF(OR(F972="L",F972="S",F972="I"),-1,1)</f>
        <v>124951.91</v>
      </c>
      <c r="AO972" s="487" t="str">
        <f>+VLOOKUP($AJ972,Data_Validation!$A:$D,1,0)</f>
        <v>G69000</v>
      </c>
      <c r="AP972" s="487" t="str">
        <f>+VLOOKUP($AJ972,Data_Validation!$A:$D,3,0)</f>
        <v>Pièces</v>
      </c>
      <c r="AQ972" s="487" t="str">
        <f>+VLOOKUP($AJ972,Data_Validation!$A:$D,4,0)</f>
        <v>Ventes Pneus</v>
      </c>
      <c r="AR972" s="487" t="s">
        <v>299</v>
      </c>
      <c r="AS972" s="487">
        <f>+VLOOKUP($AJ972,Data_Validation!$A:$E,5,0)</f>
        <v>0</v>
      </c>
      <c r="AT972" s="904" t="str">
        <f t="shared" si="95"/>
        <v>G69000</v>
      </c>
      <c r="AU972" s="488" t="str">
        <f t="shared" si="96"/>
        <v>COUT-PNEUS VENDUS</v>
      </c>
      <c r="AV972" s="899">
        <f>IFERROR(INDEX(V972:AG972,1,MATCH(Parametres!$B$3,V$1:AG$1,0)-1)*IF(OR(C972="L",C972="S",C972="I"),-1,1),"")</f>
        <v>0</v>
      </c>
      <c r="AW972" s="899">
        <f t="shared" si="97"/>
        <v>0</v>
      </c>
      <c r="AX972" s="899">
        <f>INDEX(V972:AG972,1,MATCH(Parametres!$B$3,V$1:AG$1,0))*IF(OR(C972="L",C972="S",C972="I"),-1,1)</f>
        <v>0</v>
      </c>
      <c r="AY972" s="487" t="s">
        <v>337</v>
      </c>
      <c r="AZ972" s="487">
        <f>+VLOOKUP($AJ972,Data_Validation!$A:$E,5,0)</f>
        <v>0</v>
      </c>
    </row>
    <row r="973" spans="1:52" ht="15" customHeight="1">
      <c r="A973" s="706" t="s">
        <v>1148</v>
      </c>
      <c r="B973" s="706">
        <v>2026</v>
      </c>
      <c r="C973" s="706" t="s">
        <v>2963</v>
      </c>
      <c r="D973" s="706" t="s">
        <v>2964</v>
      </c>
      <c r="E973" s="706" t="s">
        <v>333</v>
      </c>
      <c r="F973" s="706" t="s">
        <v>1152</v>
      </c>
      <c r="G973" s="706">
        <v>6801.33</v>
      </c>
      <c r="H973" s="706">
        <v>13763.25</v>
      </c>
      <c r="I973" s="706">
        <v>23246.21</v>
      </c>
      <c r="J973" s="706">
        <v>31500.2</v>
      </c>
      <c r="K973" s="706">
        <v>39878.769999999997</v>
      </c>
      <c r="L973" s="706">
        <v>50694.1</v>
      </c>
      <c r="M973" s="706">
        <v>55107.08</v>
      </c>
      <c r="N973" s="706">
        <v>0</v>
      </c>
      <c r="O973" s="706">
        <v>0</v>
      </c>
      <c r="P973" s="706">
        <v>0</v>
      </c>
      <c r="Q973" s="706">
        <v>0</v>
      </c>
      <c r="R973" s="706">
        <v>0</v>
      </c>
      <c r="S973" s="706">
        <v>8449.02</v>
      </c>
      <c r="T973" s="706">
        <v>8449.02</v>
      </c>
      <c r="U973" s="706">
        <v>0</v>
      </c>
      <c r="V973" s="706">
        <v>0</v>
      </c>
      <c r="W973" s="706">
        <v>0</v>
      </c>
      <c r="X973" s="706">
        <v>0</v>
      </c>
      <c r="Y973" s="706">
        <v>0</v>
      </c>
      <c r="Z973" s="706">
        <v>0</v>
      </c>
      <c r="AA973" s="706">
        <v>0</v>
      </c>
      <c r="AB973" s="706">
        <v>0</v>
      </c>
      <c r="AC973" s="706">
        <v>0</v>
      </c>
      <c r="AD973" s="706">
        <v>0</v>
      </c>
      <c r="AE973" s="706">
        <v>0</v>
      </c>
      <c r="AF973" s="706">
        <v>0</v>
      </c>
      <c r="AG973" s="706">
        <v>0</v>
      </c>
      <c r="AH973" s="706">
        <v>0</v>
      </c>
      <c r="AI973" s="706">
        <v>0</v>
      </c>
      <c r="AJ973" s="905" t="str">
        <f t="shared" si="92"/>
        <v>G69100</v>
      </c>
      <c r="AK973" s="905" t="str">
        <f t="shared" si="93"/>
        <v>COUT-HUILES &amp; GRAISSE</v>
      </c>
      <c r="AL973" s="905">
        <f>IFERROR(INDEX(G973:R973,1,MATCH(Parametres!$B$3,G$1:R$1,0)-1)*IF(OR(F973="L",F973="S",F973="I"),-1,1),"")</f>
        <v>39878.769999999997</v>
      </c>
      <c r="AM973" s="905">
        <f t="shared" si="94"/>
        <v>10815.330000000002</v>
      </c>
      <c r="AN973" s="905">
        <f>INDEX(G973:R973,1,MATCH(Parametres!$B$3,G$1:R$1,0))*IF(OR(F973="L",F973="S",F973="I"),-1,1)</f>
        <v>50694.1</v>
      </c>
      <c r="AO973" s="487" t="str">
        <f>+VLOOKUP($AJ973,Data_Validation!$A:$D,1,0)</f>
        <v>G69100</v>
      </c>
      <c r="AP973" s="487" t="str">
        <f>+VLOOKUP($AJ973,Data_Validation!$A:$D,3,0)</f>
        <v>Pièces</v>
      </c>
      <c r="AQ973" s="487" t="str">
        <f>+VLOOKUP($AJ973,Data_Validation!$A:$D,4,0)</f>
        <v>Huiles et Graisse</v>
      </c>
      <c r="AR973" s="487" t="s">
        <v>299</v>
      </c>
      <c r="AS973" s="487">
        <f>+VLOOKUP($AJ973,Data_Validation!$A:$E,5,0)</f>
        <v>0</v>
      </c>
      <c r="AT973" s="904" t="str">
        <f t="shared" si="95"/>
        <v>G69100</v>
      </c>
      <c r="AU973" s="488" t="str">
        <f t="shared" si="96"/>
        <v>COUT-HUILES &amp; GRAISSE</v>
      </c>
      <c r="AV973" s="899">
        <f>IFERROR(INDEX(V973:AG973,1,MATCH(Parametres!$B$3,V$1:AG$1,0)-1)*IF(OR(C973="L",C973="S",C973="I"),-1,1),"")</f>
        <v>0</v>
      </c>
      <c r="AW973" s="899">
        <f t="shared" si="97"/>
        <v>0</v>
      </c>
      <c r="AX973" s="899">
        <f>INDEX(V973:AG973,1,MATCH(Parametres!$B$3,V$1:AG$1,0))*IF(OR(C973="L",C973="S",C973="I"),-1,1)</f>
        <v>0</v>
      </c>
      <c r="AY973" s="487" t="s">
        <v>337</v>
      </c>
      <c r="AZ973" s="487">
        <f>+VLOOKUP($AJ973,Data_Validation!$A:$E,5,0)</f>
        <v>0</v>
      </c>
    </row>
    <row r="974" spans="1:52" ht="15" customHeight="1">
      <c r="A974" s="706" t="s">
        <v>1148</v>
      </c>
      <c r="B974" s="706">
        <v>2026</v>
      </c>
      <c r="C974" s="706" t="s">
        <v>2965</v>
      </c>
      <c r="D974" s="706" t="s">
        <v>2966</v>
      </c>
      <c r="E974" s="706" t="s">
        <v>333</v>
      </c>
      <c r="F974" s="706" t="s">
        <v>1104</v>
      </c>
      <c r="G974" s="706">
        <v>0</v>
      </c>
      <c r="H974" s="706">
        <v>0</v>
      </c>
      <c r="I974" s="706">
        <v>0</v>
      </c>
      <c r="J974" s="706">
        <v>0</v>
      </c>
      <c r="K974" s="706">
        <v>0</v>
      </c>
      <c r="L974" s="706">
        <v>0</v>
      </c>
      <c r="M974" s="706">
        <v>0</v>
      </c>
      <c r="N974" s="706">
        <v>0</v>
      </c>
      <c r="O974" s="706">
        <v>0</v>
      </c>
      <c r="P974" s="706">
        <v>0</v>
      </c>
      <c r="Q974" s="706">
        <v>0</v>
      </c>
      <c r="R974" s="706">
        <v>0</v>
      </c>
      <c r="S974" s="706">
        <v>0</v>
      </c>
      <c r="T974" s="706">
        <v>0</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G711</v>
      </c>
      <c r="AK974" s="905" t="str">
        <f t="shared" si="93"/>
        <v>INTERETS          -SIMPLE</v>
      </c>
      <c r="AL974" s="905">
        <f>IFERROR(INDEX(G974:R974,1,MATCH(Parametres!$B$3,G$1:R$1,0)-1)*IF(OR(F974="L",F974="S",F974="I"),-1,1),"")</f>
        <v>0</v>
      </c>
      <c r="AM974" s="905">
        <f t="shared" si="94"/>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t="str">
        <f t="shared" si="95"/>
        <v>G711</v>
      </c>
      <c r="AU974" s="488" t="str">
        <f t="shared" si="96"/>
        <v>INTERETS          -SIMPLE</v>
      </c>
      <c r="AV974" s="899">
        <f>IFERROR(INDEX(V974:AG974,1,MATCH(Parametres!$B$3,V$1:AG$1,0)-1)*IF(OR(C974="L",C974="S",C974="I"),-1,1),"")</f>
        <v>0</v>
      </c>
      <c r="AW974" s="899">
        <f t="shared" si="97"/>
        <v>0</v>
      </c>
      <c r="AX974" s="899">
        <f>INDEX(V974:AG974,1,MATCH(Parametres!$B$3,V$1:AG$1,0))*IF(OR(C974="L",C974="S",C974="I"),-1,1)</f>
        <v>0</v>
      </c>
      <c r="AY974" s="487" t="s">
        <v>337</v>
      </c>
      <c r="AZ974" s="487" t="e">
        <f>+VLOOKUP($AJ974,Data_Validation!$A:$E,5,0)</f>
        <v>#N/A</v>
      </c>
    </row>
    <row r="975" spans="1:52" ht="15" customHeight="1">
      <c r="A975" s="706" t="s">
        <v>1148</v>
      </c>
      <c r="B975" s="706">
        <v>2026</v>
      </c>
      <c r="C975" s="706" t="s">
        <v>2967</v>
      </c>
      <c r="D975" s="706" t="s">
        <v>2968</v>
      </c>
      <c r="E975" s="706" t="s">
        <v>333</v>
      </c>
      <c r="F975" s="706" t="s">
        <v>1104</v>
      </c>
      <c r="G975" s="706">
        <v>0</v>
      </c>
      <c r="H975" s="706">
        <v>0</v>
      </c>
      <c r="I975" s="706">
        <v>0</v>
      </c>
      <c r="J975" s="706">
        <v>0</v>
      </c>
      <c r="K975" s="706">
        <v>0</v>
      </c>
      <c r="L975" s="706">
        <v>0</v>
      </c>
      <c r="M975" s="706">
        <v>0</v>
      </c>
      <c r="N975" s="706">
        <v>0</v>
      </c>
      <c r="O975" s="706">
        <v>0</v>
      </c>
      <c r="P975" s="706">
        <v>0</v>
      </c>
      <c r="Q975" s="706">
        <v>0</v>
      </c>
      <c r="R975" s="706">
        <v>0</v>
      </c>
      <c r="S975" s="706">
        <v>0</v>
      </c>
      <c r="T975" s="706">
        <v>0</v>
      </c>
      <c r="U975" s="706">
        <v>0</v>
      </c>
      <c r="V975" s="706">
        <v>0</v>
      </c>
      <c r="W975" s="706">
        <v>0</v>
      </c>
      <c r="X975" s="706">
        <v>0</v>
      </c>
      <c r="Y975" s="706">
        <v>0</v>
      </c>
      <c r="Z975" s="706">
        <v>0</v>
      </c>
      <c r="AA975" s="706">
        <v>0</v>
      </c>
      <c r="AB975" s="706">
        <v>0</v>
      </c>
      <c r="AC975" s="706">
        <v>0</v>
      </c>
      <c r="AD975" s="706">
        <v>0</v>
      </c>
      <c r="AE975" s="706">
        <v>0</v>
      </c>
      <c r="AF975" s="706">
        <v>0</v>
      </c>
      <c r="AG975" s="706">
        <v>0</v>
      </c>
      <c r="AH975" s="706">
        <v>0</v>
      </c>
      <c r="AI975" s="706">
        <v>0</v>
      </c>
      <c r="AJ975" s="905" t="str">
        <f t="shared" si="92"/>
        <v>G712</v>
      </c>
      <c r="AK975" s="905" t="str">
        <f t="shared" si="93"/>
        <v>AMORTISSEMENT     -SIMPLE</v>
      </c>
      <c r="AL975" s="905">
        <f>IFERROR(INDEX(G975:R975,1,MATCH(Parametres!$B$3,G$1:R$1,0)-1)*IF(OR(F975="L",F975="S",F975="I"),-1,1),"")</f>
        <v>0</v>
      </c>
      <c r="AM975" s="905">
        <f t="shared" si="94"/>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t="str">
        <f t="shared" si="95"/>
        <v>G712</v>
      </c>
      <c r="AU975" s="488" t="str">
        <f t="shared" si="96"/>
        <v>AMORTISSEMENT     -SIMPLE</v>
      </c>
      <c r="AV975" s="899">
        <f>IFERROR(INDEX(V975:AG975,1,MATCH(Parametres!$B$3,V$1:AG$1,0)-1)*IF(OR(C975="L",C975="S",C975="I"),-1,1),"")</f>
        <v>0</v>
      </c>
      <c r="AW975" s="899">
        <f t="shared" si="97"/>
        <v>0</v>
      </c>
      <c r="AX975" s="899">
        <f>INDEX(V975:AG975,1,MATCH(Parametres!$B$3,V$1:AG$1,0))*IF(OR(C975="L",C975="S",C975="I"),-1,1)</f>
        <v>0</v>
      </c>
      <c r="AY975" s="487" t="s">
        <v>337</v>
      </c>
      <c r="AZ975" s="487" t="e">
        <f>+VLOOKUP($AJ975,Data_Validation!$A:$E,5,0)</f>
        <v>#N/A</v>
      </c>
    </row>
    <row r="976" spans="1:52" ht="15" customHeight="1">
      <c r="A976" s="706" t="s">
        <v>1148</v>
      </c>
      <c r="B976" s="706">
        <v>2026</v>
      </c>
      <c r="C976" s="706" t="s">
        <v>2969</v>
      </c>
      <c r="D976" s="706" t="s">
        <v>2970</v>
      </c>
      <c r="E976" s="706" t="s">
        <v>333</v>
      </c>
      <c r="F976" s="706" t="s">
        <v>1104</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G713</v>
      </c>
      <c r="AK976" s="905" t="str">
        <f t="shared" si="93"/>
        <v>ASSUR.VEH EN SERV.-SIMPLE</v>
      </c>
      <c r="AL976" s="905">
        <f>IFERROR(INDEX(G976:R976,1,MATCH(Parametres!$B$3,G$1:R$1,0)-1)*IF(OR(F976="L",F976="S",F976="I"),-1,1),"")</f>
        <v>0</v>
      </c>
      <c r="AM976" s="905">
        <f t="shared" si="94"/>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G713</v>
      </c>
      <c r="AU976" s="488" t="str">
        <f t="shared" si="96"/>
        <v>ASSUR.VEH EN SERV.-SIMPLE</v>
      </c>
      <c r="AV976" s="899">
        <f>IFERROR(INDEX(V976:AG976,1,MATCH(Parametres!$B$3,V$1:AG$1,0)-1)*IF(OR(C976="L",C976="S",C976="I"),-1,1),"")</f>
        <v>0</v>
      </c>
      <c r="AW976" s="899">
        <f t="shared" si="97"/>
        <v>0</v>
      </c>
      <c r="AX976" s="899">
        <f>INDEX(V976:AG976,1,MATCH(Parametres!$B$3,V$1:AG$1,0))*IF(OR(C976="L",C976="S",C976="I"),-1,1)</f>
        <v>0</v>
      </c>
      <c r="AY976" s="487" t="s">
        <v>337</v>
      </c>
      <c r="AZ976" s="487" t="e">
        <f>+VLOOKUP($AJ976,Data_Validation!$A:$E,5,0)</f>
        <v>#N/A</v>
      </c>
    </row>
    <row r="977" spans="1:52" ht="15" customHeight="1">
      <c r="A977" s="706" t="s">
        <v>1148</v>
      </c>
      <c r="B977" s="706">
        <v>2026</v>
      </c>
      <c r="C977" s="706" t="s">
        <v>2971</v>
      </c>
      <c r="D977" s="706" t="s">
        <v>2972</v>
      </c>
      <c r="E977" s="706" t="s">
        <v>333</v>
      </c>
      <c r="F977" s="706" t="s">
        <v>1104</v>
      </c>
      <c r="G977" s="706">
        <v>0</v>
      </c>
      <c r="H977" s="706">
        <v>0</v>
      </c>
      <c r="I977" s="706">
        <v>0</v>
      </c>
      <c r="J977" s="706">
        <v>0</v>
      </c>
      <c r="K977" s="706">
        <v>0</v>
      </c>
      <c r="L977" s="706">
        <v>0</v>
      </c>
      <c r="M977" s="706">
        <v>0</v>
      </c>
      <c r="N977" s="706">
        <v>0</v>
      </c>
      <c r="O977" s="706">
        <v>0</v>
      </c>
      <c r="P977" s="706">
        <v>0</v>
      </c>
      <c r="Q977" s="706">
        <v>0</v>
      </c>
      <c r="R977" s="706">
        <v>0</v>
      </c>
      <c r="S977" s="706">
        <v>0</v>
      </c>
      <c r="T977" s="706">
        <v>0</v>
      </c>
      <c r="U977" s="706">
        <v>0</v>
      </c>
      <c r="V977" s="706">
        <v>0</v>
      </c>
      <c r="W977" s="706">
        <v>0</v>
      </c>
      <c r="X977" s="706">
        <v>0</v>
      </c>
      <c r="Y977" s="706">
        <v>0</v>
      </c>
      <c r="Z977" s="706">
        <v>0</v>
      </c>
      <c r="AA977" s="706">
        <v>0</v>
      </c>
      <c r="AB977" s="706">
        <v>0</v>
      </c>
      <c r="AC977" s="706">
        <v>0</v>
      </c>
      <c r="AD977" s="706">
        <v>0</v>
      </c>
      <c r="AE977" s="706">
        <v>0</v>
      </c>
      <c r="AF977" s="706">
        <v>0</v>
      </c>
      <c r="AG977" s="706">
        <v>0</v>
      </c>
      <c r="AH977" s="706">
        <v>0</v>
      </c>
      <c r="AI977" s="706">
        <v>0</v>
      </c>
      <c r="AJ977" s="905" t="str">
        <f t="shared" si="92"/>
        <v>G714</v>
      </c>
      <c r="AK977" s="905" t="str">
        <f t="shared" si="93"/>
        <v>PLAQUE,TITRE,TAXES-SIMPLE</v>
      </c>
      <c r="AL977" s="905">
        <f>IFERROR(INDEX(G977:R977,1,MATCH(Parametres!$B$3,G$1:R$1,0)-1)*IF(OR(F977="L",F977="S",F977="I"),-1,1),"")</f>
        <v>0</v>
      </c>
      <c r="AM977" s="905">
        <f t="shared" si="94"/>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t="str">
        <f t="shared" si="95"/>
        <v>G714</v>
      </c>
      <c r="AU977" s="488" t="str">
        <f t="shared" si="96"/>
        <v>PLAQUE,TITRE,TAXES-SIMPLE</v>
      </c>
      <c r="AV977" s="899">
        <f>IFERROR(INDEX(V977:AG977,1,MATCH(Parametres!$B$3,V$1:AG$1,0)-1)*IF(OR(C977="L",C977="S",C977="I"),-1,1),"")</f>
        <v>0</v>
      </c>
      <c r="AW977" s="899">
        <f t="shared" si="97"/>
        <v>0</v>
      </c>
      <c r="AX977" s="899">
        <f>INDEX(V977:AG977,1,MATCH(Parametres!$B$3,V$1:AG$1,0))*IF(OR(C977="L",C977="S",C977="I"),-1,1)</f>
        <v>0</v>
      </c>
      <c r="AY977" s="487" t="s">
        <v>337</v>
      </c>
      <c r="AZ977" s="487" t="e">
        <f>+VLOOKUP($AJ977,Data_Validation!$A:$E,5,0)</f>
        <v>#N/A</v>
      </c>
    </row>
    <row r="978" spans="1:52" ht="15" customHeight="1">
      <c r="A978" s="706" t="s">
        <v>1148</v>
      </c>
      <c r="B978" s="706">
        <v>2026</v>
      </c>
      <c r="C978" s="706" t="s">
        <v>2973</v>
      </c>
      <c r="D978" s="706" t="s">
        <v>2974</v>
      </c>
      <c r="E978" s="706" t="s">
        <v>333</v>
      </c>
      <c r="F978" s="706" t="s">
        <v>1104</v>
      </c>
      <c r="G978" s="706">
        <v>0</v>
      </c>
      <c r="H978" s="706">
        <v>0</v>
      </c>
      <c r="I978" s="706">
        <v>0</v>
      </c>
      <c r="J978" s="706">
        <v>0</v>
      </c>
      <c r="K978" s="706">
        <v>0</v>
      </c>
      <c r="L978" s="706">
        <v>0</v>
      </c>
      <c r="M978" s="706">
        <v>0</v>
      </c>
      <c r="N978" s="706">
        <v>0</v>
      </c>
      <c r="O978" s="706">
        <v>0</v>
      </c>
      <c r="P978" s="706">
        <v>0</v>
      </c>
      <c r="Q978" s="706">
        <v>0</v>
      </c>
      <c r="R978" s="706">
        <v>0</v>
      </c>
      <c r="S978" s="706">
        <v>0</v>
      </c>
      <c r="T978" s="706">
        <v>0</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G715</v>
      </c>
      <c r="AK978" s="905" t="str">
        <f t="shared" si="93"/>
        <v>TRAVAUX GRACIEUX  -SIMPLE</v>
      </c>
      <c r="AL978" s="905">
        <f>IFERROR(INDEX(G978:R978,1,MATCH(Parametres!$B$3,G$1:R$1,0)-1)*IF(OR(F978="L",F978="S",F978="I"),-1,1),"")</f>
        <v>0</v>
      </c>
      <c r="AM978" s="905">
        <f t="shared" si="94"/>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t="str">
        <f t="shared" si="95"/>
        <v>G715</v>
      </c>
      <c r="AU978" s="488" t="str">
        <f t="shared" si="96"/>
        <v>TRAVAUX GRACIEUX  -SIMPLE</v>
      </c>
      <c r="AV978" s="899">
        <f>IFERROR(INDEX(V978:AG978,1,MATCH(Parametres!$B$3,V$1:AG$1,0)-1)*IF(OR(C978="L",C978="S",C978="I"),-1,1),"")</f>
        <v>0</v>
      </c>
      <c r="AW978" s="899">
        <f t="shared" si="97"/>
        <v>0</v>
      </c>
      <c r="AX978" s="899">
        <f>INDEX(V978:AG978,1,MATCH(Parametres!$B$3,V$1:AG$1,0))*IF(OR(C978="L",C978="S",C978="I"),-1,1)</f>
        <v>0</v>
      </c>
      <c r="AY978" s="487" t="s">
        <v>337</v>
      </c>
      <c r="AZ978" s="487" t="e">
        <f>+VLOOKUP($AJ978,Data_Validation!$A:$E,5,0)</f>
        <v>#N/A</v>
      </c>
    </row>
    <row r="979" spans="1:52" ht="15" customHeight="1">
      <c r="A979" s="706" t="s">
        <v>1148</v>
      </c>
      <c r="B979" s="706">
        <v>2026</v>
      </c>
      <c r="C979" s="706" t="s">
        <v>2975</v>
      </c>
      <c r="D979" s="706" t="s">
        <v>2976</v>
      </c>
      <c r="E979" s="706" t="s">
        <v>333</v>
      </c>
      <c r="F979" s="706" t="s">
        <v>1104</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G716</v>
      </c>
      <c r="AK979" s="905" t="str">
        <f t="shared" si="93"/>
        <v>REPAR.&amp; ENTRETIEN -SIMPLE</v>
      </c>
      <c r="AL979" s="905">
        <f>IFERROR(INDEX(G979:R979,1,MATCH(Parametres!$B$3,G$1:R$1,0)-1)*IF(OR(F979="L",F979="S",F979="I"),-1,1),"")</f>
        <v>0</v>
      </c>
      <c r="AM979" s="905">
        <f t="shared" si="94"/>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t="str">
        <f t="shared" si="95"/>
        <v>G716</v>
      </c>
      <c r="AU979" s="488" t="str">
        <f t="shared" si="96"/>
        <v>REPAR.&amp; ENTRETIEN -SIMPLE</v>
      </c>
      <c r="AV979" s="899">
        <f>IFERROR(INDEX(V979:AG979,1,MATCH(Parametres!$B$3,V$1:AG$1,0)-1)*IF(OR(C979="L",C979="S",C979="I"),-1,1),"")</f>
        <v>0</v>
      </c>
      <c r="AW979" s="899">
        <f t="shared" si="97"/>
        <v>0</v>
      </c>
      <c r="AX979" s="899">
        <f>INDEX(V979:AG979,1,MATCH(Parametres!$B$3,V$1:AG$1,0))*IF(OR(C979="L",C979="S",C979="I"),-1,1)</f>
        <v>0</v>
      </c>
      <c r="AY979" s="487" t="s">
        <v>337</v>
      </c>
      <c r="AZ979" s="487" t="e">
        <f>+VLOOKUP($AJ979,Data_Validation!$A:$E,5,0)</f>
        <v>#N/A</v>
      </c>
    </row>
    <row r="980" spans="1:52" ht="15" customHeight="1">
      <c r="A980" s="706" t="s">
        <v>1148</v>
      </c>
      <c r="B980" s="706">
        <v>2026</v>
      </c>
      <c r="C980" s="706" t="s">
        <v>2977</v>
      </c>
      <c r="D980" s="706" t="s">
        <v>2978</v>
      </c>
      <c r="E980" s="706" t="s">
        <v>333</v>
      </c>
      <c r="F980" s="706" t="s">
        <v>1104</v>
      </c>
      <c r="G980" s="706">
        <v>0</v>
      </c>
      <c r="H980" s="706">
        <v>0</v>
      </c>
      <c r="I980" s="706">
        <v>0</v>
      </c>
      <c r="J980" s="706">
        <v>0</v>
      </c>
      <c r="K980" s="706">
        <v>0</v>
      </c>
      <c r="L980" s="706">
        <v>0</v>
      </c>
      <c r="M980" s="706">
        <v>0</v>
      </c>
      <c r="N980" s="706">
        <v>0</v>
      </c>
      <c r="O980" s="706">
        <v>0</v>
      </c>
      <c r="P980" s="706">
        <v>0</v>
      </c>
      <c r="Q980" s="706">
        <v>0</v>
      </c>
      <c r="R980" s="706">
        <v>0</v>
      </c>
      <c r="S980" s="706">
        <v>0</v>
      </c>
      <c r="T980" s="706">
        <v>0</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G717</v>
      </c>
      <c r="AK980" s="905" t="str">
        <f t="shared" si="93"/>
        <v>PRIX LOC.UNIT.S-LOUE-SIMP</v>
      </c>
      <c r="AL980" s="905">
        <f>IFERROR(INDEX(G980:R980,1,MATCH(Parametres!$B$3,G$1:R$1,0)-1)*IF(OR(F980="L",F980="S",F980="I"),-1,1),"")</f>
        <v>0</v>
      </c>
      <c r="AM980" s="905">
        <f t="shared" si="94"/>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t="str">
        <f t="shared" si="95"/>
        <v>G717</v>
      </c>
      <c r="AU980" s="488" t="str">
        <f t="shared" si="96"/>
        <v>PRIX LOC.UNIT.S-LOUE-SIMP</v>
      </c>
      <c r="AV980" s="899">
        <f>IFERROR(INDEX(V980:AG980,1,MATCH(Parametres!$B$3,V$1:AG$1,0)-1)*IF(OR(C980="L",C980="S",C980="I"),-1,1),"")</f>
        <v>0</v>
      </c>
      <c r="AW980" s="899">
        <f t="shared" si="97"/>
        <v>0</v>
      </c>
      <c r="AX980" s="899">
        <f>INDEX(V980:AG980,1,MATCH(Parametres!$B$3,V$1:AG$1,0))*IF(OR(C980="L",C980="S",C980="I"),-1,1)</f>
        <v>0</v>
      </c>
      <c r="AY980" s="487" t="s">
        <v>337</v>
      </c>
      <c r="AZ980" s="487" t="e">
        <f>+VLOOKUP($AJ980,Data_Validation!$A:$E,5,0)</f>
        <v>#N/A</v>
      </c>
    </row>
    <row r="981" spans="1:52" ht="15" customHeight="1">
      <c r="A981" s="706" t="s">
        <v>1148</v>
      </c>
      <c r="B981" s="706">
        <v>2026</v>
      </c>
      <c r="C981" s="706" t="s">
        <v>2979</v>
      </c>
      <c r="D981" s="706" t="s">
        <v>2980</v>
      </c>
      <c r="E981" s="706" t="s">
        <v>333</v>
      </c>
      <c r="F981" s="706" t="s">
        <v>1104</v>
      </c>
      <c r="G981" s="706">
        <v>0</v>
      </c>
      <c r="H981" s="706">
        <v>0</v>
      </c>
      <c r="I981" s="706">
        <v>0</v>
      </c>
      <c r="J981" s="706">
        <v>0</v>
      </c>
      <c r="K981" s="706">
        <v>0</v>
      </c>
      <c r="L981" s="706">
        <v>0</v>
      </c>
      <c r="M981" s="706">
        <v>0</v>
      </c>
      <c r="N981" s="706">
        <v>0</v>
      </c>
      <c r="O981" s="706">
        <v>0</v>
      </c>
      <c r="P981" s="706">
        <v>0</v>
      </c>
      <c r="Q981" s="706">
        <v>0</v>
      </c>
      <c r="R981" s="706">
        <v>0</v>
      </c>
      <c r="S981" s="706">
        <v>0</v>
      </c>
      <c r="T981" s="706">
        <v>0</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G718</v>
      </c>
      <c r="AK981" s="905" t="str">
        <f t="shared" si="93"/>
        <v>AUTRES            -SIMPLE</v>
      </c>
      <c r="AL981" s="905">
        <f>IFERROR(INDEX(G981:R981,1,MATCH(Parametres!$B$3,G$1:R$1,0)-1)*IF(OR(F981="L",F981="S",F981="I"),-1,1),"")</f>
        <v>0</v>
      </c>
      <c r="AM981" s="905">
        <f t="shared" si="94"/>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t="str">
        <f t="shared" si="95"/>
        <v>G718</v>
      </c>
      <c r="AU981" s="488" t="str">
        <f t="shared" si="96"/>
        <v>AUTRES            -SIMPLE</v>
      </c>
      <c r="AV981" s="899">
        <f>IFERROR(INDEX(V981:AG981,1,MATCH(Parametres!$B$3,V$1:AG$1,0)-1)*IF(OR(C981="L",C981="S",C981="I"),-1,1),"")</f>
        <v>0</v>
      </c>
      <c r="AW981" s="899">
        <f t="shared" si="97"/>
        <v>0</v>
      </c>
      <c r="AX981" s="899">
        <f>INDEX(V981:AG981,1,MATCH(Parametres!$B$3,V$1:AG$1,0))*IF(OR(C981="L",C981="S",C981="I"),-1,1)</f>
        <v>0</v>
      </c>
      <c r="AY981" s="487" t="s">
        <v>337</v>
      </c>
      <c r="AZ981" s="487" t="e">
        <f>+VLOOKUP($AJ981,Data_Validation!$A:$E,5,0)</f>
        <v>#N/A</v>
      </c>
    </row>
    <row r="982" spans="1:52" ht="15" customHeight="1">
      <c r="A982" s="706" t="s">
        <v>1148</v>
      </c>
      <c r="B982" s="706">
        <v>2026</v>
      </c>
      <c r="C982" s="706" t="s">
        <v>2981</v>
      </c>
      <c r="D982" s="706" t="s">
        <v>2982</v>
      </c>
      <c r="E982" s="706" t="s">
        <v>333</v>
      </c>
      <c r="F982" s="706" t="s">
        <v>1104</v>
      </c>
      <c r="G982" s="706">
        <v>0</v>
      </c>
      <c r="H982" s="706">
        <v>0</v>
      </c>
      <c r="I982" s="706">
        <v>0</v>
      </c>
      <c r="J982" s="706">
        <v>0</v>
      </c>
      <c r="K982" s="706">
        <v>0</v>
      </c>
      <c r="L982" s="706">
        <v>0</v>
      </c>
      <c r="M982" s="706">
        <v>0</v>
      </c>
      <c r="N982" s="706">
        <v>0</v>
      </c>
      <c r="O982" s="706">
        <v>0</v>
      </c>
      <c r="P982" s="706">
        <v>0</v>
      </c>
      <c r="Q982" s="706">
        <v>0</v>
      </c>
      <c r="R982" s="706">
        <v>0</v>
      </c>
      <c r="S982" s="706">
        <v>0</v>
      </c>
      <c r="T982" s="706">
        <v>0</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G721</v>
      </c>
      <c r="AK982" s="905" t="str">
        <f t="shared" si="93"/>
        <v>INTERETS          -ALEATO</v>
      </c>
      <c r="AL982" s="905">
        <f>IFERROR(INDEX(G982:R982,1,MATCH(Parametres!$B$3,G$1:R$1,0)-1)*IF(OR(F982="L",F982="S",F982="I"),-1,1),"")</f>
        <v>0</v>
      </c>
      <c r="AM982" s="905">
        <f t="shared" si="94"/>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t="str">
        <f t="shared" si="95"/>
        <v>G721</v>
      </c>
      <c r="AU982" s="488" t="str">
        <f t="shared" si="96"/>
        <v>INTERETS          -ALEATO</v>
      </c>
      <c r="AV982" s="899">
        <f>IFERROR(INDEX(V982:AG982,1,MATCH(Parametres!$B$3,V$1:AG$1,0)-1)*IF(OR(C982="L",C982="S",C982="I"),-1,1),"")</f>
        <v>0</v>
      </c>
      <c r="AW982" s="899">
        <f t="shared" si="97"/>
        <v>0</v>
      </c>
      <c r="AX982" s="899">
        <f>INDEX(V982:AG982,1,MATCH(Parametres!$B$3,V$1:AG$1,0))*IF(OR(C982="L",C982="S",C982="I"),-1,1)</f>
        <v>0</v>
      </c>
      <c r="AY982" s="487" t="s">
        <v>337</v>
      </c>
      <c r="AZ982" s="487" t="e">
        <f>+VLOOKUP($AJ982,Data_Validation!$A:$E,5,0)</f>
        <v>#N/A</v>
      </c>
    </row>
    <row r="983" spans="1:52" ht="15" customHeight="1">
      <c r="A983" s="706" t="s">
        <v>1148</v>
      </c>
      <c r="B983" s="706">
        <v>2026</v>
      </c>
      <c r="C983" s="706" t="s">
        <v>2983</v>
      </c>
      <c r="D983" s="706" t="s">
        <v>2984</v>
      </c>
      <c r="E983" s="706" t="s">
        <v>333</v>
      </c>
      <c r="F983" s="706" t="s">
        <v>1104</v>
      </c>
      <c r="G983" s="706">
        <v>0</v>
      </c>
      <c r="H983" s="706">
        <v>0</v>
      </c>
      <c r="I983" s="706">
        <v>0</v>
      </c>
      <c r="J983" s="706">
        <v>0</v>
      </c>
      <c r="K983" s="706">
        <v>0</v>
      </c>
      <c r="L983" s="706">
        <v>0</v>
      </c>
      <c r="M983" s="706">
        <v>0</v>
      </c>
      <c r="N983" s="706">
        <v>0</v>
      </c>
      <c r="O983" s="706">
        <v>0</v>
      </c>
      <c r="P983" s="706">
        <v>0</v>
      </c>
      <c r="Q983" s="706">
        <v>0</v>
      </c>
      <c r="R983" s="706">
        <v>0</v>
      </c>
      <c r="S983" s="706">
        <v>0</v>
      </c>
      <c r="T983" s="706">
        <v>0</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G722</v>
      </c>
      <c r="AK983" s="905" t="str">
        <f t="shared" si="93"/>
        <v>AMORTISSEMENT     -ALEATO</v>
      </c>
      <c r="AL983" s="905">
        <f>IFERROR(INDEX(G983:R983,1,MATCH(Parametres!$B$3,G$1:R$1,0)-1)*IF(OR(F983="L",F983="S",F983="I"),-1,1),"")</f>
        <v>0</v>
      </c>
      <c r="AM983" s="905">
        <f t="shared" si="94"/>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t="str">
        <f t="shared" si="95"/>
        <v>G722</v>
      </c>
      <c r="AU983" s="488" t="str">
        <f t="shared" si="96"/>
        <v>AMORTISSEMENT     -ALEATO</v>
      </c>
      <c r="AV983" s="899">
        <f>IFERROR(INDEX(V983:AG983,1,MATCH(Parametres!$B$3,V$1:AG$1,0)-1)*IF(OR(C983="L",C983="S",C983="I"),-1,1),"")</f>
        <v>0</v>
      </c>
      <c r="AW983" s="899">
        <f t="shared" si="97"/>
        <v>0</v>
      </c>
      <c r="AX983" s="899">
        <f>INDEX(V983:AG983,1,MATCH(Parametres!$B$3,V$1:AG$1,0))*IF(OR(C983="L",C983="S",C983="I"),-1,1)</f>
        <v>0</v>
      </c>
      <c r="AY983" s="487" t="s">
        <v>337</v>
      </c>
      <c r="AZ983" s="487" t="e">
        <f>+VLOOKUP($AJ983,Data_Validation!$A:$E,5,0)</f>
        <v>#N/A</v>
      </c>
    </row>
    <row r="984" spans="1:52" ht="15" customHeight="1">
      <c r="A984" s="706" t="s">
        <v>1148</v>
      </c>
      <c r="B984" s="706">
        <v>2026</v>
      </c>
      <c r="C984" s="706" t="s">
        <v>2985</v>
      </c>
      <c r="D984" s="706" t="s">
        <v>2986</v>
      </c>
      <c r="E984" s="706" t="s">
        <v>333</v>
      </c>
      <c r="F984" s="706" t="s">
        <v>1104</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si="92"/>
        <v>G723</v>
      </c>
      <c r="AK984" s="905" t="str">
        <f t="shared" si="93"/>
        <v>ASSUR.VEH EN SERV.-ALEATO</v>
      </c>
      <c r="AL984" s="905">
        <f>IFERROR(INDEX(G984:R984,1,MATCH(Parametres!$B$3,G$1:R$1,0)-1)*IF(OR(F984="L",F984="S",F984="I"),-1,1),"")</f>
        <v>0</v>
      </c>
      <c r="AM984" s="905">
        <f t="shared" si="94"/>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t="str">
        <f t="shared" si="95"/>
        <v>G723</v>
      </c>
      <c r="AU984" s="488" t="str">
        <f t="shared" si="96"/>
        <v>ASSUR.VEH EN SERV.-ALEATO</v>
      </c>
      <c r="AV984" s="899">
        <f>IFERROR(INDEX(V984:AG984,1,MATCH(Parametres!$B$3,V$1:AG$1,0)-1)*IF(OR(C984="L",C984="S",C984="I"),-1,1),"")</f>
        <v>0</v>
      </c>
      <c r="AW984" s="899">
        <f t="shared" si="97"/>
        <v>0</v>
      </c>
      <c r="AX984" s="899">
        <f>INDEX(V984:AG984,1,MATCH(Parametres!$B$3,V$1:AG$1,0))*IF(OR(C984="L",C984="S",C984="I"),-1,1)</f>
        <v>0</v>
      </c>
      <c r="AY984" s="487" t="s">
        <v>337</v>
      </c>
      <c r="AZ984" s="487" t="e">
        <f>+VLOOKUP($AJ984,Data_Validation!$A:$E,5,0)</f>
        <v>#N/A</v>
      </c>
    </row>
    <row r="985" spans="1:52" ht="15" customHeight="1">
      <c r="A985" s="706" t="s">
        <v>1148</v>
      </c>
      <c r="B985" s="706">
        <v>2026</v>
      </c>
      <c r="C985" s="706" t="s">
        <v>2987</v>
      </c>
      <c r="D985" s="706" t="s">
        <v>2988</v>
      </c>
      <c r="E985" s="706" t="s">
        <v>333</v>
      </c>
      <c r="F985" s="706" t="s">
        <v>1104</v>
      </c>
      <c r="G985" s="706">
        <v>0</v>
      </c>
      <c r="H985" s="706">
        <v>0</v>
      </c>
      <c r="I985" s="706">
        <v>0</v>
      </c>
      <c r="J985" s="706">
        <v>0</v>
      </c>
      <c r="K985" s="706">
        <v>0</v>
      </c>
      <c r="L985" s="706">
        <v>0</v>
      </c>
      <c r="M985" s="706">
        <v>0</v>
      </c>
      <c r="N985" s="706">
        <v>0</v>
      </c>
      <c r="O985" s="706">
        <v>0</v>
      </c>
      <c r="P985" s="706">
        <v>0</v>
      </c>
      <c r="Q985" s="706">
        <v>0</v>
      </c>
      <c r="R985" s="706">
        <v>0</v>
      </c>
      <c r="S985" s="706">
        <v>0</v>
      </c>
      <c r="T985" s="706">
        <v>0</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2"/>
        <v>G724</v>
      </c>
      <c r="AK985" s="905" t="str">
        <f t="shared" si="93"/>
        <v>PLAQUE,TITRE,TAXES-ALEATO</v>
      </c>
      <c r="AL985" s="905">
        <f>IFERROR(INDEX(G985:R985,1,MATCH(Parametres!$B$3,G$1:R$1,0)-1)*IF(OR(F985="L",F985="S",F985="I"),-1,1),"")</f>
        <v>0</v>
      </c>
      <c r="AM985" s="905">
        <f t="shared" si="94"/>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t="str">
        <f t="shared" si="95"/>
        <v>G724</v>
      </c>
      <c r="AU985" s="488" t="str">
        <f t="shared" si="96"/>
        <v>PLAQUE,TITRE,TAXES-ALEATO</v>
      </c>
      <c r="AV985" s="899">
        <f>IFERROR(INDEX(V985:AG985,1,MATCH(Parametres!$B$3,V$1:AG$1,0)-1)*IF(OR(C985="L",C985="S",C985="I"),-1,1),"")</f>
        <v>0</v>
      </c>
      <c r="AW985" s="899">
        <f t="shared" si="97"/>
        <v>0</v>
      </c>
      <c r="AX985" s="899">
        <f>INDEX(V985:AG985,1,MATCH(Parametres!$B$3,V$1:AG$1,0))*IF(OR(C985="L",C985="S",C985="I"),-1,1)</f>
        <v>0</v>
      </c>
      <c r="AY985" s="487" t="s">
        <v>337</v>
      </c>
      <c r="AZ985" s="487" t="e">
        <f>+VLOOKUP($AJ985,Data_Validation!$A:$E,5,0)</f>
        <v>#N/A</v>
      </c>
    </row>
    <row r="986" spans="1:52" ht="15" customHeight="1">
      <c r="A986" s="706" t="s">
        <v>1148</v>
      </c>
      <c r="B986" s="706">
        <v>2026</v>
      </c>
      <c r="C986" s="706" t="s">
        <v>2989</v>
      </c>
      <c r="D986" s="706" t="s">
        <v>2990</v>
      </c>
      <c r="E986" s="706" t="s">
        <v>333</v>
      </c>
      <c r="F986" s="706" t="s">
        <v>1104</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2"/>
        <v>G72402</v>
      </c>
      <c r="AK986" s="905" t="str">
        <f t="shared" si="93"/>
        <v>ENTRETIEN COURT TERME</v>
      </c>
      <c r="AL986" s="905">
        <f>IFERROR(INDEX(G986:R986,1,MATCH(Parametres!$B$3,G$1:R$1,0)-1)*IF(OR(F986="L",F986="S",F986="I"),-1,1),"")</f>
        <v>0</v>
      </c>
      <c r="AM986" s="905">
        <f t="shared" si="94"/>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95"/>
        <v>G72402</v>
      </c>
      <c r="AU986" s="488" t="str">
        <f t="shared" si="96"/>
        <v>ENTRETIEN COURT TERME</v>
      </c>
      <c r="AV986" s="899">
        <f>IFERROR(INDEX(V986:AG986,1,MATCH(Parametres!$B$3,V$1:AG$1,0)-1)*IF(OR(C986="L",C986="S",C986="I"),-1,1),"")</f>
        <v>0</v>
      </c>
      <c r="AW986" s="899">
        <f t="shared" si="97"/>
        <v>0</v>
      </c>
      <c r="AX986" s="899">
        <f>INDEX(V986:AG986,1,MATCH(Parametres!$B$3,V$1:AG$1,0))*IF(OR(C986="L",C986="S",C986="I"),-1,1)</f>
        <v>0</v>
      </c>
      <c r="AY986" s="487" t="s">
        <v>337</v>
      </c>
      <c r="AZ986" s="487" t="e">
        <f>+VLOOKUP($AJ986,Data_Validation!$A:$E,5,0)</f>
        <v>#N/A</v>
      </c>
    </row>
    <row r="987" spans="1:52" ht="15" customHeight="1">
      <c r="A987" s="706" t="s">
        <v>1148</v>
      </c>
      <c r="B987" s="706">
        <v>2026</v>
      </c>
      <c r="C987" s="706" t="s">
        <v>2991</v>
      </c>
      <c r="D987" s="706" t="s">
        <v>2992</v>
      </c>
      <c r="E987" s="706" t="s">
        <v>333</v>
      </c>
      <c r="F987" s="706" t="s">
        <v>1104</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ref="AJ987:AJ989" si="98">C987</f>
        <v>G725</v>
      </c>
      <c r="AK987" s="905" t="str">
        <f t="shared" ref="AK987:AK989" si="99">D987</f>
        <v>TRAVAUX GRACIEUX  -ALEATO</v>
      </c>
      <c r="AL987" s="905">
        <f>IFERROR(INDEX(G987:R987,1,MATCH(Parametres!$B$3,G$1:R$1,0)-1)*IF(OR(F987="L",F987="S",F987="I"),-1,1),"")</f>
        <v>0</v>
      </c>
      <c r="AM987" s="905">
        <f t="shared" ref="AM987:AM989" si="100">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t="str">
        <f t="shared" ref="AT987:AT989" si="101">C987</f>
        <v>G725</v>
      </c>
      <c r="AU987" s="488" t="str">
        <f t="shared" ref="AU987:AU989" si="102">D987</f>
        <v>TRAVAUX GRACIEUX  -ALEATO</v>
      </c>
      <c r="AV987" s="899">
        <f>IFERROR(INDEX(V987:AG987,1,MATCH(Parametres!$B$3,V$1:AG$1,0)-1)*IF(OR(C987="L",C987="S",C987="I"),-1,1),"")</f>
        <v>0</v>
      </c>
      <c r="AW987" s="899">
        <f t="shared" ref="AW987:AW989" si="103">AX987-AV987</f>
        <v>0</v>
      </c>
      <c r="AX987" s="899">
        <f>INDEX(V987:AG987,1,MATCH(Parametres!$B$3,V$1:AG$1,0))*IF(OR(C987="L",C987="S",C987="I"),-1,1)</f>
        <v>0</v>
      </c>
      <c r="AY987" s="487" t="s">
        <v>337</v>
      </c>
      <c r="AZ987" s="487" t="e">
        <f>+VLOOKUP($AJ987,Data_Validation!$A:$E,5,0)</f>
        <v>#N/A</v>
      </c>
    </row>
    <row r="988" spans="1:52" ht="15" customHeight="1">
      <c r="A988" s="706" t="s">
        <v>1148</v>
      </c>
      <c r="B988" s="706">
        <v>2026</v>
      </c>
      <c r="C988" s="706" t="s">
        <v>2993</v>
      </c>
      <c r="D988" s="706" t="s">
        <v>2994</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G726</v>
      </c>
      <c r="AK988" s="905" t="str">
        <f t="shared" si="99"/>
        <v>REPAR.&amp; ENTRETIEN -ALEATO</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G726</v>
      </c>
      <c r="AU988" s="488" t="str">
        <f t="shared" si="102"/>
        <v>REPAR.&amp; ENTRETIEN -ALEATO</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customHeight="1">
      <c r="A989" s="706" t="s">
        <v>1148</v>
      </c>
      <c r="B989" s="706">
        <v>2026</v>
      </c>
      <c r="C989" s="706" t="s">
        <v>2995</v>
      </c>
      <c r="D989" s="706" t="s">
        <v>2996</v>
      </c>
      <c r="E989" s="706" t="s">
        <v>333</v>
      </c>
      <c r="F989" s="706" t="s">
        <v>1104</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G727</v>
      </c>
      <c r="AK989" s="905" t="str">
        <f t="shared" si="99"/>
        <v>PRIX LOC.UNIT.S-LOUE-ALEA</v>
      </c>
      <c r="AL989" s="905">
        <f>IFERROR(INDEX(G989:R989,1,MATCH(Parametres!$B$3,G$1:R$1,0)-1)*IF(OR(F989="L",F989="S",F989="I"),-1,1),"")</f>
        <v>0</v>
      </c>
      <c r="AM989" s="905">
        <f t="shared" si="100"/>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t="str">
        <f t="shared" si="101"/>
        <v>G727</v>
      </c>
      <c r="AU989" s="488" t="str">
        <f t="shared" si="102"/>
        <v>PRIX LOC.UNIT.S-LOUE-ALEA</v>
      </c>
      <c r="AV989" s="899">
        <f>IFERROR(INDEX(V989:AG989,1,MATCH(Parametres!$B$3,V$1:AG$1,0)-1)*IF(OR(C989="L",C989="S",C989="I"),-1,1),"")</f>
        <v>0</v>
      </c>
      <c r="AW989" s="899">
        <f t="shared" si="103"/>
        <v>0</v>
      </c>
      <c r="AX989" s="899">
        <f>INDEX(V989:AG989,1,MATCH(Parametres!$B$3,V$1:AG$1,0))*IF(OR(C989="L",C989="S",C989="I"),-1,1)</f>
        <v>0</v>
      </c>
      <c r="AY989" s="487" t="s">
        <v>337</v>
      </c>
      <c r="AZ989" s="487" t="e">
        <f>+VLOOKUP($AJ989,Data_Validation!$A:$E,5,0)</f>
        <v>#N/A</v>
      </c>
    </row>
    <row r="990" spans="1:52" ht="15" customHeight="1">
      <c r="A990" s="706" t="s">
        <v>1148</v>
      </c>
      <c r="B990" s="706">
        <v>2026</v>
      </c>
      <c r="C990" s="706" t="s">
        <v>2997</v>
      </c>
      <c r="D990" s="706" t="s">
        <v>2998</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ref="AJ990:AJ1012" si="104">C990</f>
        <v>G728</v>
      </c>
      <c r="AK990" s="905" t="str">
        <f t="shared" ref="AK990:AK1012" si="105">D990</f>
        <v>AUTRES            -ALEATO</v>
      </c>
      <c r="AL990" s="905">
        <f>IFERROR(INDEX(G990:R990,1,MATCH(Parametres!$B$3,G$1:R$1,0)-1)*IF(OR(F990="L",F990="S",F990="I"),-1,1),"")</f>
        <v>0</v>
      </c>
      <c r="AM990" s="905">
        <f t="shared" ref="AM990:AM1012" si="106">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ref="AT990:AT1012" si="107">C990</f>
        <v>G728</v>
      </c>
      <c r="AU990" s="488" t="str">
        <f t="shared" ref="AU990:AU1012" si="108">D990</f>
        <v>AUTRES            -ALEATO</v>
      </c>
      <c r="AV990" s="899">
        <f>IFERROR(INDEX(V990:AG990,1,MATCH(Parametres!$B$3,V$1:AG$1,0)-1)*IF(OR(C990="L",C990="S",C990="I"),-1,1),"")</f>
        <v>0</v>
      </c>
      <c r="AW990" s="899">
        <f t="shared" ref="AW990:AW1012" si="109">AX990-AV990</f>
        <v>0</v>
      </c>
      <c r="AX990" s="899">
        <f>INDEX(V990:AG990,1,MATCH(Parametres!$B$3,V$1:AG$1,0))*IF(OR(C990="L",C990="S",C990="I"),-1,1)</f>
        <v>0</v>
      </c>
      <c r="AY990" s="487" t="s">
        <v>337</v>
      </c>
      <c r="AZ990" s="487" t="e">
        <f>+VLOOKUP($AJ990,Data_Validation!$A:$E,5,0)</f>
        <v>#N/A</v>
      </c>
    </row>
    <row r="991" spans="1:52" ht="15" customHeight="1">
      <c r="A991" s="706" t="s">
        <v>1148</v>
      </c>
      <c r="B991" s="706">
        <v>2026</v>
      </c>
      <c r="C991" s="706" t="s">
        <v>2999</v>
      </c>
      <c r="D991" s="706" t="s">
        <v>3000</v>
      </c>
      <c r="E991" s="706" t="s">
        <v>333</v>
      </c>
      <c r="F991" s="706" t="s">
        <v>1104</v>
      </c>
      <c r="G991" s="706">
        <v>0</v>
      </c>
      <c r="H991" s="706">
        <v>0</v>
      </c>
      <c r="I991" s="706">
        <v>0</v>
      </c>
      <c r="J991" s="706">
        <v>0</v>
      </c>
      <c r="K991" s="706">
        <v>0</v>
      </c>
      <c r="L991" s="706">
        <v>0</v>
      </c>
      <c r="M991" s="706">
        <v>0</v>
      </c>
      <c r="N991" s="706">
        <v>0</v>
      </c>
      <c r="O991" s="706">
        <v>0</v>
      </c>
      <c r="P991" s="706">
        <v>0</v>
      </c>
      <c r="Q991" s="706">
        <v>0</v>
      </c>
      <c r="R991" s="706">
        <v>0</v>
      </c>
      <c r="S991" s="706">
        <v>0</v>
      </c>
      <c r="T991" s="706">
        <v>0</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104"/>
        <v>G73000</v>
      </c>
      <c r="AK991" s="905" t="str">
        <f t="shared" si="105"/>
        <v>COUT VTES VEHICULES CEDES</v>
      </c>
      <c r="AL991" s="905">
        <f>IFERROR(INDEX(G991:R991,1,MATCH(Parametres!$B$3,G$1:R$1,0)-1)*IF(OR(F991="L",F991="S",F991="I"),-1,1),"")</f>
        <v>0</v>
      </c>
      <c r="AM991" s="905">
        <f t="shared" si="106"/>
        <v>0</v>
      </c>
      <c r="AN991" s="905">
        <f>INDEX(G991:R991,1,MATCH(Parametres!$B$3,G$1:R$1,0))*IF(OR(F991="L",F991="S",F991="I"),-1,1)</f>
        <v>0</v>
      </c>
      <c r="AO991" s="487" t="str">
        <f>+VLOOKUP($AJ991,Data_Validation!$A:$D,1,0)</f>
        <v>G73000</v>
      </c>
      <c r="AP991" s="487">
        <f>+VLOOKUP($AJ991,Data_Validation!$A:$D,3,0)</f>
        <v>0</v>
      </c>
      <c r="AQ991" s="487">
        <f>+VLOOKUP($AJ991,Data_Validation!$A:$D,4,0)</f>
        <v>0</v>
      </c>
      <c r="AR991" s="487" t="s">
        <v>299</v>
      </c>
      <c r="AS991" s="487">
        <f>+VLOOKUP($AJ991,Data_Validation!$A:$E,5,0)</f>
        <v>0</v>
      </c>
      <c r="AT991" s="904" t="str">
        <f t="shared" si="107"/>
        <v>G73000</v>
      </c>
      <c r="AU991" s="488" t="str">
        <f t="shared" si="108"/>
        <v>COUT VTES VEHICULES CEDES</v>
      </c>
      <c r="AV991" s="899">
        <f>IFERROR(INDEX(V991:AG991,1,MATCH(Parametres!$B$3,V$1:AG$1,0)-1)*IF(OR(C991="L",C991="S",C991="I"),-1,1),"")</f>
        <v>0</v>
      </c>
      <c r="AW991" s="899">
        <f t="shared" si="109"/>
        <v>0</v>
      </c>
      <c r="AX991" s="899">
        <f>INDEX(V991:AG991,1,MATCH(Parametres!$B$3,V$1:AG$1,0))*IF(OR(C991="L",C991="S",C991="I"),-1,1)</f>
        <v>0</v>
      </c>
      <c r="AY991" s="487" t="s">
        <v>337</v>
      </c>
      <c r="AZ991" s="487">
        <f>+VLOOKUP($AJ991,Data_Validation!$A:$E,5,0)</f>
        <v>0</v>
      </c>
    </row>
    <row r="992" spans="1:52" ht="15" customHeight="1">
      <c r="A992" s="706" t="s">
        <v>1148</v>
      </c>
      <c r="B992" s="706">
        <v>2026</v>
      </c>
      <c r="C992" s="706" t="s">
        <v>3001</v>
      </c>
      <c r="D992" s="706" t="s">
        <v>3002</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104"/>
        <v>G731</v>
      </c>
      <c r="AK992" s="905" t="str">
        <f t="shared" si="105"/>
        <v>INTERETS             -C/T</v>
      </c>
      <c r="AL992" s="905">
        <f>IFERROR(INDEX(G992:R992,1,MATCH(Parametres!$B$3,G$1:R$1,0)-1)*IF(OR(F992="L",F992="S",F992="I"),-1,1),"")</f>
        <v>0</v>
      </c>
      <c r="AM992" s="905">
        <f t="shared" si="106"/>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7"/>
        <v>G731</v>
      </c>
      <c r="AU992" s="488" t="str">
        <f t="shared" si="108"/>
        <v>INTERETS             -C/T</v>
      </c>
      <c r="AV992" s="899">
        <f>IFERROR(INDEX(V992:AG992,1,MATCH(Parametres!$B$3,V$1:AG$1,0)-1)*IF(OR(C992="L",C992="S",C992="I"),-1,1),"")</f>
        <v>0</v>
      </c>
      <c r="AW992" s="899">
        <f t="shared" si="109"/>
        <v>0</v>
      </c>
      <c r="AX992" s="899">
        <f>INDEX(V992:AG992,1,MATCH(Parametres!$B$3,V$1:AG$1,0))*IF(OR(C992="L",C992="S",C992="I"),-1,1)</f>
        <v>0</v>
      </c>
      <c r="AY992" s="487" t="s">
        <v>337</v>
      </c>
      <c r="AZ992" s="487" t="e">
        <f>+VLOOKUP($AJ992,Data_Validation!$A:$E,5,0)</f>
        <v>#N/A</v>
      </c>
    </row>
    <row r="993" spans="1:52" ht="15" customHeight="1">
      <c r="A993" s="706" t="s">
        <v>1148</v>
      </c>
      <c r="B993" s="706">
        <v>2026</v>
      </c>
      <c r="C993" s="706" t="s">
        <v>3003</v>
      </c>
      <c r="D993" s="706" t="s">
        <v>3004</v>
      </c>
      <c r="E993" s="706" t="s">
        <v>333</v>
      </c>
      <c r="F993" s="706" t="s">
        <v>1104</v>
      </c>
      <c r="G993" s="706">
        <v>0</v>
      </c>
      <c r="H993" s="706">
        <v>0</v>
      </c>
      <c r="I993" s="706">
        <v>0</v>
      </c>
      <c r="J993" s="706">
        <v>0</v>
      </c>
      <c r="K993" s="706">
        <v>0</v>
      </c>
      <c r="L993" s="706">
        <v>0</v>
      </c>
      <c r="M993" s="706">
        <v>0</v>
      </c>
      <c r="N993" s="706">
        <v>0</v>
      </c>
      <c r="O993" s="706">
        <v>0</v>
      </c>
      <c r="P993" s="706">
        <v>0</v>
      </c>
      <c r="Q993" s="706">
        <v>0</v>
      </c>
      <c r="R993" s="706">
        <v>0</v>
      </c>
      <c r="S993" s="706">
        <v>0</v>
      </c>
      <c r="T993" s="706">
        <v>0</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104"/>
        <v>G73100</v>
      </c>
      <c r="AK993" s="905" t="str">
        <f t="shared" si="105"/>
        <v>INTERETS LOCATION C/TERME</v>
      </c>
      <c r="AL993" s="905">
        <f>IFERROR(INDEX(G993:R993,1,MATCH(Parametres!$B$3,G$1:R$1,0)-1)*IF(OR(F993="L",F993="S",F993="I"),-1,1),"")</f>
        <v>0</v>
      </c>
      <c r="AM993" s="905">
        <f t="shared" si="106"/>
        <v>0</v>
      </c>
      <c r="AN993" s="905">
        <f>INDEX(G993:R993,1,MATCH(Parametres!$B$3,G$1:R$1,0))*IF(OR(F993="L",F993="S",F993="I"),-1,1)</f>
        <v>0</v>
      </c>
      <c r="AO993" s="487" t="str">
        <f>+VLOOKUP($AJ993,Data_Validation!$A:$D,1,0)</f>
        <v>G73100</v>
      </c>
      <c r="AP993" s="487">
        <f>+VLOOKUP($AJ993,Data_Validation!$A:$D,3,0)</f>
        <v>0</v>
      </c>
      <c r="AQ993" s="487">
        <f>+VLOOKUP($AJ993,Data_Validation!$A:$D,4,0)</f>
        <v>0</v>
      </c>
      <c r="AR993" s="487" t="s">
        <v>299</v>
      </c>
      <c r="AS993" s="487">
        <f>+VLOOKUP($AJ993,Data_Validation!$A:$E,5,0)</f>
        <v>0</v>
      </c>
      <c r="AT993" s="904" t="str">
        <f t="shared" si="107"/>
        <v>G73100</v>
      </c>
      <c r="AU993" s="488" t="str">
        <f t="shared" si="108"/>
        <v>INTERETS LOCATION C/TERME</v>
      </c>
      <c r="AV993" s="899">
        <f>IFERROR(INDEX(V993:AG993,1,MATCH(Parametres!$B$3,V$1:AG$1,0)-1)*IF(OR(C993="L",C993="S",C993="I"),-1,1),"")</f>
        <v>0</v>
      </c>
      <c r="AW993" s="899">
        <f t="shared" si="109"/>
        <v>0</v>
      </c>
      <c r="AX993" s="899">
        <f>INDEX(V993:AG993,1,MATCH(Parametres!$B$3,V$1:AG$1,0))*IF(OR(C993="L",C993="S",C993="I"),-1,1)</f>
        <v>0</v>
      </c>
      <c r="AY993" s="487" t="s">
        <v>337</v>
      </c>
      <c r="AZ993" s="487">
        <f>+VLOOKUP($AJ993,Data_Validation!$A:$E,5,0)</f>
        <v>0</v>
      </c>
    </row>
    <row r="994" spans="1:52" ht="15" customHeight="1">
      <c r="A994" s="706" t="s">
        <v>1148</v>
      </c>
      <c r="B994" s="706">
        <v>2026</v>
      </c>
      <c r="C994" s="706" t="s">
        <v>3005</v>
      </c>
      <c r="D994" s="706" t="s">
        <v>3006</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104"/>
        <v>G732</v>
      </c>
      <c r="AK994" s="905" t="str">
        <f t="shared" si="105"/>
        <v>AMORTISSEMENT        -C/T</v>
      </c>
      <c r="AL994" s="905">
        <f>IFERROR(INDEX(G994:R994,1,MATCH(Parametres!$B$3,G$1:R$1,0)-1)*IF(OR(F994="L",F994="S",F994="I"),-1,1),"")</f>
        <v>0</v>
      </c>
      <c r="AM994" s="905">
        <f t="shared" si="106"/>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7"/>
        <v>G732</v>
      </c>
      <c r="AU994" s="488" t="str">
        <f t="shared" si="108"/>
        <v>AMORTISSEMENT        -C/T</v>
      </c>
      <c r="AV994" s="899">
        <f>IFERROR(INDEX(V994:AG994,1,MATCH(Parametres!$B$3,V$1:AG$1,0)-1)*IF(OR(C994="L",C994="S",C994="I"),-1,1),"")</f>
        <v>0</v>
      </c>
      <c r="AW994" s="899">
        <f t="shared" si="109"/>
        <v>0</v>
      </c>
      <c r="AX994" s="899">
        <f>INDEX(V994:AG994,1,MATCH(Parametres!$B$3,V$1:AG$1,0))*IF(OR(C994="L",C994="S",C994="I"),-1,1)</f>
        <v>0</v>
      </c>
      <c r="AY994" s="487" t="s">
        <v>337</v>
      </c>
      <c r="AZ994" s="487" t="e">
        <f>+VLOOKUP($AJ994,Data_Validation!$A:$E,5,0)</f>
        <v>#N/A</v>
      </c>
    </row>
    <row r="995" spans="1:52" ht="15" customHeight="1">
      <c r="A995" s="706" t="s">
        <v>1148</v>
      </c>
      <c r="B995" s="706">
        <v>2026</v>
      </c>
      <c r="C995" s="706" t="s">
        <v>3007</v>
      </c>
      <c r="D995" s="706" t="s">
        <v>3008</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104"/>
        <v>G73200</v>
      </c>
      <c r="AK995" s="905" t="str">
        <f t="shared" si="105"/>
        <v>AMORT. LOCATION C/TERME</v>
      </c>
      <c r="AL995" s="905">
        <f>IFERROR(INDEX(G995:R995,1,MATCH(Parametres!$B$3,G$1:R$1,0)-1)*IF(OR(F995="L",F995="S",F995="I"),-1,1),"")</f>
        <v>0</v>
      </c>
      <c r="AM995" s="905">
        <f t="shared" si="106"/>
        <v>0</v>
      </c>
      <c r="AN995" s="905">
        <f>INDEX(G995:R995,1,MATCH(Parametres!$B$3,G$1:R$1,0))*IF(OR(F995="L",F995="S",F995="I"),-1,1)</f>
        <v>0</v>
      </c>
      <c r="AO995" s="487" t="str">
        <f>+VLOOKUP($AJ995,Data_Validation!$A:$D,1,0)</f>
        <v>G73200</v>
      </c>
      <c r="AP995" s="487">
        <f>+VLOOKUP($AJ995,Data_Validation!$A:$D,3,0)</f>
        <v>0</v>
      </c>
      <c r="AQ995" s="487">
        <f>+VLOOKUP($AJ995,Data_Validation!$A:$D,4,0)</f>
        <v>0</v>
      </c>
      <c r="AR995" s="487" t="s">
        <v>299</v>
      </c>
      <c r="AS995" s="487">
        <f>+VLOOKUP($AJ995,Data_Validation!$A:$E,5,0)</f>
        <v>0</v>
      </c>
      <c r="AT995" s="904" t="str">
        <f t="shared" si="107"/>
        <v>G73200</v>
      </c>
      <c r="AU995" s="488" t="str">
        <f t="shared" si="108"/>
        <v>AMORT. LOCATION C/TERME</v>
      </c>
      <c r="AV995" s="899">
        <f>IFERROR(INDEX(V995:AG995,1,MATCH(Parametres!$B$3,V$1:AG$1,0)-1)*IF(OR(C995="L",C995="S",C995="I"),-1,1),"")</f>
        <v>0</v>
      </c>
      <c r="AW995" s="899">
        <f t="shared" si="109"/>
        <v>0</v>
      </c>
      <c r="AX995" s="899">
        <f>INDEX(V995:AG995,1,MATCH(Parametres!$B$3,V$1:AG$1,0))*IF(OR(C995="L",C995="S",C995="I"),-1,1)</f>
        <v>0</v>
      </c>
      <c r="AY995" s="487" t="s">
        <v>337</v>
      </c>
      <c r="AZ995" s="487">
        <f>+VLOOKUP($AJ995,Data_Validation!$A:$E,5,0)</f>
        <v>0</v>
      </c>
    </row>
    <row r="996" spans="1:52" ht="15" customHeight="1">
      <c r="A996" s="706" t="s">
        <v>1148</v>
      </c>
      <c r="B996" s="706">
        <v>2026</v>
      </c>
      <c r="C996" s="706" t="s">
        <v>3009</v>
      </c>
      <c r="D996" s="706" t="s">
        <v>3010</v>
      </c>
      <c r="E996" s="706" t="s">
        <v>333</v>
      </c>
      <c r="F996" s="706" t="s">
        <v>1104</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104"/>
        <v>G733</v>
      </c>
      <c r="AK996" s="905" t="str">
        <f t="shared" si="105"/>
        <v>ASSUR.VEH EN SERV.   -C/T</v>
      </c>
      <c r="AL996" s="905">
        <f>IFERROR(INDEX(G996:R996,1,MATCH(Parametres!$B$3,G$1:R$1,0)-1)*IF(OR(F996="L",F996="S",F996="I"),-1,1),"")</f>
        <v>0</v>
      </c>
      <c r="AM996" s="905">
        <f t="shared" si="106"/>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7"/>
        <v>G733</v>
      </c>
      <c r="AU996" s="488" t="str">
        <f t="shared" si="108"/>
        <v>ASSUR.VEH EN SERV.   -C/T</v>
      </c>
      <c r="AV996" s="899">
        <f>IFERROR(INDEX(V996:AG996,1,MATCH(Parametres!$B$3,V$1:AG$1,0)-1)*IF(OR(C996="L",C996="S",C996="I"),-1,1),"")</f>
        <v>0</v>
      </c>
      <c r="AW996" s="899">
        <f t="shared" si="109"/>
        <v>0</v>
      </c>
      <c r="AX996" s="899">
        <f>INDEX(V996:AG996,1,MATCH(Parametres!$B$3,V$1:AG$1,0))*IF(OR(C996="L",C996="S",C996="I"),-1,1)</f>
        <v>0</v>
      </c>
      <c r="AY996" s="487" t="s">
        <v>337</v>
      </c>
      <c r="AZ996" s="487" t="e">
        <f>+VLOOKUP($AJ996,Data_Validation!$A:$E,5,0)</f>
        <v>#N/A</v>
      </c>
    </row>
    <row r="997" spans="1:52" ht="15" customHeight="1">
      <c r="A997" s="706" t="s">
        <v>1148</v>
      </c>
      <c r="B997" s="706">
        <v>2026</v>
      </c>
      <c r="C997" s="706" t="s">
        <v>3011</v>
      </c>
      <c r="D997" s="706" t="s">
        <v>3012</v>
      </c>
      <c r="E997" s="706" t="s">
        <v>333</v>
      </c>
      <c r="F997" s="706" t="s">
        <v>1104</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104"/>
        <v>G73300</v>
      </c>
      <c r="AK997" s="905" t="str">
        <f t="shared" si="105"/>
        <v>ASSURANCES COURTOISIES</v>
      </c>
      <c r="AL997" s="905">
        <f>IFERROR(INDEX(G997:R997,1,MATCH(Parametres!$B$3,G$1:R$1,0)-1)*IF(OR(F997="L",F997="S",F997="I"),-1,1),"")</f>
        <v>0</v>
      </c>
      <c r="AM997" s="905">
        <f t="shared" si="106"/>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t="str">
        <f t="shared" si="107"/>
        <v>G73300</v>
      </c>
      <c r="AU997" s="488" t="str">
        <f t="shared" si="108"/>
        <v>ASSURANCES COURTOISIES</v>
      </c>
      <c r="AV997" s="899">
        <f>IFERROR(INDEX(V997:AG997,1,MATCH(Parametres!$B$3,V$1:AG$1,0)-1)*IF(OR(C997="L",C997="S",C997="I"),-1,1),"")</f>
        <v>0</v>
      </c>
      <c r="AW997" s="899">
        <f t="shared" si="109"/>
        <v>0</v>
      </c>
      <c r="AX997" s="899">
        <f>INDEX(V997:AG997,1,MATCH(Parametres!$B$3,V$1:AG$1,0))*IF(OR(C997="L",C997="S",C997="I"),-1,1)</f>
        <v>0</v>
      </c>
      <c r="AY997" s="487" t="s">
        <v>337</v>
      </c>
      <c r="AZ997" s="487" t="e">
        <f>+VLOOKUP($AJ997,Data_Validation!$A:$E,5,0)</f>
        <v>#N/A</v>
      </c>
    </row>
    <row r="998" spans="1:52" ht="15" customHeight="1">
      <c r="A998" s="706" t="s">
        <v>1148</v>
      </c>
      <c r="B998" s="706">
        <v>2026</v>
      </c>
      <c r="C998" s="706" t="s">
        <v>3013</v>
      </c>
      <c r="D998" s="706" t="s">
        <v>3014</v>
      </c>
      <c r="E998" s="706" t="s">
        <v>333</v>
      </c>
      <c r="F998" s="706" t="s">
        <v>1104</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104"/>
        <v>G734</v>
      </c>
      <c r="AK998" s="905" t="str">
        <f t="shared" si="105"/>
        <v>PLAQUE,TITRE,TAXES   -C/T</v>
      </c>
      <c r="AL998" s="905">
        <f>IFERROR(INDEX(G998:R998,1,MATCH(Parametres!$B$3,G$1:R$1,0)-1)*IF(OR(F998="L",F998="S",F998="I"),-1,1),"")</f>
        <v>0</v>
      </c>
      <c r="AM998" s="905">
        <f t="shared" si="106"/>
        <v>0</v>
      </c>
      <c r="AN998" s="1047">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7"/>
        <v>G734</v>
      </c>
      <c r="AU998" s="488" t="str">
        <f t="shared" si="108"/>
        <v>PLAQUE,TITRE,TAXES   -C/T</v>
      </c>
      <c r="AV998" s="899">
        <f>IFERROR(INDEX(V998:AG998,1,MATCH(Parametres!$B$3,V$1:AG$1,0)-1)*IF(OR(C998="L",C998="S",C998="I"),-1,1),"")</f>
        <v>0</v>
      </c>
      <c r="AW998" s="899">
        <f t="shared" si="109"/>
        <v>0</v>
      </c>
      <c r="AX998" s="899">
        <f>INDEX(V998:AG998,1,MATCH(Parametres!$B$3,V$1:AG$1,0))*IF(OR(C998="L",C998="S",C998="I"),-1,1)</f>
        <v>0</v>
      </c>
      <c r="AY998" s="487" t="s">
        <v>337</v>
      </c>
      <c r="AZ998" s="487" t="e">
        <f>+VLOOKUP($AJ998,Data_Validation!$A:$E,5,0)</f>
        <v>#N/A</v>
      </c>
    </row>
    <row r="999" spans="1:52" ht="15" customHeight="1">
      <c r="A999" s="706" t="s">
        <v>1148</v>
      </c>
      <c r="B999" s="706">
        <v>2026</v>
      </c>
      <c r="C999" s="706" t="s">
        <v>3015</v>
      </c>
      <c r="D999" s="706" t="s">
        <v>3016</v>
      </c>
      <c r="E999" s="706" t="s">
        <v>333</v>
      </c>
      <c r="F999" s="706" t="s">
        <v>1104</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104"/>
        <v>G73400</v>
      </c>
      <c r="AK999" s="905" t="str">
        <f t="shared" si="105"/>
        <v>PLAQUES TITRES LOC.C/TERM</v>
      </c>
      <c r="AL999" s="905">
        <f>IFERROR(INDEX(G999:R999,1,MATCH(Parametres!$B$3,G$1:R$1,0)-1)*IF(OR(F999="L",F999="S",F999="I"),-1,1),"")</f>
        <v>0</v>
      </c>
      <c r="AM999" s="905">
        <f t="shared" si="106"/>
        <v>0</v>
      </c>
      <c r="AN999" s="905">
        <f>INDEX(G999:R999,1,MATCH(Parametres!$B$3,G$1:R$1,0))*IF(OR(F999="L",F999="S",F999="I"),-1,1)</f>
        <v>0</v>
      </c>
      <c r="AO999" s="487" t="str">
        <f>+VLOOKUP($AJ999,Data_Validation!$A:$D,1,0)</f>
        <v>G73400</v>
      </c>
      <c r="AP999" s="487">
        <f>+VLOOKUP($AJ999,Data_Validation!$A:$D,3,0)</f>
        <v>0</v>
      </c>
      <c r="AQ999" s="487">
        <f>+VLOOKUP($AJ999,Data_Validation!$A:$D,4,0)</f>
        <v>0</v>
      </c>
      <c r="AR999" s="487" t="s">
        <v>299</v>
      </c>
      <c r="AS999" s="487">
        <f>+VLOOKUP($AJ999,Data_Validation!$A:$E,5,0)</f>
        <v>0</v>
      </c>
      <c r="AT999" s="904" t="str">
        <f t="shared" si="107"/>
        <v>G73400</v>
      </c>
      <c r="AU999" s="488" t="str">
        <f t="shared" si="108"/>
        <v>PLAQUES TITRES LOC.C/TERM</v>
      </c>
      <c r="AV999" s="899">
        <f>IFERROR(INDEX(V999:AG999,1,MATCH(Parametres!$B$3,V$1:AG$1,0)-1)*IF(OR(C999="L",C999="S",C999="I"),-1,1),"")</f>
        <v>0</v>
      </c>
      <c r="AW999" s="899">
        <f t="shared" si="109"/>
        <v>0</v>
      </c>
      <c r="AX999" s="899">
        <f>INDEX(V999:AG999,1,MATCH(Parametres!$B$3,V$1:AG$1,0))*IF(OR(C999="L",C999="S",C999="I"),-1,1)</f>
        <v>0</v>
      </c>
      <c r="AY999" s="487" t="s">
        <v>337</v>
      </c>
      <c r="AZ999" s="487">
        <f>+VLOOKUP($AJ999,Data_Validation!$A:$E,5,0)</f>
        <v>0</v>
      </c>
    </row>
    <row r="1000" spans="1:52" ht="15" customHeight="1">
      <c r="A1000" s="706" t="s">
        <v>1148</v>
      </c>
      <c r="B1000" s="706">
        <v>2026</v>
      </c>
      <c r="C1000" s="706" t="s">
        <v>3017</v>
      </c>
      <c r="D1000" s="706" t="s">
        <v>3018</v>
      </c>
      <c r="E1000" s="706" t="s">
        <v>333</v>
      </c>
      <c r="F1000" s="706" t="s">
        <v>1104</v>
      </c>
      <c r="G1000" s="706">
        <v>0</v>
      </c>
      <c r="H1000" s="706">
        <v>0</v>
      </c>
      <c r="I1000" s="706">
        <v>0</v>
      </c>
      <c r="J1000" s="706">
        <v>0</v>
      </c>
      <c r="K1000" s="706">
        <v>0</v>
      </c>
      <c r="L1000" s="706">
        <v>0</v>
      </c>
      <c r="M1000" s="706">
        <v>0</v>
      </c>
      <c r="N1000" s="706">
        <v>0</v>
      </c>
      <c r="O1000" s="706">
        <v>0</v>
      </c>
      <c r="P1000" s="706">
        <v>0</v>
      </c>
      <c r="Q1000" s="706">
        <v>0</v>
      </c>
      <c r="R1000" s="706">
        <v>0</v>
      </c>
      <c r="S1000" s="706">
        <v>0</v>
      </c>
      <c r="T1000" s="706">
        <v>0</v>
      </c>
      <c r="U1000" s="706">
        <v>0</v>
      </c>
      <c r="V1000" s="706">
        <v>0</v>
      </c>
      <c r="W1000" s="706">
        <v>0</v>
      </c>
      <c r="X1000" s="706">
        <v>0</v>
      </c>
      <c r="Y1000" s="706">
        <v>0</v>
      </c>
      <c r="Z1000" s="706">
        <v>0</v>
      </c>
      <c r="AA1000" s="706">
        <v>0</v>
      </c>
      <c r="AB1000" s="706">
        <v>0</v>
      </c>
      <c r="AC1000" s="706">
        <v>0</v>
      </c>
      <c r="AD1000" s="706">
        <v>0</v>
      </c>
      <c r="AE1000" s="706">
        <v>0</v>
      </c>
      <c r="AF1000" s="706">
        <v>0</v>
      </c>
      <c r="AG1000" s="706">
        <v>0</v>
      </c>
      <c r="AH1000" s="706">
        <v>0</v>
      </c>
      <c r="AI1000" s="706">
        <v>0</v>
      </c>
      <c r="AJ1000" s="905" t="str">
        <f t="shared" si="104"/>
        <v>G735</v>
      </c>
      <c r="AK1000" s="905" t="str">
        <f t="shared" si="105"/>
        <v>TRAVAUX GRACIEUX     -C/T</v>
      </c>
      <c r="AL1000" s="905">
        <f>IFERROR(INDEX(G1000:R1000,1,MATCH(Parametres!$B$3,G$1:R$1,0)-1)*IF(OR(F1000="L",F1000="S",F1000="I"),-1,1),"")</f>
        <v>0</v>
      </c>
      <c r="AM1000" s="905">
        <f t="shared" si="106"/>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t="str">
        <f t="shared" si="107"/>
        <v>G735</v>
      </c>
      <c r="AU1000" s="488" t="str">
        <f t="shared" si="108"/>
        <v>TRAVAUX GRACIEUX     -C/T</v>
      </c>
      <c r="AV1000" s="899">
        <f>IFERROR(INDEX(V1000:AG1000,1,MATCH(Parametres!$B$3,V$1:AG$1,0)-1)*IF(OR(C1000="L",C1000="S",C1000="I"),-1,1),"")</f>
        <v>0</v>
      </c>
      <c r="AW1000" s="899">
        <f t="shared" si="109"/>
        <v>0</v>
      </c>
      <c r="AX1000" s="899">
        <f>INDEX(V1000:AG1000,1,MATCH(Parametres!$B$3,V$1:AG$1,0))*IF(OR(C1000="L",C1000="S",C1000="I"),-1,1)</f>
        <v>0</v>
      </c>
      <c r="AY1000" s="487" t="s">
        <v>337</v>
      </c>
      <c r="AZ1000" s="487" t="e">
        <f>+VLOOKUP($AJ1000,Data_Validation!$A:$E,5,0)</f>
        <v>#N/A</v>
      </c>
    </row>
    <row r="1001" spans="1:52" ht="15" customHeight="1">
      <c r="A1001" s="706" t="s">
        <v>1148</v>
      </c>
      <c r="B1001" s="706">
        <v>2026</v>
      </c>
      <c r="C1001" s="706" t="s">
        <v>3019</v>
      </c>
      <c r="D1001" s="706" t="s">
        <v>3020</v>
      </c>
      <c r="E1001" s="706" t="s">
        <v>333</v>
      </c>
      <c r="F1001" s="706" t="s">
        <v>1104</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104"/>
        <v>G736</v>
      </c>
      <c r="AK1001" s="905" t="str">
        <f t="shared" si="105"/>
        <v>REPAR.&amp; ENTRETIEN    -C/T</v>
      </c>
      <c r="AL1001" s="905">
        <f>IFERROR(INDEX(G1001:R1001,1,MATCH(Parametres!$B$3,G$1:R$1,0)-1)*IF(OR(F1001="L",F1001="S",F1001="I"),-1,1),"")</f>
        <v>0</v>
      </c>
      <c r="AM1001" s="905">
        <f t="shared" si="106"/>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7"/>
        <v>G736</v>
      </c>
      <c r="AU1001" s="488" t="str">
        <f t="shared" si="108"/>
        <v>REPAR.&amp; ENTRETIEN    -C/T</v>
      </c>
      <c r="AV1001" s="899">
        <f>IFERROR(INDEX(V1001:AG1001,1,MATCH(Parametres!$B$3,V$1:AG$1,0)-1)*IF(OR(C1001="L",C1001="S",C1001="I"),-1,1),"")</f>
        <v>0</v>
      </c>
      <c r="AW1001" s="899">
        <f t="shared" si="109"/>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3021</v>
      </c>
      <c r="D1002" s="706" t="s">
        <v>3022</v>
      </c>
      <c r="E1002" s="706" t="s">
        <v>333</v>
      </c>
      <c r="F1002" s="706" t="s">
        <v>1104</v>
      </c>
      <c r="G1002" s="706">
        <v>0</v>
      </c>
      <c r="H1002" s="706">
        <v>0</v>
      </c>
      <c r="I1002" s="706">
        <v>0</v>
      </c>
      <c r="J1002" s="706">
        <v>0</v>
      </c>
      <c r="K1002" s="706">
        <v>0</v>
      </c>
      <c r="L1002" s="706">
        <v>0</v>
      </c>
      <c r="M1002" s="706">
        <v>0</v>
      </c>
      <c r="N1002" s="706">
        <v>0</v>
      </c>
      <c r="O1002" s="706">
        <v>0</v>
      </c>
      <c r="P1002" s="706">
        <v>0</v>
      </c>
      <c r="Q1002" s="706">
        <v>0</v>
      </c>
      <c r="R1002" s="706">
        <v>0</v>
      </c>
      <c r="S1002" s="706">
        <v>0</v>
      </c>
      <c r="T1002" s="706">
        <v>0</v>
      </c>
      <c r="U1002" s="706">
        <v>0</v>
      </c>
      <c r="V1002" s="706">
        <v>0</v>
      </c>
      <c r="W1002" s="706">
        <v>0</v>
      </c>
      <c r="X1002" s="706">
        <v>0</v>
      </c>
      <c r="Y1002" s="706">
        <v>0</v>
      </c>
      <c r="Z1002" s="706">
        <v>0</v>
      </c>
      <c r="AA1002" s="706">
        <v>0</v>
      </c>
      <c r="AB1002" s="706">
        <v>0</v>
      </c>
      <c r="AC1002" s="706">
        <v>0</v>
      </c>
      <c r="AD1002" s="706">
        <v>0</v>
      </c>
      <c r="AE1002" s="706">
        <v>0</v>
      </c>
      <c r="AF1002" s="706">
        <v>0</v>
      </c>
      <c r="AG1002" s="706">
        <v>0</v>
      </c>
      <c r="AH1002" s="706">
        <v>0</v>
      </c>
      <c r="AI1002" s="706">
        <v>0</v>
      </c>
      <c r="AJ1002" s="905" t="str">
        <f t="shared" si="104"/>
        <v>G73600</v>
      </c>
      <c r="AK1002" s="905" t="str">
        <f t="shared" si="105"/>
        <v>REPAR. ENTRETIEN LOC C/T</v>
      </c>
      <c r="AL1002" s="905">
        <f>IFERROR(INDEX(G1002:R1002,1,MATCH(Parametres!$B$3,G$1:R$1,0)-1)*IF(OR(F1002="L",F1002="S",F1002="I"),-1,1),"")</f>
        <v>0</v>
      </c>
      <c r="AM1002" s="905">
        <f t="shared" si="106"/>
        <v>0</v>
      </c>
      <c r="AN1002" s="905">
        <f>INDEX(G1002:R1002,1,MATCH(Parametres!$B$3,G$1:R$1,0))*IF(OR(F1002="L",F1002="S",F1002="I"),-1,1)</f>
        <v>0</v>
      </c>
      <c r="AO1002" s="487" t="str">
        <f>+VLOOKUP($AJ1002,Data_Validation!$A:$D,1,0)</f>
        <v>G73600</v>
      </c>
      <c r="AP1002" s="487">
        <f>+VLOOKUP($AJ1002,Data_Validation!$A:$D,3,0)</f>
        <v>0</v>
      </c>
      <c r="AQ1002" s="487">
        <f>+VLOOKUP($AJ1002,Data_Validation!$A:$D,4,0)</f>
        <v>0</v>
      </c>
      <c r="AR1002" s="487" t="s">
        <v>299</v>
      </c>
      <c r="AS1002" s="487">
        <f>+VLOOKUP($AJ1002,Data_Validation!$A:$E,5,0)</f>
        <v>0</v>
      </c>
      <c r="AT1002" s="904" t="str">
        <f t="shared" si="107"/>
        <v>G73600</v>
      </c>
      <c r="AU1002" s="488" t="str">
        <f t="shared" si="108"/>
        <v>REPAR. ENTRETIEN LOC C/T</v>
      </c>
      <c r="AV1002" s="899">
        <f>IFERROR(INDEX(V1002:AG1002,1,MATCH(Parametres!$B$3,V$1:AG$1,0)-1)*IF(OR(C1002="L",C1002="S",C1002="I"),-1,1),"")</f>
        <v>0</v>
      </c>
      <c r="AW1002" s="899">
        <f t="shared" si="109"/>
        <v>0</v>
      </c>
      <c r="AX1002" s="899">
        <f>INDEX(V1002:AG1002,1,MATCH(Parametres!$B$3,V$1:AG$1,0))*IF(OR(C1002="L",C1002="S",C1002="I"),-1,1)</f>
        <v>0</v>
      </c>
      <c r="AY1002" s="487" t="s">
        <v>337</v>
      </c>
      <c r="AZ1002" s="487">
        <f>+VLOOKUP($AJ1002,Data_Validation!$A:$E,5,0)</f>
        <v>0</v>
      </c>
    </row>
    <row r="1003" spans="1:52" ht="15" customHeight="1">
      <c r="A1003" s="706" t="s">
        <v>1148</v>
      </c>
      <c r="B1003" s="706">
        <v>2026</v>
      </c>
      <c r="C1003" s="706" t="s">
        <v>3023</v>
      </c>
      <c r="D1003" s="706" t="s">
        <v>3024</v>
      </c>
      <c r="E1003" s="706" t="s">
        <v>333</v>
      </c>
      <c r="F1003" s="706" t="s">
        <v>1104</v>
      </c>
      <c r="G1003" s="706">
        <v>0</v>
      </c>
      <c r="H1003" s="706">
        <v>0</v>
      </c>
      <c r="I1003" s="706">
        <v>0</v>
      </c>
      <c r="J1003" s="706">
        <v>0</v>
      </c>
      <c r="K1003" s="706">
        <v>0</v>
      </c>
      <c r="L1003" s="706">
        <v>0</v>
      </c>
      <c r="M1003" s="706">
        <v>0</v>
      </c>
      <c r="N1003" s="706">
        <v>0</v>
      </c>
      <c r="O1003" s="706">
        <v>0</v>
      </c>
      <c r="P1003" s="706">
        <v>0</v>
      </c>
      <c r="Q1003" s="706">
        <v>0</v>
      </c>
      <c r="R1003" s="706">
        <v>0</v>
      </c>
      <c r="S1003" s="706">
        <v>0</v>
      </c>
      <c r="T1003" s="706">
        <v>0</v>
      </c>
      <c r="U1003" s="706">
        <v>0</v>
      </c>
      <c r="V1003" s="706">
        <v>0</v>
      </c>
      <c r="W1003" s="706">
        <v>0</v>
      </c>
      <c r="X1003" s="706">
        <v>0</v>
      </c>
      <c r="Y1003" s="706">
        <v>0</v>
      </c>
      <c r="Z1003" s="706">
        <v>0</v>
      </c>
      <c r="AA1003" s="706">
        <v>0</v>
      </c>
      <c r="AB1003" s="706">
        <v>0</v>
      </c>
      <c r="AC1003" s="706">
        <v>0</v>
      </c>
      <c r="AD1003" s="706">
        <v>0</v>
      </c>
      <c r="AE1003" s="706">
        <v>0</v>
      </c>
      <c r="AF1003" s="706">
        <v>0</v>
      </c>
      <c r="AG1003" s="706">
        <v>0</v>
      </c>
      <c r="AH1003" s="706">
        <v>0</v>
      </c>
      <c r="AI1003" s="706">
        <v>0</v>
      </c>
      <c r="AJ1003" s="905" t="str">
        <f t="shared" si="104"/>
        <v>G737</v>
      </c>
      <c r="AK1003" s="905" t="str">
        <f t="shared" si="105"/>
        <v>PRIX LOC.UNIT.S-LOUE -C/T</v>
      </c>
      <c r="AL1003" s="905">
        <f>IFERROR(INDEX(G1003:R1003,1,MATCH(Parametres!$B$3,G$1:R$1,0)-1)*IF(OR(F1003="L",F1003="S",F1003="I"),-1,1),"")</f>
        <v>0</v>
      </c>
      <c r="AM1003" s="905">
        <f t="shared" si="106"/>
        <v>0</v>
      </c>
      <c r="AN1003" s="1047">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t="str">
        <f t="shared" si="107"/>
        <v>G737</v>
      </c>
      <c r="AU1003" s="488" t="str">
        <f t="shared" si="108"/>
        <v>PRIX LOC.UNIT.S-LOUE -C/T</v>
      </c>
      <c r="AV1003" s="899">
        <f>IFERROR(INDEX(V1003:AG1003,1,MATCH(Parametres!$B$3,V$1:AG$1,0)-1)*IF(OR(C1003="L",C1003="S",C1003="I"),-1,1),"")</f>
        <v>0</v>
      </c>
      <c r="AW1003" s="899">
        <f t="shared" si="109"/>
        <v>0</v>
      </c>
      <c r="AX1003" s="899">
        <f>INDEX(V1003:AG1003,1,MATCH(Parametres!$B$3,V$1:AG$1,0))*IF(OR(C1003="L",C1003="S",C1003="I"),-1,1)</f>
        <v>0</v>
      </c>
      <c r="AY1003" s="487" t="s">
        <v>337</v>
      </c>
      <c r="AZ1003" s="487" t="e">
        <f>+VLOOKUP($AJ1003,Data_Validation!$A:$E,5,0)</f>
        <v>#N/A</v>
      </c>
    </row>
    <row r="1004" spans="1:52" ht="15" customHeight="1">
      <c r="A1004" s="706" t="s">
        <v>1148</v>
      </c>
      <c r="B1004" s="706">
        <v>2026</v>
      </c>
      <c r="C1004" s="706" t="s">
        <v>3025</v>
      </c>
      <c r="D1004" s="706" t="s">
        <v>3026</v>
      </c>
      <c r="E1004" s="706" t="s">
        <v>333</v>
      </c>
      <c r="F1004" s="706" t="s">
        <v>1104</v>
      </c>
      <c r="G1004" s="706">
        <v>0</v>
      </c>
      <c r="H1004" s="706">
        <v>0</v>
      </c>
      <c r="I1004" s="706">
        <v>0</v>
      </c>
      <c r="J1004" s="706">
        <v>0</v>
      </c>
      <c r="K1004" s="706">
        <v>0</v>
      </c>
      <c r="L1004" s="706">
        <v>0</v>
      </c>
      <c r="M1004" s="706">
        <v>0</v>
      </c>
      <c r="N1004" s="706">
        <v>0</v>
      </c>
      <c r="O1004" s="706">
        <v>0</v>
      </c>
      <c r="P1004" s="706">
        <v>0</v>
      </c>
      <c r="Q1004" s="706">
        <v>0</v>
      </c>
      <c r="R1004" s="706">
        <v>0</v>
      </c>
      <c r="S1004" s="706">
        <v>0</v>
      </c>
      <c r="T1004" s="706">
        <v>0</v>
      </c>
      <c r="U1004" s="706">
        <v>0</v>
      </c>
      <c r="V1004" s="706">
        <v>0</v>
      </c>
      <c r="W1004" s="706">
        <v>0</v>
      </c>
      <c r="X1004" s="706">
        <v>0</v>
      </c>
      <c r="Y1004" s="706">
        <v>0</v>
      </c>
      <c r="Z1004" s="706">
        <v>0</v>
      </c>
      <c r="AA1004" s="706">
        <v>0</v>
      </c>
      <c r="AB1004" s="706">
        <v>0</v>
      </c>
      <c r="AC1004" s="706">
        <v>0</v>
      </c>
      <c r="AD1004" s="706">
        <v>0</v>
      </c>
      <c r="AE1004" s="706">
        <v>0</v>
      </c>
      <c r="AF1004" s="706">
        <v>0</v>
      </c>
      <c r="AG1004" s="706">
        <v>0</v>
      </c>
      <c r="AH1004" s="706">
        <v>0</v>
      </c>
      <c r="AI1004" s="706">
        <v>0</v>
      </c>
      <c r="AJ1004" s="905" t="str">
        <f t="shared" si="104"/>
        <v>G738</v>
      </c>
      <c r="AK1004" s="905" t="str">
        <f t="shared" si="105"/>
        <v>AUTRES               -C/T</v>
      </c>
      <c r="AL1004" s="905">
        <f>IFERROR(INDEX(G1004:R1004,1,MATCH(Parametres!$B$3,G$1:R$1,0)-1)*IF(OR(F1004="L",F1004="S",F1004="I"),-1,1),"")</f>
        <v>0</v>
      </c>
      <c r="AM1004" s="905">
        <f t="shared" si="106"/>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t="str">
        <f t="shared" si="107"/>
        <v>G738</v>
      </c>
      <c r="AU1004" s="488" t="str">
        <f t="shared" si="108"/>
        <v>AUTRES               -C/T</v>
      </c>
      <c r="AV1004" s="899">
        <f>IFERROR(INDEX(V1004:AG1004,1,MATCH(Parametres!$B$3,V$1:AG$1,0)-1)*IF(OR(C1004="L",C1004="S",C1004="I"),-1,1),"")</f>
        <v>0</v>
      </c>
      <c r="AW1004" s="899">
        <f t="shared" si="109"/>
        <v>0</v>
      </c>
      <c r="AX1004" s="899">
        <f>INDEX(V1004:AG1004,1,MATCH(Parametres!$B$3,V$1:AG$1,0))*IF(OR(C1004="L",C1004="S",C1004="I"),-1,1)</f>
        <v>0</v>
      </c>
      <c r="AY1004" s="487" t="s">
        <v>337</v>
      </c>
      <c r="AZ1004" s="487" t="e">
        <f>+VLOOKUP($AJ1004,Data_Validation!$A:$E,5,0)</f>
        <v>#N/A</v>
      </c>
    </row>
    <row r="1005" spans="1:52" ht="15" customHeight="1">
      <c r="A1005" s="706" t="s">
        <v>1148</v>
      </c>
      <c r="B1005" s="706">
        <v>2026</v>
      </c>
      <c r="C1005" s="706" t="s">
        <v>3027</v>
      </c>
      <c r="D1005" s="706" t="s">
        <v>3028</v>
      </c>
      <c r="E1005" s="706" t="s">
        <v>333</v>
      </c>
      <c r="F1005" s="706" t="s">
        <v>1104</v>
      </c>
      <c r="G1005" s="706">
        <v>0</v>
      </c>
      <c r="H1005" s="706">
        <v>0</v>
      </c>
      <c r="I1005" s="706">
        <v>0</v>
      </c>
      <c r="J1005" s="706">
        <v>0</v>
      </c>
      <c r="K1005" s="706">
        <v>0</v>
      </c>
      <c r="L1005" s="706">
        <v>0</v>
      </c>
      <c r="M1005" s="706">
        <v>0</v>
      </c>
      <c r="N1005" s="706">
        <v>0</v>
      </c>
      <c r="O1005" s="706">
        <v>0</v>
      </c>
      <c r="P1005" s="706">
        <v>0</v>
      </c>
      <c r="Q1005" s="706">
        <v>0</v>
      </c>
      <c r="R1005" s="706">
        <v>0</v>
      </c>
      <c r="S1005" s="706">
        <v>0</v>
      </c>
      <c r="T1005" s="706">
        <v>0</v>
      </c>
      <c r="U1005" s="706">
        <v>0</v>
      </c>
      <c r="V1005" s="706">
        <v>0</v>
      </c>
      <c r="W1005" s="706">
        <v>0</v>
      </c>
      <c r="X1005" s="706">
        <v>0</v>
      </c>
      <c r="Y1005" s="706">
        <v>0</v>
      </c>
      <c r="Z1005" s="706">
        <v>0</v>
      </c>
      <c r="AA1005" s="706">
        <v>0</v>
      </c>
      <c r="AB1005" s="706">
        <v>0</v>
      </c>
      <c r="AC1005" s="706">
        <v>0</v>
      </c>
      <c r="AD1005" s="706">
        <v>0</v>
      </c>
      <c r="AE1005" s="706">
        <v>0</v>
      </c>
      <c r="AF1005" s="706">
        <v>0</v>
      </c>
      <c r="AG1005" s="706">
        <v>0</v>
      </c>
      <c r="AH1005" s="706">
        <v>0</v>
      </c>
      <c r="AI1005" s="706">
        <v>0</v>
      </c>
      <c r="AJ1005" s="905" t="str">
        <f t="shared" si="104"/>
        <v>G740</v>
      </c>
      <c r="AK1005" s="905" t="str">
        <f t="shared" si="105"/>
        <v>COMM.DIRECT.F&amp;A LOC C&amp;L</v>
      </c>
      <c r="AL1005" s="905">
        <f>IFERROR(INDEX(G1005:R1005,1,MATCH(Parametres!$B$3,G$1:R$1,0)-1)*IF(OR(F1005="L",F1005="S",F1005="I"),-1,1),"")</f>
        <v>0</v>
      </c>
      <c r="AM1005" s="905">
        <f t="shared" si="106"/>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t="str">
        <f t="shared" si="107"/>
        <v>G740</v>
      </c>
      <c r="AU1005" s="488" t="str">
        <f t="shared" si="108"/>
        <v>COMM.DIRECT.F&amp;A LOC C&amp;L</v>
      </c>
      <c r="AV1005" s="899">
        <f>IFERROR(INDEX(V1005:AG1005,1,MATCH(Parametres!$B$3,V$1:AG$1,0)-1)*IF(OR(C1005="L",C1005="S",C1005="I"),-1,1),"")</f>
        <v>0</v>
      </c>
      <c r="AW1005" s="899">
        <f t="shared" si="109"/>
        <v>0</v>
      </c>
      <c r="AX1005" s="899">
        <f>INDEX(V1005:AG1005,1,MATCH(Parametres!$B$3,V$1:AG$1,0))*IF(OR(C1005="L",C1005="S",C1005="I"),-1,1)</f>
        <v>0</v>
      </c>
      <c r="AY1005" s="487" t="s">
        <v>337</v>
      </c>
      <c r="AZ1005" s="487" t="e">
        <f>+VLOOKUP($AJ1005,Data_Validation!$A:$E,5,0)</f>
        <v>#N/A</v>
      </c>
    </row>
    <row r="1006" spans="1:52" ht="15" customHeight="1">
      <c r="A1006" s="706" t="s">
        <v>1148</v>
      </c>
      <c r="B1006" s="706">
        <v>2026</v>
      </c>
      <c r="C1006" s="706" t="s">
        <v>3029</v>
      </c>
      <c r="D1006" s="706" t="s">
        <v>3030</v>
      </c>
      <c r="E1006" s="706" t="s">
        <v>333</v>
      </c>
      <c r="F1006" s="706" t="s">
        <v>1104</v>
      </c>
      <c r="G1006" s="706">
        <v>0</v>
      </c>
      <c r="H1006" s="706">
        <v>0</v>
      </c>
      <c r="I1006" s="706">
        <v>0</v>
      </c>
      <c r="J1006" s="706">
        <v>0</v>
      </c>
      <c r="K1006" s="706">
        <v>0</v>
      </c>
      <c r="L1006" s="706">
        <v>0</v>
      </c>
      <c r="M1006" s="706">
        <v>0</v>
      </c>
      <c r="N1006" s="706">
        <v>0</v>
      </c>
      <c r="O1006" s="706">
        <v>0</v>
      </c>
      <c r="P1006" s="706">
        <v>0</v>
      </c>
      <c r="Q1006" s="706">
        <v>0</v>
      </c>
      <c r="R1006" s="706">
        <v>0</v>
      </c>
      <c r="S1006" s="706">
        <v>0</v>
      </c>
      <c r="T1006" s="706">
        <v>0</v>
      </c>
      <c r="U1006" s="706">
        <v>0</v>
      </c>
      <c r="V1006" s="706">
        <v>0</v>
      </c>
      <c r="W1006" s="706">
        <v>0</v>
      </c>
      <c r="X1006" s="706">
        <v>0</v>
      </c>
      <c r="Y1006" s="706">
        <v>0</v>
      </c>
      <c r="Z1006" s="706">
        <v>0</v>
      </c>
      <c r="AA1006" s="706">
        <v>0</v>
      </c>
      <c r="AB1006" s="706">
        <v>0</v>
      </c>
      <c r="AC1006" s="706">
        <v>0</v>
      </c>
      <c r="AD1006" s="706">
        <v>0</v>
      </c>
      <c r="AE1006" s="706">
        <v>0</v>
      </c>
      <c r="AF1006" s="706">
        <v>0</v>
      </c>
      <c r="AG1006" s="706">
        <v>0</v>
      </c>
      <c r="AH1006" s="706">
        <v>0</v>
      </c>
      <c r="AI1006" s="706">
        <v>0</v>
      </c>
      <c r="AJ1006" s="905" t="str">
        <f t="shared" si="104"/>
        <v>G741</v>
      </c>
      <c r="AK1006" s="905" t="str">
        <f t="shared" si="105"/>
        <v>RETROFACT.F&amp;A LOC C&amp;L TER</v>
      </c>
      <c r="AL1006" s="905">
        <f>IFERROR(INDEX(G1006:R1006,1,MATCH(Parametres!$B$3,G$1:R$1,0)-1)*IF(OR(F1006="L",F1006="S",F1006="I"),-1,1),"")</f>
        <v>0</v>
      </c>
      <c r="AM1006" s="905">
        <f t="shared" si="106"/>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t="str">
        <f t="shared" si="107"/>
        <v>G741</v>
      </c>
      <c r="AU1006" s="488" t="str">
        <f t="shared" si="108"/>
        <v>RETROFACT.F&amp;A LOC C&amp;L TER</v>
      </c>
      <c r="AV1006" s="899">
        <f>IFERROR(INDEX(V1006:AG1006,1,MATCH(Parametres!$B$3,V$1:AG$1,0)-1)*IF(OR(C1006="L",C1006="S",C1006="I"),-1,1),"")</f>
        <v>0</v>
      </c>
      <c r="AW1006" s="899">
        <f t="shared" si="109"/>
        <v>0</v>
      </c>
      <c r="AX1006" s="899">
        <f>INDEX(V1006:AG1006,1,MATCH(Parametres!$B$3,V$1:AG$1,0))*IF(OR(C1006="L",C1006="S",C1006="I"),-1,1)</f>
        <v>0</v>
      </c>
      <c r="AY1006" s="487" t="s">
        <v>337</v>
      </c>
      <c r="AZ1006" s="487" t="e">
        <f>+VLOOKUP($AJ1006,Data_Validation!$A:$E,5,0)</f>
        <v>#N/A</v>
      </c>
    </row>
    <row r="1007" spans="1:52" ht="15" customHeight="1">
      <c r="A1007" s="706" t="s">
        <v>1148</v>
      </c>
      <c r="B1007" s="706">
        <v>2026</v>
      </c>
      <c r="C1007" s="706" t="s">
        <v>3031</v>
      </c>
      <c r="D1007" s="706" t="s">
        <v>3032</v>
      </c>
      <c r="E1007" s="706" t="s">
        <v>333</v>
      </c>
      <c r="F1007" s="706" t="s">
        <v>1150</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104"/>
        <v>G806</v>
      </c>
      <c r="AK1007" s="905" t="str">
        <f t="shared" si="105"/>
        <v>REVENU FINANCE - NEUF</v>
      </c>
      <c r="AL1007" s="905">
        <f>IFERROR(INDEX(G1007:R1007,1,MATCH(Parametres!$B$3,G$1:R$1,0)-1)*IF(OR(F1007="L",F1007="S",F1007="I"),-1,1),"")</f>
        <v>0</v>
      </c>
      <c r="AM1007" s="905">
        <f t="shared" si="106"/>
        <v>0</v>
      </c>
      <c r="AN1007" s="1047">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t="str">
        <f t="shared" si="107"/>
        <v>G806</v>
      </c>
      <c r="AU1007" s="488" t="str">
        <f t="shared" si="108"/>
        <v>REVENU FINANCE - NEUF</v>
      </c>
      <c r="AV1007" s="899">
        <f>IFERROR(INDEX(V1007:AG1007,1,MATCH(Parametres!$B$3,V$1:AG$1,0)-1)*IF(OR(C1007="L",C1007="S",C1007="I"),-1,1),"")</f>
        <v>0</v>
      </c>
      <c r="AW1007" s="899">
        <f t="shared" si="109"/>
        <v>0</v>
      </c>
      <c r="AX1007" s="899">
        <f>INDEX(V1007:AG1007,1,MATCH(Parametres!$B$3,V$1:AG$1,0))*IF(OR(C1007="L",C1007="S",C1007="I"),-1,1)</f>
        <v>0</v>
      </c>
      <c r="AY1007" s="487" t="s">
        <v>337</v>
      </c>
      <c r="AZ1007" s="487" t="e">
        <f>+VLOOKUP($AJ1007,Data_Validation!$A:$E,5,0)</f>
        <v>#N/A</v>
      </c>
    </row>
    <row r="1008" spans="1:52" ht="15" customHeight="1">
      <c r="A1008" s="706" t="s">
        <v>1148</v>
      </c>
      <c r="B1008" s="706">
        <v>2026</v>
      </c>
      <c r="C1008" s="706" t="s">
        <v>3033</v>
      </c>
      <c r="D1008" s="706" t="s">
        <v>3034</v>
      </c>
      <c r="E1008" s="706" t="s">
        <v>333</v>
      </c>
      <c r="F1008" s="706" t="s">
        <v>1150</v>
      </c>
      <c r="G1008" s="706">
        <v>0</v>
      </c>
      <c r="H1008" s="706">
        <v>-291.51</v>
      </c>
      <c r="I1008" s="706">
        <v>1158.49</v>
      </c>
      <c r="J1008" s="706">
        <v>6748.1</v>
      </c>
      <c r="K1008" s="706">
        <v>8664.1200000000008</v>
      </c>
      <c r="L1008" s="706">
        <v>11124.29</v>
      </c>
      <c r="M1008" s="706">
        <v>11124.29</v>
      </c>
      <c r="N1008" s="706">
        <v>0</v>
      </c>
      <c r="O1008" s="706">
        <v>0</v>
      </c>
      <c r="P1008" s="706">
        <v>0</v>
      </c>
      <c r="Q1008" s="706">
        <v>0</v>
      </c>
      <c r="R1008" s="706">
        <v>0</v>
      </c>
      <c r="S1008" s="706">
        <v>1854.05</v>
      </c>
      <c r="T1008" s="706">
        <v>1854.05</v>
      </c>
      <c r="U1008" s="706">
        <v>0</v>
      </c>
      <c r="V1008" s="706">
        <v>0</v>
      </c>
      <c r="W1008" s="706">
        <v>-1</v>
      </c>
      <c r="X1008" s="706">
        <v>1</v>
      </c>
      <c r="Y1008" s="706">
        <v>8</v>
      </c>
      <c r="Z1008" s="706">
        <v>9</v>
      </c>
      <c r="AA1008" s="706">
        <v>10</v>
      </c>
      <c r="AB1008" s="706">
        <v>10</v>
      </c>
      <c r="AC1008" s="706">
        <v>0</v>
      </c>
      <c r="AD1008" s="706">
        <v>0</v>
      </c>
      <c r="AE1008" s="706">
        <v>0</v>
      </c>
      <c r="AF1008" s="706">
        <v>0</v>
      </c>
      <c r="AG1008" s="706">
        <v>0</v>
      </c>
      <c r="AH1008" s="706">
        <v>2</v>
      </c>
      <c r="AI1008" s="706">
        <v>2</v>
      </c>
      <c r="AJ1008" s="905" t="str">
        <f t="shared" si="104"/>
        <v>G80600</v>
      </c>
      <c r="AK1008" s="905" t="str">
        <f t="shared" si="105"/>
        <v>REVENUS FINANCE VEH. NEUF</v>
      </c>
      <c r="AL1008" s="905">
        <f>IFERROR(INDEX(G1008:R1008,1,MATCH(Parametres!$B$3,G$1:R$1,0)-1)*IF(OR(F1008="L",F1008="S",F1008="I"),-1,1),"")</f>
        <v>-8664.1200000000008</v>
      </c>
      <c r="AM1008" s="905">
        <f t="shared" si="106"/>
        <v>-2460.17</v>
      </c>
      <c r="AN1008" s="905">
        <f>INDEX(G1008:R1008,1,MATCH(Parametres!$B$3,G$1:R$1,0))*IF(OR(F1008="L",F1008="S",F1008="I"),-1,1)</f>
        <v>-11124.29</v>
      </c>
      <c r="AO1008" s="487" t="str">
        <f>+VLOOKUP($AJ1008,Data_Validation!$A:$D,1,0)</f>
        <v>G80600</v>
      </c>
      <c r="AP1008" s="487" t="str">
        <f>+VLOOKUP($AJ1008,Data_Validation!$A:$D,3,0)</f>
        <v>Véhicules neufs</v>
      </c>
      <c r="AQ1008" s="487" t="str">
        <f>+VLOOKUP($AJ1008,Data_Validation!$A:$D,4,0)</f>
        <v>Rev. Finances</v>
      </c>
      <c r="AR1008" s="487" t="s">
        <v>299</v>
      </c>
      <c r="AS1008" s="487" t="str">
        <f>+VLOOKUP($AJ1008,Data_Validation!$A:$E,5,0)</f>
        <v>Oui</v>
      </c>
      <c r="AT1008" s="904" t="str">
        <f t="shared" si="107"/>
        <v>G80600</v>
      </c>
      <c r="AU1008" s="488" t="str">
        <f t="shared" si="108"/>
        <v>REVENUS FINANCE VEH. NEUF</v>
      </c>
      <c r="AV1008" s="899">
        <f>IFERROR(INDEX(V1008:AG1008,1,MATCH(Parametres!$B$3,V$1:AG$1,0)-1)*IF(OR(C1008="L",C1008="S",C1008="I"),-1,1),"")</f>
        <v>9</v>
      </c>
      <c r="AW1008" s="899">
        <f t="shared" si="109"/>
        <v>1</v>
      </c>
      <c r="AX1008" s="899">
        <f>INDEX(V1008:AG1008,1,MATCH(Parametres!$B$3,V$1:AG$1,0))*IF(OR(C1008="L",C1008="S",C1008="I"),-1,1)</f>
        <v>10</v>
      </c>
      <c r="AY1008" s="487" t="s">
        <v>337</v>
      </c>
      <c r="AZ1008" s="487" t="str">
        <f>+VLOOKUP($AJ1008,Data_Validation!$A:$E,5,0)</f>
        <v>Oui</v>
      </c>
    </row>
    <row r="1009" spans="1:52" ht="15" customHeight="1">
      <c r="A1009" s="706" t="s">
        <v>1148</v>
      </c>
      <c r="B1009" s="706">
        <v>2026</v>
      </c>
      <c r="C1009" s="706" t="s">
        <v>3035</v>
      </c>
      <c r="D1009" s="706" t="s">
        <v>3036</v>
      </c>
      <c r="E1009" s="706" t="s">
        <v>333</v>
      </c>
      <c r="F1009" s="706" t="s">
        <v>1150</v>
      </c>
      <c r="G1009" s="706">
        <v>0</v>
      </c>
      <c r="H1009" s="706">
        <v>0</v>
      </c>
      <c r="I1009" s="706">
        <v>0</v>
      </c>
      <c r="J1009" s="706">
        <v>0</v>
      </c>
      <c r="K1009" s="706">
        <v>0</v>
      </c>
      <c r="L1009" s="706">
        <v>0</v>
      </c>
      <c r="M1009" s="706">
        <v>0</v>
      </c>
      <c r="N1009" s="706">
        <v>0</v>
      </c>
      <c r="O1009" s="706">
        <v>0</v>
      </c>
      <c r="P1009" s="706">
        <v>0</v>
      </c>
      <c r="Q1009" s="706">
        <v>0</v>
      </c>
      <c r="R1009" s="706">
        <v>0</v>
      </c>
      <c r="S1009" s="706">
        <v>0</v>
      </c>
      <c r="T1009" s="706">
        <v>0</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104"/>
        <v>G807</v>
      </c>
      <c r="AK1009" s="905" t="str">
        <f t="shared" si="105"/>
        <v>COMM/ASSURANCE - NEUF</v>
      </c>
      <c r="AL1009" s="905">
        <f>IFERROR(INDEX(G1009:R1009,1,MATCH(Parametres!$B$3,G$1:R$1,0)-1)*IF(OR(F1009="L",F1009="S",F1009="I"),-1,1),"")</f>
        <v>0</v>
      </c>
      <c r="AM1009" s="905">
        <f t="shared" si="106"/>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t="str">
        <f t="shared" si="107"/>
        <v>G807</v>
      </c>
      <c r="AU1009" s="488" t="str">
        <f t="shared" si="108"/>
        <v>COMM/ASSURANCE - NEUF</v>
      </c>
      <c r="AV1009" s="899">
        <f>IFERROR(INDEX(V1009:AG1009,1,MATCH(Parametres!$B$3,V$1:AG$1,0)-1)*IF(OR(C1009="L",C1009="S",C1009="I"),-1,1),"")</f>
        <v>0</v>
      </c>
      <c r="AW1009" s="899">
        <f t="shared" si="109"/>
        <v>0</v>
      </c>
      <c r="AX1009" s="899">
        <f>INDEX(V1009:AG1009,1,MATCH(Parametres!$B$3,V$1:AG$1,0))*IF(OR(C1009="L",C1009="S",C1009="I"),-1,1)</f>
        <v>0</v>
      </c>
      <c r="AY1009" s="487" t="s">
        <v>337</v>
      </c>
      <c r="AZ1009" s="487" t="e">
        <f>+VLOOKUP($AJ1009,Data_Validation!$A:$E,5,0)</f>
        <v>#N/A</v>
      </c>
    </row>
    <row r="1010" spans="1:52" ht="15" customHeight="1">
      <c r="A1010" s="706" t="s">
        <v>1148</v>
      </c>
      <c r="B1010" s="706">
        <v>2026</v>
      </c>
      <c r="C1010" s="706" t="s">
        <v>3037</v>
      </c>
      <c r="D1010" s="706" t="s">
        <v>3038</v>
      </c>
      <c r="E1010" s="706" t="s">
        <v>333</v>
      </c>
      <c r="F1010" s="706" t="s">
        <v>1150</v>
      </c>
      <c r="G1010" s="706">
        <v>2016.14</v>
      </c>
      <c r="H1010" s="706">
        <v>6065.08</v>
      </c>
      <c r="I1010" s="706">
        <v>6065.08</v>
      </c>
      <c r="J1010" s="706">
        <v>9866.18</v>
      </c>
      <c r="K1010" s="706">
        <v>9866.18</v>
      </c>
      <c r="L1010" s="706">
        <v>23237.93</v>
      </c>
      <c r="M1010" s="706">
        <v>23237.93</v>
      </c>
      <c r="N1010" s="706">
        <v>0</v>
      </c>
      <c r="O1010" s="706">
        <v>0</v>
      </c>
      <c r="P1010" s="706">
        <v>0</v>
      </c>
      <c r="Q1010" s="706">
        <v>0</v>
      </c>
      <c r="R1010" s="706">
        <v>0</v>
      </c>
      <c r="S1010" s="706">
        <v>3872.99</v>
      </c>
      <c r="T1010" s="706">
        <v>3872.99</v>
      </c>
      <c r="U1010" s="706">
        <v>0</v>
      </c>
      <c r="V1010" s="706">
        <v>0</v>
      </c>
      <c r="W1010" s="706">
        <v>0</v>
      </c>
      <c r="X1010" s="706">
        <v>0</v>
      </c>
      <c r="Y1010" s="706">
        <v>-1</v>
      </c>
      <c r="Z1010" s="706">
        <v>-1</v>
      </c>
      <c r="AA1010" s="706">
        <v>-1</v>
      </c>
      <c r="AB1010" s="706">
        <v>-1</v>
      </c>
      <c r="AC1010" s="706">
        <v>0</v>
      </c>
      <c r="AD1010" s="706">
        <v>0</v>
      </c>
      <c r="AE1010" s="706">
        <v>0</v>
      </c>
      <c r="AF1010" s="706">
        <v>0</v>
      </c>
      <c r="AG1010" s="706">
        <v>0</v>
      </c>
      <c r="AH1010" s="706">
        <v>0</v>
      </c>
      <c r="AI1010" s="706">
        <v>0</v>
      </c>
      <c r="AJ1010" s="905" t="str">
        <f t="shared" si="104"/>
        <v>G80700</v>
      </c>
      <c r="AK1010" s="905" t="str">
        <f t="shared" si="105"/>
        <v>REV. ASS-VIE INVAL. NEUF</v>
      </c>
      <c r="AL1010" s="905">
        <f>IFERROR(INDEX(G1010:R1010,1,MATCH(Parametres!$B$3,G$1:R$1,0)-1)*IF(OR(F1010="L",F1010="S",F1010="I"),-1,1),"")</f>
        <v>-9866.18</v>
      </c>
      <c r="AM1010" s="905">
        <f t="shared" si="106"/>
        <v>-13371.75</v>
      </c>
      <c r="AN1010" s="905">
        <f>INDEX(G1010:R1010,1,MATCH(Parametres!$B$3,G$1:R$1,0))*IF(OR(F1010="L",F1010="S",F1010="I"),-1,1)</f>
        <v>-23237.93</v>
      </c>
      <c r="AO1010" s="487" t="str">
        <f>+VLOOKUP($AJ1010,Data_Validation!$A:$D,1,0)</f>
        <v>G80700</v>
      </c>
      <c r="AP1010" s="487" t="str">
        <f>+VLOOKUP($AJ1010,Data_Validation!$A:$D,3,0)</f>
        <v>Véhicules neufs</v>
      </c>
      <c r="AQ1010" s="487" t="str">
        <f>+VLOOKUP($AJ1010,Data_Validation!$A:$D,4,0)</f>
        <v>Rev. Protections</v>
      </c>
      <c r="AR1010" s="487" t="s">
        <v>299</v>
      </c>
      <c r="AS1010" s="487" t="str">
        <f>+VLOOKUP($AJ1010,Data_Validation!$A:$E,5,0)</f>
        <v>Oui</v>
      </c>
      <c r="AT1010" s="904" t="str">
        <f t="shared" si="107"/>
        <v>G80700</v>
      </c>
      <c r="AU1010" s="488" t="str">
        <f t="shared" si="108"/>
        <v>REV. ASS-VIE INVAL. NEUF</v>
      </c>
      <c r="AV1010" s="899">
        <f>IFERROR(INDEX(V1010:AG1010,1,MATCH(Parametres!$B$3,V$1:AG$1,0)-1)*IF(OR(C1010="L",C1010="S",C1010="I"),-1,1),"")</f>
        <v>-1</v>
      </c>
      <c r="AW1010" s="899">
        <f t="shared" si="109"/>
        <v>0</v>
      </c>
      <c r="AX1010" s="899">
        <f>INDEX(V1010:AG1010,1,MATCH(Parametres!$B$3,V$1:AG$1,0))*IF(OR(C1010="L",C1010="S",C1010="I"),-1,1)</f>
        <v>-1</v>
      </c>
      <c r="AY1010" s="487" t="s">
        <v>337</v>
      </c>
      <c r="AZ1010" s="487" t="str">
        <f>+VLOOKUP($AJ1010,Data_Validation!$A:$E,5,0)</f>
        <v>Oui</v>
      </c>
    </row>
    <row r="1011" spans="1:52" ht="15" customHeight="1">
      <c r="A1011" s="706" t="s">
        <v>1148</v>
      </c>
      <c r="B1011" s="706">
        <v>2026</v>
      </c>
      <c r="C1011" s="706" t="s">
        <v>3039</v>
      </c>
      <c r="D1011" s="706" t="s">
        <v>3040</v>
      </c>
      <c r="E1011" s="706" t="s">
        <v>333</v>
      </c>
      <c r="F1011" s="706" t="s">
        <v>1150</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4"/>
        <v>G808</v>
      </c>
      <c r="AK1011" s="905" t="str">
        <f t="shared" si="105"/>
        <v>REVENU FINANCEMENT USAGES</v>
      </c>
      <c r="AL1011" s="905">
        <f>IFERROR(INDEX(G1011:R1011,1,MATCH(Parametres!$B$3,G$1:R$1,0)-1)*IF(OR(F1011="L",F1011="S",F1011="I"),-1,1),"")</f>
        <v>0</v>
      </c>
      <c r="AM1011" s="905">
        <f t="shared" si="106"/>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07"/>
        <v>G808</v>
      </c>
      <c r="AU1011" s="488" t="str">
        <f t="shared" si="108"/>
        <v>REVENU FINANCEMENT USAGES</v>
      </c>
      <c r="AV1011" s="899">
        <f>IFERROR(INDEX(V1011:AG1011,1,MATCH(Parametres!$B$3,V$1:AG$1,0)-1)*IF(OR(C1011="L",C1011="S",C1011="I"),-1,1),"")</f>
        <v>0</v>
      </c>
      <c r="AW1011" s="899">
        <f t="shared" si="109"/>
        <v>0</v>
      </c>
      <c r="AX1011" s="899">
        <f>INDEX(V1011:AG1011,1,MATCH(Parametres!$B$3,V$1:AG$1,0))*IF(OR(C1011="L",C1011="S",C1011="I"),-1,1)</f>
        <v>0</v>
      </c>
      <c r="AY1011" s="487" t="s">
        <v>337</v>
      </c>
      <c r="AZ1011" s="487" t="e">
        <f>+VLOOKUP($AJ1011,Data_Validation!$A:$E,5,0)</f>
        <v>#N/A</v>
      </c>
    </row>
    <row r="1012" spans="1:52" ht="15" customHeight="1">
      <c r="A1012" s="706" t="s">
        <v>1148</v>
      </c>
      <c r="B1012" s="706">
        <v>2026</v>
      </c>
      <c r="C1012" s="706" t="s">
        <v>3041</v>
      </c>
      <c r="D1012" s="706" t="s">
        <v>3042</v>
      </c>
      <c r="E1012" s="706" t="s">
        <v>333</v>
      </c>
      <c r="F1012" s="706" t="s">
        <v>1150</v>
      </c>
      <c r="G1012" s="706">
        <v>6932.74</v>
      </c>
      <c r="H1012" s="706">
        <v>12944.93</v>
      </c>
      <c r="I1012" s="706">
        <v>25188.84</v>
      </c>
      <c r="J1012" s="706">
        <v>34384.089999999997</v>
      </c>
      <c r="K1012" s="706">
        <v>43238.29</v>
      </c>
      <c r="L1012" s="706">
        <v>45460.49</v>
      </c>
      <c r="M1012" s="706">
        <v>47149.04</v>
      </c>
      <c r="N1012" s="706">
        <v>0</v>
      </c>
      <c r="O1012" s="706">
        <v>0</v>
      </c>
      <c r="P1012" s="706">
        <v>0</v>
      </c>
      <c r="Q1012" s="706">
        <v>0</v>
      </c>
      <c r="R1012" s="706">
        <v>0</v>
      </c>
      <c r="S1012" s="706">
        <v>7576.75</v>
      </c>
      <c r="T1012" s="706">
        <v>7576.75</v>
      </c>
      <c r="U1012" s="706">
        <v>0</v>
      </c>
      <c r="V1012" s="706">
        <v>7</v>
      </c>
      <c r="W1012" s="706">
        <v>11</v>
      </c>
      <c r="X1012" s="706">
        <v>21</v>
      </c>
      <c r="Y1012" s="706">
        <v>29</v>
      </c>
      <c r="Z1012" s="706">
        <v>41</v>
      </c>
      <c r="AA1012" s="706">
        <v>44</v>
      </c>
      <c r="AB1012" s="706">
        <v>46</v>
      </c>
      <c r="AC1012" s="706">
        <v>0</v>
      </c>
      <c r="AD1012" s="706">
        <v>0</v>
      </c>
      <c r="AE1012" s="706">
        <v>0</v>
      </c>
      <c r="AF1012" s="706">
        <v>0</v>
      </c>
      <c r="AG1012" s="706">
        <v>0</v>
      </c>
      <c r="AH1012" s="706">
        <v>7</v>
      </c>
      <c r="AI1012" s="706">
        <v>7</v>
      </c>
      <c r="AJ1012" s="905" t="str">
        <f t="shared" si="104"/>
        <v>G80800</v>
      </c>
      <c r="AK1012" s="905" t="str">
        <f t="shared" si="105"/>
        <v>REVENUS FINANCE VEH.USAGE</v>
      </c>
      <c r="AL1012" s="905">
        <f>IFERROR(INDEX(G1012:R1012,1,MATCH(Parametres!$B$3,G$1:R$1,0)-1)*IF(OR(F1012="L",F1012="S",F1012="I"),-1,1),"")</f>
        <v>-43238.29</v>
      </c>
      <c r="AM1012" s="905">
        <f t="shared" si="106"/>
        <v>-2222.1999999999971</v>
      </c>
      <c r="AN1012" s="905">
        <f>INDEX(G1012:R1012,1,MATCH(Parametres!$B$3,G$1:R$1,0))*IF(OR(F1012="L",F1012="S",F1012="I"),-1,1)</f>
        <v>-45460.49</v>
      </c>
      <c r="AO1012" s="487" t="str">
        <f>+VLOOKUP($AJ1012,Data_Validation!$A:$D,1,0)</f>
        <v>G80800</v>
      </c>
      <c r="AP1012" s="487" t="str">
        <f>+VLOOKUP($AJ1012,Data_Validation!$A:$D,3,0)</f>
        <v>Véhicules usagés</v>
      </c>
      <c r="AQ1012" s="487" t="str">
        <f>+VLOOKUP($AJ1012,Data_Validation!$A:$D,4,0)</f>
        <v>Rev. Finances</v>
      </c>
      <c r="AR1012" s="487" t="s">
        <v>299</v>
      </c>
      <c r="AS1012" s="487" t="str">
        <f>+VLOOKUP($AJ1012,Data_Validation!$A:$E,5,0)</f>
        <v>Oui</v>
      </c>
      <c r="AT1012" s="904" t="str">
        <f t="shared" si="107"/>
        <v>G80800</v>
      </c>
      <c r="AU1012" s="488" t="str">
        <f t="shared" si="108"/>
        <v>REVENUS FINANCE VEH.USAGE</v>
      </c>
      <c r="AV1012" s="899">
        <f>IFERROR(INDEX(V1012:AG1012,1,MATCH(Parametres!$B$3,V$1:AG$1,0)-1)*IF(OR(C1012="L",C1012="S",C1012="I"),-1,1),"")</f>
        <v>41</v>
      </c>
      <c r="AW1012" s="899">
        <f t="shared" si="109"/>
        <v>3</v>
      </c>
      <c r="AX1012" s="899">
        <f>INDEX(V1012:AG1012,1,MATCH(Parametres!$B$3,V$1:AG$1,0))*IF(OR(C1012="L",C1012="S",C1012="I"),-1,1)</f>
        <v>44</v>
      </c>
      <c r="AY1012" s="487" t="s">
        <v>337</v>
      </c>
      <c r="AZ1012" s="487" t="str">
        <f>+VLOOKUP($AJ1012,Data_Validation!$A:$E,5,0)</f>
        <v>Oui</v>
      </c>
    </row>
    <row r="1013" spans="1:52" ht="15" customHeight="1">
      <c r="A1013" s="706" t="s">
        <v>1148</v>
      </c>
      <c r="B1013" s="706">
        <v>2026</v>
      </c>
      <c r="C1013" s="706" t="s">
        <v>3043</v>
      </c>
      <c r="D1013" s="706" t="s">
        <v>3044</v>
      </c>
      <c r="E1013" s="706" t="s">
        <v>333</v>
      </c>
      <c r="F1013" s="706" t="s">
        <v>1150</v>
      </c>
      <c r="G1013" s="706">
        <v>0</v>
      </c>
      <c r="H1013" s="706">
        <v>0</v>
      </c>
      <c r="I1013" s="706">
        <v>0</v>
      </c>
      <c r="J1013" s="706">
        <v>0</v>
      </c>
      <c r="K1013" s="706">
        <v>0</v>
      </c>
      <c r="L1013" s="706">
        <v>0</v>
      </c>
      <c r="M1013" s="706">
        <v>0</v>
      </c>
      <c r="N1013" s="706">
        <v>0</v>
      </c>
      <c r="O1013" s="706">
        <v>0</v>
      </c>
      <c r="P1013" s="706">
        <v>0</v>
      </c>
      <c r="Q1013" s="706">
        <v>0</v>
      </c>
      <c r="R1013" s="706">
        <v>0</v>
      </c>
      <c r="S1013" s="706">
        <v>0</v>
      </c>
      <c r="T1013" s="706">
        <v>0</v>
      </c>
      <c r="U1013" s="706">
        <v>0</v>
      </c>
      <c r="V1013" s="706">
        <v>0</v>
      </c>
      <c r="W1013" s="706">
        <v>0</v>
      </c>
      <c r="X1013" s="706">
        <v>0</v>
      </c>
      <c r="Y1013" s="706">
        <v>0</v>
      </c>
      <c r="Z1013" s="706">
        <v>0</v>
      </c>
      <c r="AA1013" s="706">
        <v>0</v>
      </c>
      <c r="AB1013" s="706">
        <v>0</v>
      </c>
      <c r="AC1013" s="706">
        <v>0</v>
      </c>
      <c r="AD1013" s="706">
        <v>0</v>
      </c>
      <c r="AE1013" s="706">
        <v>0</v>
      </c>
      <c r="AF1013" s="706">
        <v>0</v>
      </c>
      <c r="AG1013" s="706">
        <v>0</v>
      </c>
      <c r="AH1013" s="706">
        <v>0</v>
      </c>
      <c r="AI1013" s="706">
        <v>0</v>
      </c>
      <c r="AJ1013" s="905" t="str">
        <f t="shared" ref="AJ1013:AJ1076" si="110">C1013</f>
        <v>G809</v>
      </c>
      <c r="AK1013" s="905" t="str">
        <f t="shared" ref="AK1013:AK1076" si="111">D1013</f>
        <v>COMM/ASSURANCE USAGES</v>
      </c>
      <c r="AL1013" s="905">
        <f>IFERROR(INDEX(G1013:R1013,1,MATCH(Parametres!$B$3,G$1:R$1,0)-1)*IF(OR(F1013="L",F1013="S",F1013="I"),-1,1),"")</f>
        <v>0</v>
      </c>
      <c r="AM1013" s="905">
        <f t="shared" ref="AM1013:AM1076" si="112">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t="str">
        <f t="shared" ref="AT1013:AT1076" si="113">C1013</f>
        <v>G809</v>
      </c>
      <c r="AU1013" s="488" t="str">
        <f t="shared" ref="AU1013:AU1076" si="114">D1013</f>
        <v>COMM/ASSURANCE USAGES</v>
      </c>
      <c r="AV1013" s="899">
        <f>IFERROR(INDEX(V1013:AG1013,1,MATCH(Parametres!$B$3,V$1:AG$1,0)-1)*IF(OR(C1013="L",C1013="S",C1013="I"),-1,1),"")</f>
        <v>0</v>
      </c>
      <c r="AW1013" s="899">
        <f t="shared" ref="AW1013:AW1076" si="115">AX1013-AV1013</f>
        <v>0</v>
      </c>
      <c r="AX1013" s="899">
        <f>INDEX(V1013:AG1013,1,MATCH(Parametres!$B$3,V$1:AG$1,0))*IF(OR(C1013="L",C1013="S",C1013="I"),-1,1)</f>
        <v>0</v>
      </c>
      <c r="AY1013" s="487" t="s">
        <v>337</v>
      </c>
      <c r="AZ1013" s="487" t="e">
        <f>+VLOOKUP($AJ1013,Data_Validation!$A:$E,5,0)</f>
        <v>#N/A</v>
      </c>
    </row>
    <row r="1014" spans="1:52" ht="15" customHeight="1">
      <c r="A1014" s="706" t="s">
        <v>1148</v>
      </c>
      <c r="B1014" s="706">
        <v>2026</v>
      </c>
      <c r="C1014" s="706" t="s">
        <v>3045</v>
      </c>
      <c r="D1014" s="706" t="s">
        <v>3046</v>
      </c>
      <c r="E1014" s="706" t="s">
        <v>333</v>
      </c>
      <c r="F1014" s="706" t="s">
        <v>1150</v>
      </c>
      <c r="G1014" s="706">
        <v>969.88</v>
      </c>
      <c r="H1014" s="706">
        <v>969.88</v>
      </c>
      <c r="I1014" s="706">
        <v>969.88</v>
      </c>
      <c r="J1014" s="706">
        <v>3540.5</v>
      </c>
      <c r="K1014" s="706">
        <v>3540.5</v>
      </c>
      <c r="L1014" s="706">
        <v>3540.5</v>
      </c>
      <c r="M1014" s="706">
        <v>3540.5</v>
      </c>
      <c r="N1014" s="706">
        <v>0</v>
      </c>
      <c r="O1014" s="706">
        <v>0</v>
      </c>
      <c r="P1014" s="706">
        <v>0</v>
      </c>
      <c r="Q1014" s="706">
        <v>0</v>
      </c>
      <c r="R1014" s="706">
        <v>0</v>
      </c>
      <c r="S1014" s="706">
        <v>590.08000000000004</v>
      </c>
      <c r="T1014" s="706">
        <v>590.08000000000004</v>
      </c>
      <c r="U1014" s="706">
        <v>0</v>
      </c>
      <c r="V1014" s="706">
        <v>0</v>
      </c>
      <c r="W1014" s="706">
        <v>0</v>
      </c>
      <c r="X1014" s="706">
        <v>0</v>
      </c>
      <c r="Y1014" s="706">
        <v>-1</v>
      </c>
      <c r="Z1014" s="706">
        <v>-1</v>
      </c>
      <c r="AA1014" s="706">
        <v>-1</v>
      </c>
      <c r="AB1014" s="706">
        <v>-1</v>
      </c>
      <c r="AC1014" s="706">
        <v>0</v>
      </c>
      <c r="AD1014" s="706">
        <v>0</v>
      </c>
      <c r="AE1014" s="706">
        <v>0</v>
      </c>
      <c r="AF1014" s="706">
        <v>0</v>
      </c>
      <c r="AG1014" s="706">
        <v>0</v>
      </c>
      <c r="AH1014" s="706">
        <v>0</v>
      </c>
      <c r="AI1014" s="706">
        <v>0</v>
      </c>
      <c r="AJ1014" s="905" t="str">
        <f t="shared" si="110"/>
        <v>G80900</v>
      </c>
      <c r="AK1014" s="905" t="str">
        <f t="shared" si="111"/>
        <v>REV. ASS-VIE INVAL. USAGE</v>
      </c>
      <c r="AL1014" s="905">
        <f>IFERROR(INDEX(G1014:R1014,1,MATCH(Parametres!$B$3,G$1:R$1,0)-1)*IF(OR(F1014="L",F1014="S",F1014="I"),-1,1),"")</f>
        <v>-3540.5</v>
      </c>
      <c r="AM1014" s="905">
        <f t="shared" si="112"/>
        <v>0</v>
      </c>
      <c r="AN1014" s="905">
        <f>INDEX(G1014:R1014,1,MATCH(Parametres!$B$3,G$1:R$1,0))*IF(OR(F1014="L",F1014="S",F1014="I"),-1,1)</f>
        <v>-3540.5</v>
      </c>
      <c r="AO1014" s="487" t="str">
        <f>+VLOOKUP($AJ1014,Data_Validation!$A:$D,1,0)</f>
        <v>G80900</v>
      </c>
      <c r="AP1014" s="487" t="str">
        <f>+VLOOKUP($AJ1014,Data_Validation!$A:$D,3,0)</f>
        <v>Véhicules usagés</v>
      </c>
      <c r="AQ1014" s="487" t="str">
        <f>+VLOOKUP($AJ1014,Data_Validation!$A:$D,4,0)</f>
        <v>Rev. Protections</v>
      </c>
      <c r="AR1014" s="487" t="s">
        <v>299</v>
      </c>
      <c r="AS1014" s="487" t="str">
        <f>+VLOOKUP($AJ1014,Data_Validation!$A:$E,5,0)</f>
        <v>Oui</v>
      </c>
      <c r="AT1014" s="904" t="str">
        <f t="shared" si="113"/>
        <v>G80900</v>
      </c>
      <c r="AU1014" s="488" t="str">
        <f t="shared" si="114"/>
        <v>REV. ASS-VIE INVAL. USAGE</v>
      </c>
      <c r="AV1014" s="899">
        <f>IFERROR(INDEX(V1014:AG1014,1,MATCH(Parametres!$B$3,V$1:AG$1,0)-1)*IF(OR(C1014="L",C1014="S",C1014="I"),-1,1),"")</f>
        <v>-1</v>
      </c>
      <c r="AW1014" s="899">
        <f t="shared" si="115"/>
        <v>0</v>
      </c>
      <c r="AX1014" s="899">
        <f>INDEX(V1014:AG1014,1,MATCH(Parametres!$B$3,V$1:AG$1,0))*IF(OR(C1014="L",C1014="S",C1014="I"),-1,1)</f>
        <v>-1</v>
      </c>
      <c r="AY1014" s="487" t="s">
        <v>337</v>
      </c>
      <c r="AZ1014" s="487" t="str">
        <f>+VLOOKUP($AJ1014,Data_Validation!$A:$E,5,0)</f>
        <v>Oui</v>
      </c>
    </row>
    <row r="1015" spans="1:52" ht="15" customHeight="1">
      <c r="A1015" s="706" t="s">
        <v>1148</v>
      </c>
      <c r="B1015" s="706">
        <v>2026</v>
      </c>
      <c r="C1015" s="706" t="s">
        <v>3047</v>
      </c>
      <c r="D1015" s="706" t="s">
        <v>3048</v>
      </c>
      <c r="E1015" s="706" t="s">
        <v>333</v>
      </c>
      <c r="F1015" s="706" t="s">
        <v>1149</v>
      </c>
      <c r="G1015" s="706">
        <v>0</v>
      </c>
      <c r="H1015" s="706">
        <v>0</v>
      </c>
      <c r="I1015" s="706">
        <v>0</v>
      </c>
      <c r="J1015" s="706">
        <v>0</v>
      </c>
      <c r="K1015" s="706">
        <v>0</v>
      </c>
      <c r="L1015" s="706">
        <v>0</v>
      </c>
      <c r="M1015" s="706">
        <v>0</v>
      </c>
      <c r="N1015" s="706">
        <v>0</v>
      </c>
      <c r="O1015" s="706">
        <v>0</v>
      </c>
      <c r="P1015" s="706">
        <v>0</v>
      </c>
      <c r="Q1015" s="706">
        <v>0</v>
      </c>
      <c r="R1015" s="706">
        <v>0</v>
      </c>
      <c r="S1015" s="706">
        <v>0</v>
      </c>
      <c r="T1015" s="706">
        <v>0</v>
      </c>
      <c r="U1015" s="706">
        <v>0</v>
      </c>
      <c r="V1015" s="706">
        <v>0</v>
      </c>
      <c r="W1015" s="706">
        <v>0</v>
      </c>
      <c r="X1015" s="706">
        <v>0</v>
      </c>
      <c r="Y1015" s="706">
        <v>0</v>
      </c>
      <c r="Z1015" s="706">
        <v>0</v>
      </c>
      <c r="AA1015" s="706">
        <v>0</v>
      </c>
      <c r="AB1015" s="706">
        <v>0</v>
      </c>
      <c r="AC1015" s="706">
        <v>0</v>
      </c>
      <c r="AD1015" s="706">
        <v>0</v>
      </c>
      <c r="AE1015" s="706">
        <v>0</v>
      </c>
      <c r="AF1015" s="706">
        <v>0</v>
      </c>
      <c r="AG1015" s="706">
        <v>0</v>
      </c>
      <c r="AH1015" s="706">
        <v>0</v>
      </c>
      <c r="AI1015" s="706">
        <v>0</v>
      </c>
      <c r="AJ1015" s="905" t="str">
        <f t="shared" si="110"/>
        <v>G810</v>
      </c>
      <c r="AK1015" s="905" t="str">
        <f t="shared" si="111"/>
        <v>VTES-ACCESSOIRES NEUF</v>
      </c>
      <c r="AL1015" s="905">
        <f>IFERROR(INDEX(G1015:R1015,1,MATCH(Parametres!$B$3,G$1:R$1,0)-1)*IF(OR(F1015="L",F1015="S",F1015="I"),-1,1),"")</f>
        <v>0</v>
      </c>
      <c r="AM1015" s="905">
        <f t="shared" si="112"/>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t="str">
        <f t="shared" si="113"/>
        <v>G810</v>
      </c>
      <c r="AU1015" s="488" t="str">
        <f t="shared" si="114"/>
        <v>VTES-ACCESSOIRES NEUF</v>
      </c>
      <c r="AV1015" s="899">
        <f>IFERROR(INDEX(V1015:AG1015,1,MATCH(Parametres!$B$3,V$1:AG$1,0)-1)*IF(OR(C1015="L",C1015="S",C1015="I"),-1,1),"")</f>
        <v>0</v>
      </c>
      <c r="AW1015" s="899">
        <f t="shared" si="115"/>
        <v>0</v>
      </c>
      <c r="AX1015" s="899">
        <f>INDEX(V1015:AG1015,1,MATCH(Parametres!$B$3,V$1:AG$1,0))*IF(OR(C1015="L",C1015="S",C1015="I"),-1,1)</f>
        <v>0</v>
      </c>
      <c r="AY1015" s="487" t="s">
        <v>337</v>
      </c>
      <c r="AZ1015" s="487" t="e">
        <f>+VLOOKUP($AJ1015,Data_Validation!$A:$E,5,0)</f>
        <v>#N/A</v>
      </c>
    </row>
    <row r="1016" spans="1:52" ht="15" customHeight="1">
      <c r="A1016" s="706" t="s">
        <v>1148</v>
      </c>
      <c r="B1016" s="706">
        <v>2026</v>
      </c>
      <c r="C1016" s="706" t="s">
        <v>3049</v>
      </c>
      <c r="D1016" s="706" t="s">
        <v>3050</v>
      </c>
      <c r="E1016" s="706" t="s">
        <v>333</v>
      </c>
      <c r="F1016" s="706" t="s">
        <v>1152</v>
      </c>
      <c r="G1016" s="706">
        <v>0</v>
      </c>
      <c r="H1016" s="706">
        <v>0</v>
      </c>
      <c r="I1016" s="706">
        <v>0</v>
      </c>
      <c r="J1016" s="706">
        <v>0</v>
      </c>
      <c r="K1016" s="706">
        <v>0</v>
      </c>
      <c r="L1016" s="706">
        <v>0</v>
      </c>
      <c r="M1016" s="706">
        <v>0</v>
      </c>
      <c r="N1016" s="706">
        <v>0</v>
      </c>
      <c r="O1016" s="706">
        <v>0</v>
      </c>
      <c r="P1016" s="706">
        <v>0</v>
      </c>
      <c r="Q1016" s="706">
        <v>0</v>
      </c>
      <c r="R1016" s="706">
        <v>0</v>
      </c>
      <c r="S1016" s="706">
        <v>0</v>
      </c>
      <c r="T1016" s="706">
        <v>0</v>
      </c>
      <c r="U1016" s="706">
        <v>0</v>
      </c>
      <c r="V1016" s="706">
        <v>0</v>
      </c>
      <c r="W1016" s="706">
        <v>0</v>
      </c>
      <c r="X1016" s="706">
        <v>0</v>
      </c>
      <c r="Y1016" s="706">
        <v>0</v>
      </c>
      <c r="Z1016" s="706">
        <v>0</v>
      </c>
      <c r="AA1016" s="706">
        <v>0</v>
      </c>
      <c r="AB1016" s="706">
        <v>0</v>
      </c>
      <c r="AC1016" s="706">
        <v>0</v>
      </c>
      <c r="AD1016" s="706">
        <v>0</v>
      </c>
      <c r="AE1016" s="706">
        <v>0</v>
      </c>
      <c r="AF1016" s="706">
        <v>0</v>
      </c>
      <c r="AG1016" s="706">
        <v>0</v>
      </c>
      <c r="AH1016" s="706">
        <v>0</v>
      </c>
      <c r="AI1016" s="706">
        <v>0</v>
      </c>
      <c r="AJ1016" s="905" t="str">
        <f t="shared" si="110"/>
        <v>G810C</v>
      </c>
      <c r="AK1016" s="905" t="str">
        <f t="shared" si="111"/>
        <v>COUT-ACCESSOIRES NEUF</v>
      </c>
      <c r="AL1016" s="905">
        <f>IFERROR(INDEX(G1016:R1016,1,MATCH(Parametres!$B$3,G$1:R$1,0)-1)*IF(OR(F1016="L",F1016="S",F1016="I"),-1,1),"")</f>
        <v>0</v>
      </c>
      <c r="AM1016" s="905">
        <f t="shared" si="112"/>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t="str">
        <f t="shared" si="113"/>
        <v>G810C</v>
      </c>
      <c r="AU1016" s="488" t="str">
        <f t="shared" si="114"/>
        <v>COUT-ACCESSOIRES NEUF</v>
      </c>
      <c r="AV1016" s="899">
        <f>IFERROR(INDEX(V1016:AG1016,1,MATCH(Parametres!$B$3,V$1:AG$1,0)-1)*IF(OR(C1016="L",C1016="S",C1016="I"),-1,1),"")</f>
        <v>0</v>
      </c>
      <c r="AW1016" s="899">
        <f t="shared" si="115"/>
        <v>0</v>
      </c>
      <c r="AX1016" s="899">
        <f>INDEX(V1016:AG1016,1,MATCH(Parametres!$B$3,V$1:AG$1,0))*IF(OR(C1016="L",C1016="S",C1016="I"),-1,1)</f>
        <v>0</v>
      </c>
      <c r="AY1016" s="487" t="s">
        <v>337</v>
      </c>
      <c r="AZ1016" s="487" t="e">
        <f>+VLOOKUP($AJ1016,Data_Validation!$A:$E,5,0)</f>
        <v>#N/A</v>
      </c>
    </row>
    <row r="1017" spans="1:52" ht="15" customHeight="1">
      <c r="A1017" s="706" t="s">
        <v>1148</v>
      </c>
      <c r="B1017" s="706">
        <v>2026</v>
      </c>
      <c r="C1017" s="706" t="s">
        <v>3051</v>
      </c>
      <c r="D1017" s="706" t="s">
        <v>3052</v>
      </c>
      <c r="E1017" s="706" t="s">
        <v>333</v>
      </c>
      <c r="F1017" s="706" t="s">
        <v>1149</v>
      </c>
      <c r="G1017" s="706">
        <v>0</v>
      </c>
      <c r="H1017" s="706">
        <v>0</v>
      </c>
      <c r="I1017" s="706">
        <v>0</v>
      </c>
      <c r="J1017" s="706">
        <v>0</v>
      </c>
      <c r="K1017" s="706">
        <v>0</v>
      </c>
      <c r="L1017" s="706">
        <v>0</v>
      </c>
      <c r="M1017" s="706">
        <v>0</v>
      </c>
      <c r="N1017" s="706">
        <v>0</v>
      </c>
      <c r="O1017" s="706">
        <v>0</v>
      </c>
      <c r="P1017" s="706">
        <v>0</v>
      </c>
      <c r="Q1017" s="706">
        <v>0</v>
      </c>
      <c r="R1017" s="706">
        <v>0</v>
      </c>
      <c r="S1017" s="706">
        <v>0</v>
      </c>
      <c r="T1017" s="706">
        <v>0</v>
      </c>
      <c r="U1017" s="706">
        <v>0</v>
      </c>
      <c r="V1017" s="706">
        <v>0</v>
      </c>
      <c r="W1017" s="706">
        <v>0</v>
      </c>
      <c r="X1017" s="706">
        <v>0</v>
      </c>
      <c r="Y1017" s="706">
        <v>0</v>
      </c>
      <c r="Z1017" s="706">
        <v>0</v>
      </c>
      <c r="AA1017" s="706">
        <v>0</v>
      </c>
      <c r="AB1017" s="706">
        <v>0</v>
      </c>
      <c r="AC1017" s="706">
        <v>0</v>
      </c>
      <c r="AD1017" s="706">
        <v>0</v>
      </c>
      <c r="AE1017" s="706">
        <v>0</v>
      </c>
      <c r="AF1017" s="706">
        <v>0</v>
      </c>
      <c r="AG1017" s="706">
        <v>0</v>
      </c>
      <c r="AH1017" s="706">
        <v>0</v>
      </c>
      <c r="AI1017" s="706">
        <v>0</v>
      </c>
      <c r="AJ1017" s="905" t="str">
        <f t="shared" si="110"/>
        <v>G811</v>
      </c>
      <c r="AK1017" s="905" t="str">
        <f t="shared" si="111"/>
        <v>VTES-ACCESSOIRES USAGE</v>
      </c>
      <c r="AL1017" s="905">
        <f>IFERROR(INDEX(G1017:R1017,1,MATCH(Parametres!$B$3,G$1:R$1,0)-1)*IF(OR(F1017="L",F1017="S",F1017="I"),-1,1),"")</f>
        <v>0</v>
      </c>
      <c r="AM1017" s="905">
        <f t="shared" si="112"/>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t="str">
        <f t="shared" si="113"/>
        <v>G811</v>
      </c>
      <c r="AU1017" s="488" t="str">
        <f t="shared" si="114"/>
        <v>VTES-ACCESSOIRES USAGE</v>
      </c>
      <c r="AV1017" s="899">
        <f>IFERROR(INDEX(V1017:AG1017,1,MATCH(Parametres!$B$3,V$1:AG$1,0)-1)*IF(OR(C1017="L",C1017="S",C1017="I"),-1,1),"")</f>
        <v>0</v>
      </c>
      <c r="AW1017" s="899">
        <f t="shared" si="115"/>
        <v>0</v>
      </c>
      <c r="AX1017" s="899">
        <f>INDEX(V1017:AG1017,1,MATCH(Parametres!$B$3,V$1:AG$1,0))*IF(OR(C1017="L",C1017="S",C1017="I"),-1,1)</f>
        <v>0</v>
      </c>
      <c r="AY1017" s="487" t="s">
        <v>337</v>
      </c>
      <c r="AZ1017" s="487" t="e">
        <f>+VLOOKUP($AJ1017,Data_Validation!$A:$E,5,0)</f>
        <v>#N/A</v>
      </c>
    </row>
    <row r="1018" spans="1:52" ht="15" customHeight="1">
      <c r="A1018" s="706" t="s">
        <v>1148</v>
      </c>
      <c r="B1018" s="706">
        <v>2026</v>
      </c>
      <c r="C1018" s="706" t="s">
        <v>3053</v>
      </c>
      <c r="D1018" s="706" t="s">
        <v>3054</v>
      </c>
      <c r="E1018" s="706" t="s">
        <v>333</v>
      </c>
      <c r="F1018" s="706" t="s">
        <v>1152</v>
      </c>
      <c r="G1018" s="706">
        <v>0</v>
      </c>
      <c r="H1018" s="706">
        <v>0</v>
      </c>
      <c r="I1018" s="706">
        <v>0</v>
      </c>
      <c r="J1018" s="706">
        <v>0</v>
      </c>
      <c r="K1018" s="706">
        <v>0</v>
      </c>
      <c r="L1018" s="706">
        <v>0</v>
      </c>
      <c r="M1018" s="706">
        <v>0</v>
      </c>
      <c r="N1018" s="706">
        <v>0</v>
      </c>
      <c r="O1018" s="706">
        <v>0</v>
      </c>
      <c r="P1018" s="706">
        <v>0</v>
      </c>
      <c r="Q1018" s="706">
        <v>0</v>
      </c>
      <c r="R1018" s="706">
        <v>0</v>
      </c>
      <c r="S1018" s="706">
        <v>0</v>
      </c>
      <c r="T1018" s="706">
        <v>0</v>
      </c>
      <c r="U1018" s="706">
        <v>0</v>
      </c>
      <c r="V1018" s="706">
        <v>0</v>
      </c>
      <c r="W1018" s="706">
        <v>0</v>
      </c>
      <c r="X1018" s="706">
        <v>0</v>
      </c>
      <c r="Y1018" s="706">
        <v>0</v>
      </c>
      <c r="Z1018" s="706">
        <v>0</v>
      </c>
      <c r="AA1018" s="706">
        <v>0</v>
      </c>
      <c r="AB1018" s="706">
        <v>0</v>
      </c>
      <c r="AC1018" s="706">
        <v>0</v>
      </c>
      <c r="AD1018" s="706">
        <v>0</v>
      </c>
      <c r="AE1018" s="706">
        <v>0</v>
      </c>
      <c r="AF1018" s="706">
        <v>0</v>
      </c>
      <c r="AG1018" s="706">
        <v>0</v>
      </c>
      <c r="AH1018" s="706">
        <v>0</v>
      </c>
      <c r="AI1018" s="706">
        <v>0</v>
      </c>
      <c r="AJ1018" s="905" t="str">
        <f t="shared" si="110"/>
        <v>G811C</v>
      </c>
      <c r="AK1018" s="905" t="str">
        <f t="shared" si="111"/>
        <v>COUT-ACCESSOIRES USAGE</v>
      </c>
      <c r="AL1018" s="905">
        <f>IFERROR(INDEX(G1018:R1018,1,MATCH(Parametres!$B$3,G$1:R$1,0)-1)*IF(OR(F1018="L",F1018="S",F1018="I"),-1,1),"")</f>
        <v>0</v>
      </c>
      <c r="AM1018" s="905">
        <f t="shared" si="112"/>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t="str">
        <f t="shared" si="113"/>
        <v>G811C</v>
      </c>
      <c r="AU1018" s="488" t="str">
        <f t="shared" si="114"/>
        <v>COUT-ACCESSOIRES USAGE</v>
      </c>
      <c r="AV1018" s="899">
        <f>IFERROR(INDEX(V1018:AG1018,1,MATCH(Parametres!$B$3,V$1:AG$1,0)-1)*IF(OR(C1018="L",C1018="S",C1018="I"),-1,1),"")</f>
        <v>0</v>
      </c>
      <c r="AW1018" s="899">
        <f t="shared" si="115"/>
        <v>0</v>
      </c>
      <c r="AX1018" s="899">
        <f>INDEX(V1018:AG1018,1,MATCH(Parametres!$B$3,V$1:AG$1,0))*IF(OR(C1018="L",C1018="S",C1018="I"),-1,1)</f>
        <v>0</v>
      </c>
      <c r="AY1018" s="487" t="s">
        <v>337</v>
      </c>
      <c r="AZ1018" s="487" t="e">
        <f>+VLOOKUP($AJ1018,Data_Validation!$A:$E,5,0)</f>
        <v>#N/A</v>
      </c>
    </row>
    <row r="1019" spans="1:52" ht="15" customHeight="1">
      <c r="A1019" s="706" t="s">
        <v>1148</v>
      </c>
      <c r="B1019" s="706">
        <v>2026</v>
      </c>
      <c r="C1019" s="706" t="s">
        <v>3055</v>
      </c>
      <c r="D1019" s="706" t="s">
        <v>3056</v>
      </c>
      <c r="E1019" s="706" t="s">
        <v>333</v>
      </c>
      <c r="F1019" s="706" t="s">
        <v>1150</v>
      </c>
      <c r="G1019" s="706">
        <v>0</v>
      </c>
      <c r="H1019" s="706">
        <v>0</v>
      </c>
      <c r="I1019" s="706">
        <v>0</v>
      </c>
      <c r="J1019" s="706">
        <v>0</v>
      </c>
      <c r="K1019" s="706">
        <v>0</v>
      </c>
      <c r="L1019" s="706">
        <v>0</v>
      </c>
      <c r="M1019" s="706">
        <v>0</v>
      </c>
      <c r="N1019" s="706">
        <v>0</v>
      </c>
      <c r="O1019" s="706">
        <v>0</v>
      </c>
      <c r="P1019" s="706">
        <v>0</v>
      </c>
      <c r="Q1019" s="706">
        <v>0</v>
      </c>
      <c r="R1019" s="706">
        <v>0</v>
      </c>
      <c r="S1019" s="706">
        <v>0</v>
      </c>
      <c r="T1019" s="706">
        <v>0</v>
      </c>
      <c r="U1019" s="706">
        <v>0</v>
      </c>
      <c r="V1019" s="706">
        <v>0</v>
      </c>
      <c r="W1019" s="706">
        <v>0</v>
      </c>
      <c r="X1019" s="706">
        <v>0</v>
      </c>
      <c r="Y1019" s="706">
        <v>0</v>
      </c>
      <c r="Z1019" s="706">
        <v>0</v>
      </c>
      <c r="AA1019" s="706">
        <v>0</v>
      </c>
      <c r="AB1019" s="706">
        <v>0</v>
      </c>
      <c r="AC1019" s="706">
        <v>0</v>
      </c>
      <c r="AD1019" s="706">
        <v>0</v>
      </c>
      <c r="AE1019" s="706">
        <v>0</v>
      </c>
      <c r="AF1019" s="706">
        <v>0</v>
      </c>
      <c r="AG1019" s="706">
        <v>0</v>
      </c>
      <c r="AH1019" s="706">
        <v>0</v>
      </c>
      <c r="AI1019" s="706">
        <v>0</v>
      </c>
      <c r="AJ1019" s="905" t="str">
        <f t="shared" si="110"/>
        <v>G82200</v>
      </c>
      <c r="AK1019" s="905" t="str">
        <f t="shared" si="111"/>
        <v>AUTRES REVENUS VEH. NEUFS</v>
      </c>
      <c r="AL1019" s="905">
        <f>IFERROR(INDEX(G1019:R1019,1,MATCH(Parametres!$B$3,G$1:R$1,0)-1)*IF(OR(F1019="L",F1019="S",F1019="I"),-1,1),"")</f>
        <v>0</v>
      </c>
      <c r="AM1019" s="905">
        <f t="shared" si="112"/>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t="str">
        <f t="shared" si="113"/>
        <v>G82200</v>
      </c>
      <c r="AU1019" s="488" t="str">
        <f t="shared" si="114"/>
        <v>AUTRES REVENUS VEH. NEUFS</v>
      </c>
      <c r="AV1019" s="899">
        <f>IFERROR(INDEX(V1019:AG1019,1,MATCH(Parametres!$B$3,V$1:AG$1,0)-1)*IF(OR(C1019="L",C1019="S",C1019="I"),-1,1),"")</f>
        <v>0</v>
      </c>
      <c r="AW1019" s="899">
        <f t="shared" si="115"/>
        <v>0</v>
      </c>
      <c r="AX1019" s="899">
        <f>INDEX(V1019:AG1019,1,MATCH(Parametres!$B$3,V$1:AG$1,0))*IF(OR(C1019="L",C1019="S",C1019="I"),-1,1)</f>
        <v>0</v>
      </c>
      <c r="AY1019" s="487" t="s">
        <v>337</v>
      </c>
      <c r="AZ1019" s="487" t="e">
        <f>+VLOOKUP($AJ1019,Data_Validation!$A:$E,5,0)</f>
        <v>#N/A</v>
      </c>
    </row>
    <row r="1020" spans="1:52" ht="15" customHeight="1">
      <c r="A1020" s="706" t="s">
        <v>1148</v>
      </c>
      <c r="B1020" s="706">
        <v>2026</v>
      </c>
      <c r="C1020" s="706" t="s">
        <v>3057</v>
      </c>
      <c r="D1020" s="706" t="s">
        <v>3058</v>
      </c>
      <c r="E1020" s="706" t="s">
        <v>333</v>
      </c>
      <c r="F1020" s="706" t="s">
        <v>1150</v>
      </c>
      <c r="G1020" s="706">
        <v>0</v>
      </c>
      <c r="H1020" s="706">
        <v>0</v>
      </c>
      <c r="I1020" s="706">
        <v>0</v>
      </c>
      <c r="J1020" s="706">
        <v>0</v>
      </c>
      <c r="K1020" s="706">
        <v>0</v>
      </c>
      <c r="L1020" s="706">
        <v>0</v>
      </c>
      <c r="M1020" s="706">
        <v>0</v>
      </c>
      <c r="N1020" s="706">
        <v>0</v>
      </c>
      <c r="O1020" s="706">
        <v>0</v>
      </c>
      <c r="P1020" s="706">
        <v>0</v>
      </c>
      <c r="Q1020" s="706">
        <v>0</v>
      </c>
      <c r="R1020" s="706">
        <v>0</v>
      </c>
      <c r="S1020" s="706">
        <v>0</v>
      </c>
      <c r="T1020" s="706">
        <v>0</v>
      </c>
      <c r="U1020" s="706">
        <v>0</v>
      </c>
      <c r="V1020" s="706">
        <v>0</v>
      </c>
      <c r="W1020" s="706">
        <v>0</v>
      </c>
      <c r="X1020" s="706">
        <v>0</v>
      </c>
      <c r="Y1020" s="706">
        <v>0</v>
      </c>
      <c r="Z1020" s="706">
        <v>0</v>
      </c>
      <c r="AA1020" s="706">
        <v>0</v>
      </c>
      <c r="AB1020" s="706">
        <v>0</v>
      </c>
      <c r="AC1020" s="706">
        <v>0</v>
      </c>
      <c r="AD1020" s="706">
        <v>0</v>
      </c>
      <c r="AE1020" s="706">
        <v>0</v>
      </c>
      <c r="AF1020" s="706">
        <v>0</v>
      </c>
      <c r="AG1020" s="706">
        <v>0</v>
      </c>
      <c r="AH1020" s="706">
        <v>0</v>
      </c>
      <c r="AI1020" s="706">
        <v>0</v>
      </c>
      <c r="AJ1020" s="905" t="str">
        <f t="shared" si="110"/>
        <v>G82300</v>
      </c>
      <c r="AK1020" s="905" t="str">
        <f t="shared" si="111"/>
        <v>AUTRES REVENUS VEH.USAGÉS</v>
      </c>
      <c r="AL1020" s="905">
        <f>IFERROR(INDEX(G1020:R1020,1,MATCH(Parametres!$B$3,G$1:R$1,0)-1)*IF(OR(F1020="L",F1020="S",F1020="I"),-1,1),"")</f>
        <v>0</v>
      </c>
      <c r="AM1020" s="905">
        <f t="shared" si="112"/>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t="str">
        <f t="shared" si="113"/>
        <v>G82300</v>
      </c>
      <c r="AU1020" s="488" t="str">
        <f t="shared" si="114"/>
        <v>AUTRES REVENUS VEH.USAGÉS</v>
      </c>
      <c r="AV1020" s="899">
        <f>IFERROR(INDEX(V1020:AG1020,1,MATCH(Parametres!$B$3,V$1:AG$1,0)-1)*IF(OR(C1020="L",C1020="S",C1020="I"),-1,1),"")</f>
        <v>0</v>
      </c>
      <c r="AW1020" s="899">
        <f t="shared" si="115"/>
        <v>0</v>
      </c>
      <c r="AX1020" s="899">
        <f>INDEX(V1020:AG1020,1,MATCH(Parametres!$B$3,V$1:AG$1,0))*IF(OR(C1020="L",C1020="S",C1020="I"),-1,1)</f>
        <v>0</v>
      </c>
      <c r="AY1020" s="487" t="s">
        <v>337</v>
      </c>
      <c r="AZ1020" s="487" t="e">
        <f>+VLOOKUP($AJ1020,Data_Validation!$A:$E,5,0)</f>
        <v>#N/A</v>
      </c>
    </row>
    <row r="1021" spans="1:52" ht="15" customHeight="1">
      <c r="A1021" s="706" t="s">
        <v>1148</v>
      </c>
      <c r="B1021" s="706">
        <v>2026</v>
      </c>
      <c r="C1021" s="706" t="s">
        <v>3059</v>
      </c>
      <c r="D1021" s="706" t="s">
        <v>3060</v>
      </c>
      <c r="E1021" s="706" t="s">
        <v>333</v>
      </c>
      <c r="F1021" s="706" t="s">
        <v>1104</v>
      </c>
      <c r="G1021" s="706">
        <v>0</v>
      </c>
      <c r="H1021" s="706">
        <v>0</v>
      </c>
      <c r="I1021" s="706">
        <v>0</v>
      </c>
      <c r="J1021" s="706">
        <v>0</v>
      </c>
      <c r="K1021" s="706">
        <v>0</v>
      </c>
      <c r="L1021" s="706">
        <v>0</v>
      </c>
      <c r="M1021" s="706">
        <v>0</v>
      </c>
      <c r="N1021" s="706">
        <v>0</v>
      </c>
      <c r="O1021" s="706">
        <v>0</v>
      </c>
      <c r="P1021" s="706">
        <v>0</v>
      </c>
      <c r="Q1021" s="706">
        <v>0</v>
      </c>
      <c r="R1021" s="706">
        <v>0</v>
      </c>
      <c r="S1021" s="706">
        <v>0</v>
      </c>
      <c r="T1021" s="706">
        <v>0</v>
      </c>
      <c r="U1021" s="706">
        <v>0</v>
      </c>
      <c r="V1021" s="706">
        <v>0</v>
      </c>
      <c r="W1021" s="706">
        <v>0</v>
      </c>
      <c r="X1021" s="706">
        <v>0</v>
      </c>
      <c r="Y1021" s="706">
        <v>0</v>
      </c>
      <c r="Z1021" s="706">
        <v>0</v>
      </c>
      <c r="AA1021" s="706">
        <v>0</v>
      </c>
      <c r="AB1021" s="706">
        <v>0</v>
      </c>
      <c r="AC1021" s="706">
        <v>0</v>
      </c>
      <c r="AD1021" s="706">
        <v>0</v>
      </c>
      <c r="AE1021" s="706">
        <v>0</v>
      </c>
      <c r="AF1021" s="706">
        <v>0</v>
      </c>
      <c r="AG1021" s="706">
        <v>0</v>
      </c>
      <c r="AH1021" s="706">
        <v>0</v>
      </c>
      <c r="AI1021" s="706">
        <v>0</v>
      </c>
      <c r="AJ1021" s="905" t="str">
        <f t="shared" si="110"/>
        <v>G850</v>
      </c>
      <c r="AK1021" s="905" t="str">
        <f t="shared" si="111"/>
        <v>RETROFACTURATION F&amp;A NEUF</v>
      </c>
      <c r="AL1021" s="905">
        <f>IFERROR(INDEX(G1021:R1021,1,MATCH(Parametres!$B$3,G$1:R$1,0)-1)*IF(OR(F1021="L",F1021="S",F1021="I"),-1,1),"")</f>
        <v>0</v>
      </c>
      <c r="AM1021" s="905">
        <f t="shared" si="112"/>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t="str">
        <f t="shared" si="113"/>
        <v>G850</v>
      </c>
      <c r="AU1021" s="488" t="str">
        <f t="shared" si="114"/>
        <v>RETROFACTURATION F&amp;A NEUF</v>
      </c>
      <c r="AV1021" s="899">
        <f>IFERROR(INDEX(V1021:AG1021,1,MATCH(Parametres!$B$3,V$1:AG$1,0)-1)*IF(OR(C1021="L",C1021="S",C1021="I"),-1,1),"")</f>
        <v>0</v>
      </c>
      <c r="AW1021" s="899">
        <f t="shared" si="115"/>
        <v>0</v>
      </c>
      <c r="AX1021" s="899">
        <f>INDEX(V1021:AG1021,1,MATCH(Parametres!$B$3,V$1:AG$1,0))*IF(OR(C1021="L",C1021="S",C1021="I"),-1,1)</f>
        <v>0</v>
      </c>
      <c r="AY1021" s="487" t="s">
        <v>337</v>
      </c>
      <c r="AZ1021" s="487" t="e">
        <f>+VLOOKUP($AJ1021,Data_Validation!$A:$E,5,0)</f>
        <v>#N/A</v>
      </c>
    </row>
    <row r="1022" spans="1:52" ht="15" customHeight="1">
      <c r="A1022" s="706" t="s">
        <v>1148</v>
      </c>
      <c r="B1022" s="706">
        <v>2026</v>
      </c>
      <c r="C1022" s="706" t="s">
        <v>3061</v>
      </c>
      <c r="D1022" s="706" t="s">
        <v>3062</v>
      </c>
      <c r="E1022" s="706" t="s">
        <v>333</v>
      </c>
      <c r="F1022" s="706" t="s">
        <v>1104</v>
      </c>
      <c r="G1022" s="706">
        <v>0</v>
      </c>
      <c r="H1022" s="706">
        <v>0</v>
      </c>
      <c r="I1022" s="706">
        <v>0</v>
      </c>
      <c r="J1022" s="706">
        <v>0</v>
      </c>
      <c r="K1022" s="706">
        <v>0</v>
      </c>
      <c r="L1022" s="706">
        <v>0</v>
      </c>
      <c r="M1022" s="706">
        <v>0</v>
      </c>
      <c r="N1022" s="706">
        <v>0</v>
      </c>
      <c r="O1022" s="706">
        <v>0</v>
      </c>
      <c r="P1022" s="706">
        <v>0</v>
      </c>
      <c r="Q1022" s="706">
        <v>0</v>
      </c>
      <c r="R1022" s="706">
        <v>0</v>
      </c>
      <c r="S1022" s="706">
        <v>0</v>
      </c>
      <c r="T1022" s="706">
        <v>0</v>
      </c>
      <c r="U1022" s="706">
        <v>0</v>
      </c>
      <c r="V1022" s="706">
        <v>0</v>
      </c>
      <c r="W1022" s="706">
        <v>0</v>
      </c>
      <c r="X1022" s="706">
        <v>0</v>
      </c>
      <c r="Y1022" s="706">
        <v>0</v>
      </c>
      <c r="Z1022" s="706">
        <v>0</v>
      </c>
      <c r="AA1022" s="706">
        <v>0</v>
      </c>
      <c r="AB1022" s="706">
        <v>0</v>
      </c>
      <c r="AC1022" s="706">
        <v>0</v>
      </c>
      <c r="AD1022" s="706">
        <v>0</v>
      </c>
      <c r="AE1022" s="706">
        <v>0</v>
      </c>
      <c r="AF1022" s="706">
        <v>0</v>
      </c>
      <c r="AG1022" s="706">
        <v>0</v>
      </c>
      <c r="AH1022" s="706">
        <v>0</v>
      </c>
      <c r="AI1022" s="706">
        <v>0</v>
      </c>
      <c r="AJ1022" s="905" t="str">
        <f t="shared" si="110"/>
        <v>G851</v>
      </c>
      <c r="AK1022" s="905" t="str">
        <f t="shared" si="111"/>
        <v>RETROFACTURATION F&amp;A USAG</v>
      </c>
      <c r="AL1022" s="905">
        <f>IFERROR(INDEX(G1022:R1022,1,MATCH(Parametres!$B$3,G$1:R$1,0)-1)*IF(OR(F1022="L",F1022="S",F1022="I"),-1,1),"")</f>
        <v>0</v>
      </c>
      <c r="AM1022" s="905">
        <f t="shared" si="112"/>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t="str">
        <f t="shared" si="113"/>
        <v>G851</v>
      </c>
      <c r="AU1022" s="488" t="str">
        <f t="shared" si="114"/>
        <v>RETROFACTURATION F&amp;A USAG</v>
      </c>
      <c r="AV1022" s="899">
        <f>IFERROR(INDEX(V1022:AG1022,1,MATCH(Parametres!$B$3,V$1:AG$1,0)-1)*IF(OR(C1022="L",C1022="S",C1022="I"),-1,1),"")</f>
        <v>0</v>
      </c>
      <c r="AW1022" s="899">
        <f t="shared" si="115"/>
        <v>0</v>
      </c>
      <c r="AX1022" s="899">
        <f>INDEX(V1022:AG1022,1,MATCH(Parametres!$B$3,V$1:AG$1,0))*IF(OR(C1022="L",C1022="S",C1022="I"),-1,1)</f>
        <v>0</v>
      </c>
      <c r="AY1022" s="487" t="s">
        <v>337</v>
      </c>
      <c r="AZ1022" s="487" t="e">
        <f>+VLOOKUP($AJ1022,Data_Validation!$A:$E,5,0)</f>
        <v>#N/A</v>
      </c>
    </row>
    <row r="1023" spans="1:52" ht="15" customHeight="1">
      <c r="A1023" s="706" t="s">
        <v>1148</v>
      </c>
      <c r="B1023" s="706">
        <v>2026</v>
      </c>
      <c r="C1023" s="706" t="s">
        <v>3063</v>
      </c>
      <c r="D1023" s="706" t="s">
        <v>3064</v>
      </c>
      <c r="E1023" s="706" t="s">
        <v>333</v>
      </c>
      <c r="F1023" s="706" t="s">
        <v>1104</v>
      </c>
      <c r="G1023" s="706">
        <v>0</v>
      </c>
      <c r="H1023" s="706">
        <v>0</v>
      </c>
      <c r="I1023" s="706">
        <v>0</v>
      </c>
      <c r="J1023" s="706">
        <v>0</v>
      </c>
      <c r="K1023" s="706">
        <v>0</v>
      </c>
      <c r="L1023" s="706">
        <v>0</v>
      </c>
      <c r="M1023" s="706">
        <v>0</v>
      </c>
      <c r="N1023" s="706">
        <v>0</v>
      </c>
      <c r="O1023" s="706">
        <v>0</v>
      </c>
      <c r="P1023" s="706">
        <v>0</v>
      </c>
      <c r="Q1023" s="706">
        <v>0</v>
      </c>
      <c r="R1023" s="706">
        <v>0</v>
      </c>
      <c r="S1023" s="706">
        <v>0</v>
      </c>
      <c r="T1023" s="706">
        <v>0</v>
      </c>
      <c r="U1023" s="706">
        <v>0</v>
      </c>
      <c r="V1023" s="706">
        <v>0</v>
      </c>
      <c r="W1023" s="706">
        <v>0</v>
      </c>
      <c r="X1023" s="706">
        <v>0</v>
      </c>
      <c r="Y1023" s="706">
        <v>0</v>
      </c>
      <c r="Z1023" s="706">
        <v>0</v>
      </c>
      <c r="AA1023" s="706">
        <v>0</v>
      </c>
      <c r="AB1023" s="706">
        <v>0</v>
      </c>
      <c r="AC1023" s="706">
        <v>0</v>
      </c>
      <c r="AD1023" s="706">
        <v>0</v>
      </c>
      <c r="AE1023" s="706">
        <v>0</v>
      </c>
      <c r="AF1023" s="706">
        <v>0</v>
      </c>
      <c r="AG1023" s="706">
        <v>0</v>
      </c>
      <c r="AH1023" s="706">
        <v>0</v>
      </c>
      <c r="AI1023" s="706">
        <v>0</v>
      </c>
      <c r="AJ1023" s="905" t="str">
        <f t="shared" si="110"/>
        <v>G853</v>
      </c>
      <c r="AK1023" s="905" t="str">
        <f t="shared" si="111"/>
        <v>PERTE REPOSSESSION NEUF</v>
      </c>
      <c r="AL1023" s="905">
        <f>IFERROR(INDEX(G1023:R1023,1,MATCH(Parametres!$B$3,G$1:R$1,0)-1)*IF(OR(F1023="L",F1023="S",F1023="I"),-1,1),"")</f>
        <v>0</v>
      </c>
      <c r="AM1023" s="905">
        <f t="shared" si="112"/>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t="str">
        <f t="shared" si="113"/>
        <v>G853</v>
      </c>
      <c r="AU1023" s="488" t="str">
        <f t="shared" si="114"/>
        <v>PERTE REPOSSESSION NEUF</v>
      </c>
      <c r="AV1023" s="899">
        <f>IFERROR(INDEX(V1023:AG1023,1,MATCH(Parametres!$B$3,V$1:AG$1,0)-1)*IF(OR(C1023="L",C1023="S",C1023="I"),-1,1),"")</f>
        <v>0</v>
      </c>
      <c r="AW1023" s="899">
        <f t="shared" si="115"/>
        <v>0</v>
      </c>
      <c r="AX1023" s="899">
        <f>INDEX(V1023:AG1023,1,MATCH(Parametres!$B$3,V$1:AG$1,0))*IF(OR(C1023="L",C1023="S",C1023="I"),-1,1)</f>
        <v>0</v>
      </c>
      <c r="AY1023" s="487" t="s">
        <v>337</v>
      </c>
      <c r="AZ1023" s="487" t="e">
        <f>+VLOOKUP($AJ1023,Data_Validation!$A:$E,5,0)</f>
        <v>#N/A</v>
      </c>
    </row>
    <row r="1024" spans="1:52" ht="15" customHeight="1">
      <c r="A1024" s="706" t="s">
        <v>1148</v>
      </c>
      <c r="B1024" s="706">
        <v>2026</v>
      </c>
      <c r="C1024" s="706" t="s">
        <v>3065</v>
      </c>
      <c r="D1024" s="706" t="s">
        <v>3064</v>
      </c>
      <c r="E1024" s="706" t="s">
        <v>333</v>
      </c>
      <c r="F1024" s="706" t="s">
        <v>1104</v>
      </c>
      <c r="G1024" s="706">
        <v>0</v>
      </c>
      <c r="H1024" s="706">
        <v>0</v>
      </c>
      <c r="I1024" s="706">
        <v>0</v>
      </c>
      <c r="J1024" s="706">
        <v>0</v>
      </c>
      <c r="K1024" s="706">
        <v>0</v>
      </c>
      <c r="L1024" s="706">
        <v>0</v>
      </c>
      <c r="M1024" s="706">
        <v>0</v>
      </c>
      <c r="N1024" s="706">
        <v>0</v>
      </c>
      <c r="O1024" s="706">
        <v>0</v>
      </c>
      <c r="P1024" s="706">
        <v>0</v>
      </c>
      <c r="Q1024" s="706">
        <v>0</v>
      </c>
      <c r="R1024" s="706">
        <v>0</v>
      </c>
      <c r="S1024" s="706">
        <v>0</v>
      </c>
      <c r="T1024" s="706">
        <v>0</v>
      </c>
      <c r="U1024" s="706">
        <v>0</v>
      </c>
      <c r="V1024" s="706">
        <v>0</v>
      </c>
      <c r="W1024" s="706">
        <v>0</v>
      </c>
      <c r="X1024" s="706">
        <v>0</v>
      </c>
      <c r="Y1024" s="706">
        <v>0</v>
      </c>
      <c r="Z1024" s="706">
        <v>0</v>
      </c>
      <c r="AA1024" s="706">
        <v>0</v>
      </c>
      <c r="AB1024" s="706">
        <v>0</v>
      </c>
      <c r="AC1024" s="706">
        <v>0</v>
      </c>
      <c r="AD1024" s="706">
        <v>0</v>
      </c>
      <c r="AE1024" s="706">
        <v>0</v>
      </c>
      <c r="AF1024" s="706">
        <v>0</v>
      </c>
      <c r="AG1024" s="706">
        <v>0</v>
      </c>
      <c r="AH1024" s="706">
        <v>0</v>
      </c>
      <c r="AI1024" s="706">
        <v>0</v>
      </c>
      <c r="AJ1024" s="905" t="str">
        <f t="shared" si="110"/>
        <v>G85300</v>
      </c>
      <c r="AK1024" s="905" t="str">
        <f t="shared" si="111"/>
        <v>PERTE REPOSSESSION NEUF</v>
      </c>
      <c r="AL1024" s="905">
        <f>IFERROR(INDEX(G1024:R1024,1,MATCH(Parametres!$B$3,G$1:R$1,0)-1)*IF(OR(F1024="L",F1024="S",F1024="I"),-1,1),"")</f>
        <v>0</v>
      </c>
      <c r="AM1024" s="905">
        <f t="shared" si="112"/>
        <v>0</v>
      </c>
      <c r="AN1024" s="905">
        <f>INDEX(G1024:R1024,1,MATCH(Parametres!$B$3,G$1:R$1,0))*IF(OR(F1024="L",F1024="S",F1024="I"),-1,1)</f>
        <v>0</v>
      </c>
      <c r="AO1024" s="487" t="str">
        <f>+VLOOKUP($AJ1024,Data_Validation!$A:$D,1,0)</f>
        <v>G85300</v>
      </c>
      <c r="AP1024" s="487">
        <f>+VLOOKUP($AJ1024,Data_Validation!$A:$D,3,0)</f>
        <v>0</v>
      </c>
      <c r="AQ1024" s="487">
        <f>+VLOOKUP($AJ1024,Data_Validation!$A:$D,4,0)</f>
        <v>0</v>
      </c>
      <c r="AR1024" s="487" t="s">
        <v>299</v>
      </c>
      <c r="AS1024" s="487">
        <f>+VLOOKUP($AJ1024,Data_Validation!$A:$E,5,0)</f>
        <v>0</v>
      </c>
      <c r="AT1024" s="904" t="str">
        <f t="shared" si="113"/>
        <v>G85300</v>
      </c>
      <c r="AU1024" s="488" t="str">
        <f t="shared" si="114"/>
        <v>PERTE REPOSSESSION NEUF</v>
      </c>
      <c r="AV1024" s="899">
        <f>IFERROR(INDEX(V1024:AG1024,1,MATCH(Parametres!$B$3,V$1:AG$1,0)-1)*IF(OR(C1024="L",C1024="S",C1024="I"),-1,1),"")</f>
        <v>0</v>
      </c>
      <c r="AW1024" s="899">
        <f t="shared" si="115"/>
        <v>0</v>
      </c>
      <c r="AX1024" s="899">
        <f>INDEX(V1024:AG1024,1,MATCH(Parametres!$B$3,V$1:AG$1,0))*IF(OR(C1024="L",C1024="S",C1024="I"),-1,1)</f>
        <v>0</v>
      </c>
      <c r="AY1024" s="487" t="s">
        <v>337</v>
      </c>
      <c r="AZ1024" s="487">
        <f>+VLOOKUP($AJ1024,Data_Validation!$A:$E,5,0)</f>
        <v>0</v>
      </c>
    </row>
    <row r="1025" spans="1:52" ht="15" customHeight="1">
      <c r="A1025" s="706" t="s">
        <v>1148</v>
      </c>
      <c r="B1025" s="706">
        <v>2026</v>
      </c>
      <c r="C1025" s="706" t="s">
        <v>3066</v>
      </c>
      <c r="D1025" s="706" t="s">
        <v>3067</v>
      </c>
      <c r="E1025" s="706" t="s">
        <v>333</v>
      </c>
      <c r="F1025" s="706" t="s">
        <v>1104</v>
      </c>
      <c r="G1025" s="706">
        <v>0</v>
      </c>
      <c r="H1025" s="706">
        <v>0</v>
      </c>
      <c r="I1025" s="706">
        <v>0</v>
      </c>
      <c r="J1025" s="706">
        <v>0</v>
      </c>
      <c r="K1025" s="706">
        <v>0</v>
      </c>
      <c r="L1025" s="706">
        <v>0</v>
      </c>
      <c r="M1025" s="706">
        <v>0</v>
      </c>
      <c r="N1025" s="706">
        <v>0</v>
      </c>
      <c r="O1025" s="706">
        <v>0</v>
      </c>
      <c r="P1025" s="706">
        <v>0</v>
      </c>
      <c r="Q1025" s="706">
        <v>0</v>
      </c>
      <c r="R1025" s="706">
        <v>0</v>
      </c>
      <c r="S1025" s="706">
        <v>0</v>
      </c>
      <c r="T1025" s="706">
        <v>0</v>
      </c>
      <c r="U1025" s="706">
        <v>0</v>
      </c>
      <c r="V1025" s="706">
        <v>0</v>
      </c>
      <c r="W1025" s="706">
        <v>0</v>
      </c>
      <c r="X1025" s="706">
        <v>0</v>
      </c>
      <c r="Y1025" s="706">
        <v>0</v>
      </c>
      <c r="Z1025" s="706">
        <v>0</v>
      </c>
      <c r="AA1025" s="706">
        <v>0</v>
      </c>
      <c r="AB1025" s="706">
        <v>0</v>
      </c>
      <c r="AC1025" s="706">
        <v>0</v>
      </c>
      <c r="AD1025" s="706">
        <v>0</v>
      </c>
      <c r="AE1025" s="706">
        <v>0</v>
      </c>
      <c r="AF1025" s="706">
        <v>0</v>
      </c>
      <c r="AG1025" s="706">
        <v>0</v>
      </c>
      <c r="AH1025" s="706">
        <v>0</v>
      </c>
      <c r="AI1025" s="706">
        <v>0</v>
      </c>
      <c r="AJ1025" s="905" t="str">
        <f t="shared" si="110"/>
        <v>G854</v>
      </c>
      <c r="AK1025" s="905" t="str">
        <f t="shared" si="111"/>
        <v>PERTE REPOSSESSION USAG</v>
      </c>
      <c r="AL1025" s="905">
        <f>IFERROR(INDEX(G1025:R1025,1,MATCH(Parametres!$B$3,G$1:R$1,0)-1)*IF(OR(F1025="L",F1025="S",F1025="I"),-1,1),"")</f>
        <v>0</v>
      </c>
      <c r="AM1025" s="905">
        <f t="shared" si="112"/>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t="str">
        <f t="shared" si="113"/>
        <v>G854</v>
      </c>
      <c r="AU1025" s="488" t="str">
        <f t="shared" si="114"/>
        <v>PERTE REPOSSESSION USAG</v>
      </c>
      <c r="AV1025" s="899">
        <f>IFERROR(INDEX(V1025:AG1025,1,MATCH(Parametres!$B$3,V$1:AG$1,0)-1)*IF(OR(C1025="L",C1025="S",C1025="I"),-1,1),"")</f>
        <v>0</v>
      </c>
      <c r="AW1025" s="899">
        <f t="shared" si="115"/>
        <v>0</v>
      </c>
      <c r="AX1025" s="899">
        <f>INDEX(V1025:AG1025,1,MATCH(Parametres!$B$3,V$1:AG$1,0))*IF(OR(C1025="L",C1025="S",C1025="I"),-1,1)</f>
        <v>0</v>
      </c>
      <c r="AY1025" s="487" t="s">
        <v>337</v>
      </c>
      <c r="AZ1025" s="487" t="e">
        <f>+VLOOKUP($AJ1025,Data_Validation!$A:$E,5,0)</f>
        <v>#N/A</v>
      </c>
    </row>
    <row r="1026" spans="1:52" ht="15" customHeight="1">
      <c r="A1026" s="706" t="s">
        <v>1148</v>
      </c>
      <c r="B1026" s="706">
        <v>2026</v>
      </c>
      <c r="C1026" s="706" t="s">
        <v>3068</v>
      </c>
      <c r="D1026" s="706" t="s">
        <v>3069</v>
      </c>
      <c r="E1026" s="706" t="s">
        <v>333</v>
      </c>
      <c r="F1026" s="706" t="s">
        <v>1104</v>
      </c>
      <c r="G1026" s="706">
        <v>0</v>
      </c>
      <c r="H1026" s="706">
        <v>0</v>
      </c>
      <c r="I1026" s="706">
        <v>0</v>
      </c>
      <c r="J1026" s="706">
        <v>0</v>
      </c>
      <c r="K1026" s="706">
        <v>0</v>
      </c>
      <c r="L1026" s="706">
        <v>0</v>
      </c>
      <c r="M1026" s="706">
        <v>0</v>
      </c>
      <c r="N1026" s="706">
        <v>0</v>
      </c>
      <c r="O1026" s="706">
        <v>0</v>
      </c>
      <c r="P1026" s="706">
        <v>0</v>
      </c>
      <c r="Q1026" s="706">
        <v>0</v>
      </c>
      <c r="R1026" s="706">
        <v>0</v>
      </c>
      <c r="S1026" s="706">
        <v>0</v>
      </c>
      <c r="T1026" s="706">
        <v>0</v>
      </c>
      <c r="U1026" s="706">
        <v>0</v>
      </c>
      <c r="V1026" s="706">
        <v>0</v>
      </c>
      <c r="W1026" s="706">
        <v>0</v>
      </c>
      <c r="X1026" s="706">
        <v>0</v>
      </c>
      <c r="Y1026" s="706">
        <v>0</v>
      </c>
      <c r="Z1026" s="706">
        <v>0</v>
      </c>
      <c r="AA1026" s="706">
        <v>0</v>
      </c>
      <c r="AB1026" s="706">
        <v>0</v>
      </c>
      <c r="AC1026" s="706">
        <v>0</v>
      </c>
      <c r="AD1026" s="706">
        <v>0</v>
      </c>
      <c r="AE1026" s="706">
        <v>0</v>
      </c>
      <c r="AF1026" s="706">
        <v>0</v>
      </c>
      <c r="AG1026" s="706">
        <v>0</v>
      </c>
      <c r="AH1026" s="706">
        <v>0</v>
      </c>
      <c r="AI1026" s="706">
        <v>0</v>
      </c>
      <c r="AJ1026" s="905" t="str">
        <f t="shared" si="110"/>
        <v>G85400</v>
      </c>
      <c r="AK1026" s="905" t="str">
        <f t="shared" si="111"/>
        <v>PERTE REPOSSESSION USAGE</v>
      </c>
      <c r="AL1026" s="905">
        <f>IFERROR(INDEX(G1026:R1026,1,MATCH(Parametres!$B$3,G$1:R$1,0)-1)*IF(OR(F1026="L",F1026="S",F1026="I"),-1,1),"")</f>
        <v>0</v>
      </c>
      <c r="AM1026" s="905">
        <f t="shared" si="112"/>
        <v>0</v>
      </c>
      <c r="AN1026" s="905">
        <f>INDEX(G1026:R1026,1,MATCH(Parametres!$B$3,G$1:R$1,0))*IF(OR(F1026="L",F1026="S",F1026="I"),-1,1)</f>
        <v>0</v>
      </c>
      <c r="AO1026" s="487" t="str">
        <f>+VLOOKUP($AJ1026,Data_Validation!$A:$D,1,0)</f>
        <v>G85400</v>
      </c>
      <c r="AP1026" s="487">
        <f>+VLOOKUP($AJ1026,Data_Validation!$A:$D,3,0)</f>
        <v>0</v>
      </c>
      <c r="AQ1026" s="487">
        <f>+VLOOKUP($AJ1026,Data_Validation!$A:$D,4,0)</f>
        <v>0</v>
      </c>
      <c r="AR1026" s="487" t="s">
        <v>299</v>
      </c>
      <c r="AS1026" s="487">
        <f>+VLOOKUP($AJ1026,Data_Validation!$A:$E,5,0)</f>
        <v>0</v>
      </c>
      <c r="AT1026" s="904" t="str">
        <f t="shared" si="113"/>
        <v>G85400</v>
      </c>
      <c r="AU1026" s="488" t="str">
        <f t="shared" si="114"/>
        <v>PERTE REPOSSESSION USAGE</v>
      </c>
      <c r="AV1026" s="899">
        <f>IFERROR(INDEX(V1026:AG1026,1,MATCH(Parametres!$B$3,V$1:AG$1,0)-1)*IF(OR(C1026="L",C1026="S",C1026="I"),-1,1),"")</f>
        <v>0</v>
      </c>
      <c r="AW1026" s="899">
        <f t="shared" si="115"/>
        <v>0</v>
      </c>
      <c r="AX1026" s="899">
        <f>INDEX(V1026:AG1026,1,MATCH(Parametres!$B$3,V$1:AG$1,0))*IF(OR(C1026="L",C1026="S",C1026="I"),-1,1)</f>
        <v>0</v>
      </c>
      <c r="AY1026" s="487" t="s">
        <v>337</v>
      </c>
      <c r="AZ1026" s="487">
        <f>+VLOOKUP($AJ1026,Data_Validation!$A:$E,5,0)</f>
        <v>0</v>
      </c>
    </row>
    <row r="1027" spans="1:52" ht="15" customHeight="1">
      <c r="A1027" s="706" t="s">
        <v>1148</v>
      </c>
      <c r="B1027" s="706">
        <v>2026</v>
      </c>
      <c r="C1027" s="706" t="s">
        <v>3070</v>
      </c>
      <c r="D1027" s="706" t="s">
        <v>3071</v>
      </c>
      <c r="E1027" s="706" t="s">
        <v>333</v>
      </c>
      <c r="F1027" s="706" t="s">
        <v>1104</v>
      </c>
      <c r="G1027" s="706">
        <v>0</v>
      </c>
      <c r="H1027" s="706">
        <v>0</v>
      </c>
      <c r="I1027" s="706">
        <v>0</v>
      </c>
      <c r="J1027" s="706">
        <v>0</v>
      </c>
      <c r="K1027" s="706">
        <v>0</v>
      </c>
      <c r="L1027" s="706">
        <v>0</v>
      </c>
      <c r="M1027" s="706">
        <v>0</v>
      </c>
      <c r="N1027" s="706">
        <v>0</v>
      </c>
      <c r="O1027" s="706">
        <v>0</v>
      </c>
      <c r="P1027" s="706">
        <v>0</v>
      </c>
      <c r="Q1027" s="706">
        <v>0</v>
      </c>
      <c r="R1027" s="706">
        <v>0</v>
      </c>
      <c r="S1027" s="706">
        <v>0</v>
      </c>
      <c r="T1027" s="706">
        <v>0</v>
      </c>
      <c r="U1027" s="706">
        <v>0</v>
      </c>
      <c r="V1027" s="706">
        <v>0</v>
      </c>
      <c r="W1027" s="706">
        <v>0</v>
      </c>
      <c r="X1027" s="706">
        <v>0</v>
      </c>
      <c r="Y1027" s="706">
        <v>0</v>
      </c>
      <c r="Z1027" s="706">
        <v>0</v>
      </c>
      <c r="AA1027" s="706">
        <v>0</v>
      </c>
      <c r="AB1027" s="706">
        <v>0</v>
      </c>
      <c r="AC1027" s="706">
        <v>0</v>
      </c>
      <c r="AD1027" s="706">
        <v>0</v>
      </c>
      <c r="AE1027" s="706">
        <v>0</v>
      </c>
      <c r="AF1027" s="706">
        <v>0</v>
      </c>
      <c r="AG1027" s="706">
        <v>0</v>
      </c>
      <c r="AH1027" s="706">
        <v>0</v>
      </c>
      <c r="AI1027" s="706">
        <v>0</v>
      </c>
      <c r="AJ1027" s="905" t="str">
        <f t="shared" si="110"/>
        <v>G855</v>
      </c>
      <c r="AK1027" s="905" t="str">
        <f t="shared" si="111"/>
        <v>REMUNERATION F&amp;A NEUF</v>
      </c>
      <c r="AL1027" s="905">
        <f>IFERROR(INDEX(G1027:R1027,1,MATCH(Parametres!$B$3,G$1:R$1,0)-1)*IF(OR(F1027="L",F1027="S",F1027="I"),-1,1),"")</f>
        <v>0</v>
      </c>
      <c r="AM1027" s="905">
        <f t="shared" si="112"/>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t="str">
        <f t="shared" si="113"/>
        <v>G855</v>
      </c>
      <c r="AU1027" s="488" t="str">
        <f t="shared" si="114"/>
        <v>REMUNERATION F&amp;A NEUF</v>
      </c>
      <c r="AV1027" s="899">
        <f>IFERROR(INDEX(V1027:AG1027,1,MATCH(Parametres!$B$3,V$1:AG$1,0)-1)*IF(OR(C1027="L",C1027="S",C1027="I"),-1,1),"")</f>
        <v>0</v>
      </c>
      <c r="AW1027" s="899">
        <f t="shared" si="115"/>
        <v>0</v>
      </c>
      <c r="AX1027" s="899">
        <f>INDEX(V1027:AG1027,1,MATCH(Parametres!$B$3,V$1:AG$1,0))*IF(OR(C1027="L",C1027="S",C1027="I"),-1,1)</f>
        <v>0</v>
      </c>
      <c r="AY1027" s="487" t="s">
        <v>337</v>
      </c>
      <c r="AZ1027" s="487" t="e">
        <f>+VLOOKUP($AJ1027,Data_Validation!$A:$E,5,0)</f>
        <v>#N/A</v>
      </c>
    </row>
    <row r="1028" spans="1:52" ht="15" customHeight="1">
      <c r="A1028" s="706" t="s">
        <v>1148</v>
      </c>
      <c r="B1028" s="706">
        <v>2026</v>
      </c>
      <c r="C1028" s="706" t="s">
        <v>3072</v>
      </c>
      <c r="D1028" s="706" t="s">
        <v>3073</v>
      </c>
      <c r="E1028" s="706" t="s">
        <v>333</v>
      </c>
      <c r="F1028" s="706" t="s">
        <v>1104</v>
      </c>
      <c r="G1028" s="706">
        <v>12958.69</v>
      </c>
      <c r="H1028" s="706">
        <v>21768.99</v>
      </c>
      <c r="I1028" s="706">
        <v>32787.4</v>
      </c>
      <c r="J1028" s="706">
        <v>57498.720000000001</v>
      </c>
      <c r="K1028" s="706">
        <v>68000.55</v>
      </c>
      <c r="L1028" s="706">
        <v>83684.160000000003</v>
      </c>
      <c r="M1028" s="706">
        <v>85345.12</v>
      </c>
      <c r="N1028" s="706">
        <v>0</v>
      </c>
      <c r="O1028" s="706">
        <v>0</v>
      </c>
      <c r="P1028" s="706">
        <v>0</v>
      </c>
      <c r="Q1028" s="706">
        <v>0</v>
      </c>
      <c r="R1028" s="706">
        <v>0</v>
      </c>
      <c r="S1028" s="706">
        <v>13947.36</v>
      </c>
      <c r="T1028" s="706">
        <v>13947.36</v>
      </c>
      <c r="U1028" s="706">
        <v>0</v>
      </c>
      <c r="V1028" s="706">
        <v>0</v>
      </c>
      <c r="W1028" s="706">
        <v>0</v>
      </c>
      <c r="X1028" s="706">
        <v>0</v>
      </c>
      <c r="Y1028" s="706">
        <v>0</v>
      </c>
      <c r="Z1028" s="706">
        <v>0</v>
      </c>
      <c r="AA1028" s="706">
        <v>0</v>
      </c>
      <c r="AB1028" s="706">
        <v>0</v>
      </c>
      <c r="AC1028" s="706">
        <v>0</v>
      </c>
      <c r="AD1028" s="706">
        <v>0</v>
      </c>
      <c r="AE1028" s="706">
        <v>0</v>
      </c>
      <c r="AF1028" s="706">
        <v>0</v>
      </c>
      <c r="AG1028" s="706">
        <v>0</v>
      </c>
      <c r="AH1028" s="706">
        <v>0</v>
      </c>
      <c r="AI1028" s="706">
        <v>0</v>
      </c>
      <c r="AJ1028" s="905" t="str">
        <f t="shared" si="110"/>
        <v>G85500</v>
      </c>
      <c r="AK1028" s="905" t="str">
        <f t="shared" si="111"/>
        <v>REMUNERATION F&amp;I NEUF</v>
      </c>
      <c r="AL1028" s="905">
        <f>IFERROR(INDEX(G1028:R1028,1,MATCH(Parametres!$B$3,G$1:R$1,0)-1)*IF(OR(F1028="L",F1028="S",F1028="I"),-1,1),"")</f>
        <v>68000.55</v>
      </c>
      <c r="AM1028" s="905">
        <f t="shared" si="112"/>
        <v>15683.61</v>
      </c>
      <c r="AN1028" s="905">
        <f>INDEX(G1028:R1028,1,MATCH(Parametres!$B$3,G$1:R$1,0))*IF(OR(F1028="L",F1028="S",F1028="I"),-1,1)</f>
        <v>83684.160000000003</v>
      </c>
      <c r="AO1028" s="487" t="str">
        <f>+VLOOKUP($AJ1028,Data_Validation!$A:$D,1,0)</f>
        <v>G85500</v>
      </c>
      <c r="AP1028" s="487" t="str">
        <f>+VLOOKUP($AJ1028,Data_Validation!$A:$D,3,0)</f>
        <v>Véhicules neufs</v>
      </c>
      <c r="AQ1028" s="487" t="str">
        <f>+VLOOKUP($AJ1028,Data_Validation!$A:$D,4,0)</f>
        <v>Comm. F&amp;I</v>
      </c>
      <c r="AR1028" s="487" t="s">
        <v>299</v>
      </c>
      <c r="AS1028" s="487">
        <f>+VLOOKUP($AJ1028,Data_Validation!$A:$E,5,0)</f>
        <v>0</v>
      </c>
      <c r="AT1028" s="904" t="str">
        <f t="shared" si="113"/>
        <v>G85500</v>
      </c>
      <c r="AU1028" s="488" t="str">
        <f t="shared" si="114"/>
        <v>REMUNERATION F&amp;I NEUF</v>
      </c>
      <c r="AV1028" s="899">
        <f>IFERROR(INDEX(V1028:AG1028,1,MATCH(Parametres!$B$3,V$1:AG$1,0)-1)*IF(OR(C1028="L",C1028="S",C1028="I"),-1,1),"")</f>
        <v>0</v>
      </c>
      <c r="AW1028" s="899">
        <f t="shared" si="115"/>
        <v>0</v>
      </c>
      <c r="AX1028" s="899">
        <f>INDEX(V1028:AG1028,1,MATCH(Parametres!$B$3,V$1:AG$1,0))*IF(OR(C1028="L",C1028="S",C1028="I"),-1,1)</f>
        <v>0</v>
      </c>
      <c r="AY1028" s="487" t="s">
        <v>337</v>
      </c>
      <c r="AZ1028" s="487">
        <f>+VLOOKUP($AJ1028,Data_Validation!$A:$E,5,0)</f>
        <v>0</v>
      </c>
    </row>
    <row r="1029" spans="1:52" ht="15" customHeight="1">
      <c r="A1029" s="706" t="s">
        <v>1148</v>
      </c>
      <c r="B1029" s="706">
        <v>2026</v>
      </c>
      <c r="C1029" s="706" t="s">
        <v>3074</v>
      </c>
      <c r="D1029" s="706" t="s">
        <v>3075</v>
      </c>
      <c r="E1029" s="706" t="s">
        <v>333</v>
      </c>
      <c r="F1029" s="706" t="s">
        <v>1104</v>
      </c>
      <c r="G1029" s="706">
        <v>0</v>
      </c>
      <c r="H1029" s="706">
        <v>0</v>
      </c>
      <c r="I1029" s="706">
        <v>0</v>
      </c>
      <c r="J1029" s="706">
        <v>0</v>
      </c>
      <c r="K1029" s="706">
        <v>0</v>
      </c>
      <c r="L1029" s="706">
        <v>0</v>
      </c>
      <c r="M1029" s="706">
        <v>0</v>
      </c>
      <c r="N1029" s="706">
        <v>0</v>
      </c>
      <c r="O1029" s="706">
        <v>0</v>
      </c>
      <c r="P1029" s="706">
        <v>0</v>
      </c>
      <c r="Q1029" s="706">
        <v>0</v>
      </c>
      <c r="R1029" s="706">
        <v>0</v>
      </c>
      <c r="S1029" s="706">
        <v>0</v>
      </c>
      <c r="T1029" s="706">
        <v>0</v>
      </c>
      <c r="U1029" s="706">
        <v>0</v>
      </c>
      <c r="V1029" s="706">
        <v>0</v>
      </c>
      <c r="W1029" s="706">
        <v>0</v>
      </c>
      <c r="X1029" s="706">
        <v>0</v>
      </c>
      <c r="Y1029" s="706">
        <v>0</v>
      </c>
      <c r="Z1029" s="706">
        <v>0</v>
      </c>
      <c r="AA1029" s="706">
        <v>0</v>
      </c>
      <c r="AB1029" s="706">
        <v>0</v>
      </c>
      <c r="AC1029" s="706">
        <v>0</v>
      </c>
      <c r="AD1029" s="706">
        <v>0</v>
      </c>
      <c r="AE1029" s="706">
        <v>0</v>
      </c>
      <c r="AF1029" s="706">
        <v>0</v>
      </c>
      <c r="AG1029" s="706">
        <v>0</v>
      </c>
      <c r="AH1029" s="706">
        <v>0</v>
      </c>
      <c r="AI1029" s="706">
        <v>0</v>
      </c>
      <c r="AJ1029" s="905" t="str">
        <f t="shared" si="110"/>
        <v>G856</v>
      </c>
      <c r="AK1029" s="905" t="str">
        <f t="shared" si="111"/>
        <v>REMUNERATION F&amp;A USAGE</v>
      </c>
      <c r="AL1029" s="905">
        <f>IFERROR(INDEX(G1029:R1029,1,MATCH(Parametres!$B$3,G$1:R$1,0)-1)*IF(OR(F1029="L",F1029="S",F1029="I"),-1,1),"")</f>
        <v>0</v>
      </c>
      <c r="AM1029" s="905">
        <f t="shared" si="112"/>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t="str">
        <f t="shared" si="113"/>
        <v>G856</v>
      </c>
      <c r="AU1029" s="488" t="str">
        <f t="shared" si="114"/>
        <v>REMUNERATION F&amp;A USAGE</v>
      </c>
      <c r="AV1029" s="899">
        <f>IFERROR(INDEX(V1029:AG1029,1,MATCH(Parametres!$B$3,V$1:AG$1,0)-1)*IF(OR(C1029="L",C1029="S",C1029="I"),-1,1),"")</f>
        <v>0</v>
      </c>
      <c r="AW1029" s="899">
        <f t="shared" si="115"/>
        <v>0</v>
      </c>
      <c r="AX1029" s="899">
        <f>INDEX(V1029:AG1029,1,MATCH(Parametres!$B$3,V$1:AG$1,0))*IF(OR(C1029="L",C1029="S",C1029="I"),-1,1)</f>
        <v>0</v>
      </c>
      <c r="AY1029" s="487" t="s">
        <v>337</v>
      </c>
      <c r="AZ1029" s="487" t="e">
        <f>+VLOOKUP($AJ1029,Data_Validation!$A:$E,5,0)</f>
        <v>#N/A</v>
      </c>
    </row>
    <row r="1030" spans="1:52" ht="15" customHeight="1">
      <c r="A1030" s="706" t="s">
        <v>1148</v>
      </c>
      <c r="B1030" s="706">
        <v>2026</v>
      </c>
      <c r="C1030" s="706" t="s">
        <v>3076</v>
      </c>
      <c r="D1030" s="706" t="s">
        <v>3077</v>
      </c>
      <c r="E1030" s="706" t="s">
        <v>333</v>
      </c>
      <c r="F1030" s="706" t="s">
        <v>1104</v>
      </c>
      <c r="G1030" s="706">
        <v>6574.65</v>
      </c>
      <c r="H1030" s="706">
        <v>9305.9500000000007</v>
      </c>
      <c r="I1030" s="706">
        <v>13960.22</v>
      </c>
      <c r="J1030" s="706">
        <v>21591.39</v>
      </c>
      <c r="K1030" s="706">
        <v>27429.56</v>
      </c>
      <c r="L1030" s="706">
        <v>31922.66</v>
      </c>
      <c r="M1030" s="706">
        <v>32191.46</v>
      </c>
      <c r="N1030" s="706">
        <v>0</v>
      </c>
      <c r="O1030" s="706">
        <v>0</v>
      </c>
      <c r="P1030" s="706">
        <v>0</v>
      </c>
      <c r="Q1030" s="706">
        <v>0</v>
      </c>
      <c r="R1030" s="706">
        <v>0</v>
      </c>
      <c r="S1030" s="706">
        <v>5320.44</v>
      </c>
      <c r="T1030" s="706">
        <v>5320.44</v>
      </c>
      <c r="U1030" s="706">
        <v>0</v>
      </c>
      <c r="V1030" s="706">
        <v>0</v>
      </c>
      <c r="W1030" s="706">
        <v>0</v>
      </c>
      <c r="X1030" s="706">
        <v>0</v>
      </c>
      <c r="Y1030" s="706">
        <v>0</v>
      </c>
      <c r="Z1030" s="706">
        <v>0</v>
      </c>
      <c r="AA1030" s="706">
        <v>0</v>
      </c>
      <c r="AB1030" s="706">
        <v>0</v>
      </c>
      <c r="AC1030" s="706">
        <v>0</v>
      </c>
      <c r="AD1030" s="706">
        <v>0</v>
      </c>
      <c r="AE1030" s="706">
        <v>0</v>
      </c>
      <c r="AF1030" s="706">
        <v>0</v>
      </c>
      <c r="AG1030" s="706">
        <v>0</v>
      </c>
      <c r="AH1030" s="706">
        <v>0</v>
      </c>
      <c r="AI1030" s="706">
        <v>0</v>
      </c>
      <c r="AJ1030" s="905" t="str">
        <f t="shared" si="110"/>
        <v>G85600</v>
      </c>
      <c r="AK1030" s="905" t="str">
        <f t="shared" si="111"/>
        <v>REMUNERATION F&amp;I USAGE</v>
      </c>
      <c r="AL1030" s="905">
        <f>IFERROR(INDEX(G1030:R1030,1,MATCH(Parametres!$B$3,G$1:R$1,0)-1)*IF(OR(F1030="L",F1030="S",F1030="I"),-1,1),"")</f>
        <v>27429.56</v>
      </c>
      <c r="AM1030" s="905">
        <f t="shared" si="112"/>
        <v>4493.0999999999985</v>
      </c>
      <c r="AN1030" s="905">
        <f>INDEX(G1030:R1030,1,MATCH(Parametres!$B$3,G$1:R$1,0))*IF(OR(F1030="L",F1030="S",F1030="I"),-1,1)</f>
        <v>31922.66</v>
      </c>
      <c r="AO1030" s="487" t="str">
        <f>+VLOOKUP($AJ1030,Data_Validation!$A:$D,1,0)</f>
        <v>G85600</v>
      </c>
      <c r="AP1030" s="487" t="str">
        <f>+VLOOKUP($AJ1030,Data_Validation!$A:$D,3,0)</f>
        <v>Véhicules usagés</v>
      </c>
      <c r="AQ1030" s="487" t="str">
        <f>+VLOOKUP($AJ1030,Data_Validation!$A:$D,4,0)</f>
        <v>Comm. F&amp;I</v>
      </c>
      <c r="AR1030" s="487" t="s">
        <v>299</v>
      </c>
      <c r="AS1030" s="487">
        <f>+VLOOKUP($AJ1030,Data_Validation!$A:$E,5,0)</f>
        <v>0</v>
      </c>
      <c r="AT1030" s="904" t="str">
        <f t="shared" si="113"/>
        <v>G85600</v>
      </c>
      <c r="AU1030" s="488" t="str">
        <f t="shared" si="114"/>
        <v>REMUNERATION F&amp;I USAGE</v>
      </c>
      <c r="AV1030" s="899">
        <f>IFERROR(INDEX(V1030:AG1030,1,MATCH(Parametres!$B$3,V$1:AG$1,0)-1)*IF(OR(C1030="L",C1030="S",C1030="I"),-1,1),"")</f>
        <v>0</v>
      </c>
      <c r="AW1030" s="899">
        <f t="shared" si="115"/>
        <v>0</v>
      </c>
      <c r="AX1030" s="899">
        <f>INDEX(V1030:AG1030,1,MATCH(Parametres!$B$3,V$1:AG$1,0))*IF(OR(C1030="L",C1030="S",C1030="I"),-1,1)</f>
        <v>0</v>
      </c>
      <c r="AY1030" s="487" t="s">
        <v>337</v>
      </c>
      <c r="AZ1030" s="487">
        <f>+VLOOKUP($AJ1030,Data_Validation!$A:$E,5,0)</f>
        <v>0</v>
      </c>
    </row>
    <row r="1031" spans="1:52" ht="15" customHeight="1">
      <c r="A1031" s="706" t="s">
        <v>1148</v>
      </c>
      <c r="B1031" s="706">
        <v>2026</v>
      </c>
      <c r="C1031" s="706" t="s">
        <v>3078</v>
      </c>
      <c r="D1031" s="706" t="s">
        <v>3056</v>
      </c>
      <c r="E1031" s="706" t="s">
        <v>333</v>
      </c>
      <c r="F1031" s="706" t="s">
        <v>1104</v>
      </c>
      <c r="G1031" s="706">
        <v>0</v>
      </c>
      <c r="H1031" s="706">
        <v>0</v>
      </c>
      <c r="I1031" s="706">
        <v>0</v>
      </c>
      <c r="J1031" s="706">
        <v>0</v>
      </c>
      <c r="K1031" s="706">
        <v>0</v>
      </c>
      <c r="L1031" s="706">
        <v>0</v>
      </c>
      <c r="M1031" s="706">
        <v>0</v>
      </c>
      <c r="N1031" s="706">
        <v>0</v>
      </c>
      <c r="O1031" s="706">
        <v>0</v>
      </c>
      <c r="P1031" s="706">
        <v>0</v>
      </c>
      <c r="Q1031" s="706">
        <v>0</v>
      </c>
      <c r="R1031" s="706">
        <v>0</v>
      </c>
      <c r="S1031" s="706">
        <v>0</v>
      </c>
      <c r="T1031" s="706">
        <v>0</v>
      </c>
      <c r="U1031" s="706">
        <v>0</v>
      </c>
      <c r="V1031" s="706">
        <v>0</v>
      </c>
      <c r="W1031" s="706">
        <v>0</v>
      </c>
      <c r="X1031" s="706">
        <v>0</v>
      </c>
      <c r="Y1031" s="706">
        <v>0</v>
      </c>
      <c r="Z1031" s="706">
        <v>0</v>
      </c>
      <c r="AA1031" s="706">
        <v>0</v>
      </c>
      <c r="AB1031" s="706">
        <v>0</v>
      </c>
      <c r="AC1031" s="706">
        <v>0</v>
      </c>
      <c r="AD1031" s="706">
        <v>0</v>
      </c>
      <c r="AE1031" s="706">
        <v>0</v>
      </c>
      <c r="AF1031" s="706">
        <v>0</v>
      </c>
      <c r="AG1031" s="706">
        <v>0</v>
      </c>
      <c r="AH1031" s="706">
        <v>0</v>
      </c>
      <c r="AI1031" s="706">
        <v>0</v>
      </c>
      <c r="AJ1031" s="905" t="str">
        <f t="shared" si="110"/>
        <v>G87200</v>
      </c>
      <c r="AK1031" s="905" t="str">
        <f t="shared" si="111"/>
        <v>AUTRES REVENUS VEH. NEUFS</v>
      </c>
      <c r="AL1031" s="905">
        <f>IFERROR(INDEX(G1031:R1031,1,MATCH(Parametres!$B$3,G$1:R$1,0)-1)*IF(OR(F1031="L",F1031="S",F1031="I"),-1,1),"")</f>
        <v>0</v>
      </c>
      <c r="AM1031" s="905">
        <f t="shared" si="112"/>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t="str">
        <f t="shared" si="113"/>
        <v>G87200</v>
      </c>
      <c r="AU1031" s="488" t="str">
        <f t="shared" si="114"/>
        <v>AUTRES REVENUS VEH. NEUFS</v>
      </c>
      <c r="AV1031" s="899">
        <f>IFERROR(INDEX(V1031:AG1031,1,MATCH(Parametres!$B$3,V$1:AG$1,0)-1)*IF(OR(C1031="L",C1031="S",C1031="I"),-1,1),"")</f>
        <v>0</v>
      </c>
      <c r="AW1031" s="899">
        <f t="shared" si="115"/>
        <v>0</v>
      </c>
      <c r="AX1031" s="899">
        <f>INDEX(V1031:AG1031,1,MATCH(Parametres!$B$3,V$1:AG$1,0))*IF(OR(C1031="L",C1031="S",C1031="I"),-1,1)</f>
        <v>0</v>
      </c>
      <c r="AY1031" s="487" t="s">
        <v>337</v>
      </c>
      <c r="AZ1031" s="487" t="e">
        <f>+VLOOKUP($AJ1031,Data_Validation!$A:$E,5,0)</f>
        <v>#N/A</v>
      </c>
    </row>
    <row r="1032" spans="1:52" ht="15" customHeight="1">
      <c r="A1032" s="706" t="s">
        <v>1148</v>
      </c>
      <c r="B1032" s="706">
        <v>2026</v>
      </c>
      <c r="C1032" s="706" t="s">
        <v>3079</v>
      </c>
      <c r="D1032" s="706" t="s">
        <v>3080</v>
      </c>
      <c r="E1032" s="706" t="s">
        <v>333</v>
      </c>
      <c r="F1032" s="706" t="s">
        <v>1104</v>
      </c>
      <c r="G1032" s="706">
        <v>0</v>
      </c>
      <c r="H1032" s="706">
        <v>0</v>
      </c>
      <c r="I1032" s="706">
        <v>0</v>
      </c>
      <c r="J1032" s="706">
        <v>0</v>
      </c>
      <c r="K1032" s="706">
        <v>0</v>
      </c>
      <c r="L1032" s="706">
        <v>0</v>
      </c>
      <c r="M1032" s="706">
        <v>0</v>
      </c>
      <c r="N1032" s="706">
        <v>0</v>
      </c>
      <c r="O1032" s="706">
        <v>0</v>
      </c>
      <c r="P1032" s="706">
        <v>0</v>
      </c>
      <c r="Q1032" s="706">
        <v>0</v>
      </c>
      <c r="R1032" s="706">
        <v>0</v>
      </c>
      <c r="S1032" s="706">
        <v>0</v>
      </c>
      <c r="T1032" s="706">
        <v>0</v>
      </c>
      <c r="U1032" s="706">
        <v>0</v>
      </c>
      <c r="V1032" s="706">
        <v>0</v>
      </c>
      <c r="W1032" s="706">
        <v>0</v>
      </c>
      <c r="X1032" s="706">
        <v>0</v>
      </c>
      <c r="Y1032" s="706">
        <v>0</v>
      </c>
      <c r="Z1032" s="706">
        <v>0</v>
      </c>
      <c r="AA1032" s="706">
        <v>0</v>
      </c>
      <c r="AB1032" s="706">
        <v>0</v>
      </c>
      <c r="AC1032" s="706">
        <v>0</v>
      </c>
      <c r="AD1032" s="706">
        <v>0</v>
      </c>
      <c r="AE1032" s="706">
        <v>0</v>
      </c>
      <c r="AF1032" s="706">
        <v>0</v>
      </c>
      <c r="AG1032" s="706">
        <v>0</v>
      </c>
      <c r="AH1032" s="706">
        <v>0</v>
      </c>
      <c r="AI1032" s="706">
        <v>0</v>
      </c>
      <c r="AJ1032" s="905" t="str">
        <f t="shared" si="110"/>
        <v>G87300</v>
      </c>
      <c r="AK1032" s="905" t="str">
        <f t="shared" si="111"/>
        <v>AUTRES REVENUS VEH.USAGES</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t="str">
        <f t="shared" si="113"/>
        <v>G87300</v>
      </c>
      <c r="AU1032" s="488" t="str">
        <f t="shared" si="114"/>
        <v>AUTRES REVENUS VEH.USAGES</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1:52" ht="15" customHeight="1">
      <c r="A1033" s="706" t="s">
        <v>1148</v>
      </c>
      <c r="B1033" s="706">
        <v>2026</v>
      </c>
      <c r="C1033" s="706" t="s">
        <v>3081</v>
      </c>
      <c r="D1033" s="706" t="s">
        <v>1153</v>
      </c>
      <c r="E1033" s="706" t="s">
        <v>333</v>
      </c>
      <c r="F1033" s="706" t="s">
        <v>1150</v>
      </c>
      <c r="G1033" s="706">
        <v>0</v>
      </c>
      <c r="H1033" s="706">
        <v>0</v>
      </c>
      <c r="I1033" s="706">
        <v>0</v>
      </c>
      <c r="J1033" s="706">
        <v>0</v>
      </c>
      <c r="K1033" s="706">
        <v>0</v>
      </c>
      <c r="L1033" s="706">
        <v>0</v>
      </c>
      <c r="M1033" s="706">
        <v>0</v>
      </c>
      <c r="N1033" s="706">
        <v>0</v>
      </c>
      <c r="O1033" s="706">
        <v>0</v>
      </c>
      <c r="P1033" s="706">
        <v>0</v>
      </c>
      <c r="Q1033" s="706">
        <v>0</v>
      </c>
      <c r="R1033" s="706">
        <v>0</v>
      </c>
      <c r="S1033" s="706">
        <v>0</v>
      </c>
      <c r="T1033" s="706">
        <v>0</v>
      </c>
      <c r="U1033" s="706">
        <v>0</v>
      </c>
      <c r="V1033" s="706">
        <v>0</v>
      </c>
      <c r="W1033" s="706">
        <v>0</v>
      </c>
      <c r="X1033" s="706">
        <v>0</v>
      </c>
      <c r="Y1033" s="706">
        <v>0</v>
      </c>
      <c r="Z1033" s="706">
        <v>0</v>
      </c>
      <c r="AA1033" s="706">
        <v>0</v>
      </c>
      <c r="AB1033" s="706">
        <v>0</v>
      </c>
      <c r="AC1033" s="706">
        <v>0</v>
      </c>
      <c r="AD1033" s="706">
        <v>0</v>
      </c>
      <c r="AE1033" s="706">
        <v>0</v>
      </c>
      <c r="AF1033" s="706">
        <v>0</v>
      </c>
      <c r="AG1033" s="706">
        <v>0</v>
      </c>
      <c r="AH1033" s="706">
        <v>0</v>
      </c>
      <c r="AI1033" s="706">
        <v>0</v>
      </c>
      <c r="AJ1033" s="905" t="str">
        <f t="shared" si="110"/>
        <v>G902</v>
      </c>
      <c r="AK1033" s="905" t="str">
        <f t="shared" si="111"/>
        <v>MAUVAISES CREANCES RECOUV</v>
      </c>
      <c r="AL1033" s="905">
        <f>IFERROR(INDEX(G1033:R1033,1,MATCH(Parametres!$B$3,G$1:R$1,0)-1)*IF(OR(F1033="L",F1033="S",F1033="I"),-1,1),"")</f>
        <v>0</v>
      </c>
      <c r="AM1033" s="905">
        <f t="shared" si="112"/>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t="str">
        <f t="shared" si="113"/>
        <v>G902</v>
      </c>
      <c r="AU1033" s="488" t="str">
        <f t="shared" si="114"/>
        <v>MAUVAISES CREANCES RECOUV</v>
      </c>
      <c r="AV1033" s="899">
        <f>IFERROR(INDEX(V1033:AG1033,1,MATCH(Parametres!$B$3,V$1:AG$1,0)-1)*IF(OR(C1033="L",C1033="S",C1033="I"),-1,1),"")</f>
        <v>0</v>
      </c>
      <c r="AW1033" s="899">
        <f t="shared" si="115"/>
        <v>0</v>
      </c>
      <c r="AX1033" s="899">
        <f>INDEX(V1033:AG1033,1,MATCH(Parametres!$B$3,V$1:AG$1,0))*IF(OR(C1033="L",C1033="S",C1033="I"),-1,1)</f>
        <v>0</v>
      </c>
      <c r="AY1033" s="487" t="s">
        <v>337</v>
      </c>
      <c r="AZ1033" s="487" t="e">
        <f>+VLOOKUP($AJ1033,Data_Validation!$A:$E,5,0)</f>
        <v>#N/A</v>
      </c>
    </row>
    <row r="1034" spans="1:52" ht="15" customHeight="1">
      <c r="A1034" s="706" t="s">
        <v>1148</v>
      </c>
      <c r="B1034" s="706">
        <v>2026</v>
      </c>
      <c r="C1034" s="706" t="s">
        <v>3082</v>
      </c>
      <c r="D1034" s="706" t="s">
        <v>3083</v>
      </c>
      <c r="E1034" s="706" t="s">
        <v>333</v>
      </c>
      <c r="F1034" s="706" t="s">
        <v>1150</v>
      </c>
      <c r="G1034" s="706">
        <v>0</v>
      </c>
      <c r="H1034" s="706">
        <v>0</v>
      </c>
      <c r="I1034" s="706">
        <v>0</v>
      </c>
      <c r="J1034" s="706">
        <v>0</v>
      </c>
      <c r="K1034" s="706">
        <v>0</v>
      </c>
      <c r="L1034" s="706">
        <v>0</v>
      </c>
      <c r="M1034" s="706">
        <v>0</v>
      </c>
      <c r="N1034" s="706">
        <v>0</v>
      </c>
      <c r="O1034" s="706">
        <v>0</v>
      </c>
      <c r="P1034" s="706">
        <v>0</v>
      </c>
      <c r="Q1034" s="706">
        <v>0</v>
      </c>
      <c r="R1034" s="706">
        <v>0</v>
      </c>
      <c r="S1034" s="706">
        <v>0</v>
      </c>
      <c r="T1034" s="706">
        <v>0</v>
      </c>
      <c r="U1034" s="706">
        <v>0</v>
      </c>
      <c r="V1034" s="706">
        <v>0</v>
      </c>
      <c r="W1034" s="706">
        <v>0</v>
      </c>
      <c r="X1034" s="706">
        <v>0</v>
      </c>
      <c r="Y1034" s="706">
        <v>0</v>
      </c>
      <c r="Z1034" s="706">
        <v>0</v>
      </c>
      <c r="AA1034" s="706">
        <v>0</v>
      </c>
      <c r="AB1034" s="706">
        <v>0</v>
      </c>
      <c r="AC1034" s="706">
        <v>0</v>
      </c>
      <c r="AD1034" s="706">
        <v>0</v>
      </c>
      <c r="AE1034" s="706">
        <v>0</v>
      </c>
      <c r="AF1034" s="706">
        <v>0</v>
      </c>
      <c r="AG1034" s="706">
        <v>0</v>
      </c>
      <c r="AH1034" s="706">
        <v>0</v>
      </c>
      <c r="AI1034" s="706">
        <v>0</v>
      </c>
      <c r="AJ1034" s="905" t="str">
        <f t="shared" si="110"/>
        <v>G90200</v>
      </c>
      <c r="AK1034" s="905" t="str">
        <f t="shared" si="111"/>
        <v>RENTREES CREANCES RADIEES</v>
      </c>
      <c r="AL1034" s="905">
        <f>IFERROR(INDEX(G1034:R1034,1,MATCH(Parametres!$B$3,G$1:R$1,0)-1)*IF(OR(F1034="L",F1034="S",F1034="I"),-1,1),"")</f>
        <v>0</v>
      </c>
      <c r="AM1034" s="905">
        <f t="shared" si="112"/>
        <v>0</v>
      </c>
      <c r="AN1034" s="905">
        <f>INDEX(G1034:R1034,1,MATCH(Parametres!$B$3,G$1:R$1,0))*IF(OR(F1034="L",F1034="S",F1034="I"),-1,1)</f>
        <v>0</v>
      </c>
      <c r="AO1034" s="487" t="str">
        <f>+VLOOKUP($AJ1034,Data_Validation!$A:$D,1,0)</f>
        <v>G90200</v>
      </c>
      <c r="AP1034" s="487">
        <f>+VLOOKUP($AJ1034,Data_Validation!$A:$D,3,0)</f>
        <v>0</v>
      </c>
      <c r="AQ1034" s="487">
        <f>+VLOOKUP($AJ1034,Data_Validation!$A:$D,4,0)</f>
        <v>0</v>
      </c>
      <c r="AR1034" s="487" t="s">
        <v>299</v>
      </c>
      <c r="AS1034" s="487">
        <f>+VLOOKUP($AJ1034,Data_Validation!$A:$E,5,0)</f>
        <v>0</v>
      </c>
      <c r="AT1034" s="904" t="str">
        <f t="shared" si="113"/>
        <v>G90200</v>
      </c>
      <c r="AU1034" s="488" t="str">
        <f t="shared" si="114"/>
        <v>RENTREES CREANCES RADIEES</v>
      </c>
      <c r="AV1034" s="899">
        <f>IFERROR(INDEX(V1034:AG1034,1,MATCH(Parametres!$B$3,V$1:AG$1,0)-1)*IF(OR(C1034="L",C1034="S",C1034="I"),-1,1),"")</f>
        <v>0</v>
      </c>
      <c r="AW1034" s="899">
        <f t="shared" si="115"/>
        <v>0</v>
      </c>
      <c r="AX1034" s="899">
        <f>INDEX(V1034:AG1034,1,MATCH(Parametres!$B$3,V$1:AG$1,0))*IF(OR(C1034="L",C1034="S",C1034="I"),-1,1)</f>
        <v>0</v>
      </c>
      <c r="AY1034" s="487" t="s">
        <v>337</v>
      </c>
      <c r="AZ1034" s="487">
        <f>+VLOOKUP($AJ1034,Data_Validation!$A:$E,5,0)</f>
        <v>0</v>
      </c>
    </row>
    <row r="1035" spans="1:52" ht="15" customHeight="1">
      <c r="A1035" s="706" t="s">
        <v>1148</v>
      </c>
      <c r="B1035" s="706">
        <v>2026</v>
      </c>
      <c r="C1035" s="706" t="s">
        <v>3084</v>
      </c>
      <c r="D1035" s="706" t="s">
        <v>3085</v>
      </c>
      <c r="E1035" s="706" t="s">
        <v>333</v>
      </c>
      <c r="F1035" s="706" t="s">
        <v>1150</v>
      </c>
      <c r="G1035" s="706">
        <v>0</v>
      </c>
      <c r="H1035" s="706">
        <v>0</v>
      </c>
      <c r="I1035" s="706">
        <v>0</v>
      </c>
      <c r="J1035" s="706">
        <v>0</v>
      </c>
      <c r="K1035" s="706">
        <v>0</v>
      </c>
      <c r="L1035" s="706">
        <v>0</v>
      </c>
      <c r="M1035" s="706">
        <v>0</v>
      </c>
      <c r="N1035" s="706">
        <v>0</v>
      </c>
      <c r="O1035" s="706">
        <v>0</v>
      </c>
      <c r="P1035" s="706">
        <v>0</v>
      </c>
      <c r="Q1035" s="706">
        <v>0</v>
      </c>
      <c r="R1035" s="706">
        <v>0</v>
      </c>
      <c r="S1035" s="706">
        <v>0</v>
      </c>
      <c r="T1035" s="706">
        <v>0</v>
      </c>
      <c r="U1035" s="706">
        <v>0</v>
      </c>
      <c r="V1035" s="706">
        <v>0</v>
      </c>
      <c r="W1035" s="706">
        <v>0</v>
      </c>
      <c r="X1035" s="706">
        <v>0</v>
      </c>
      <c r="Y1035" s="706">
        <v>0</v>
      </c>
      <c r="Z1035" s="706">
        <v>0</v>
      </c>
      <c r="AA1035" s="706">
        <v>0</v>
      </c>
      <c r="AB1035" s="706">
        <v>0</v>
      </c>
      <c r="AC1035" s="706">
        <v>0</v>
      </c>
      <c r="AD1035" s="706">
        <v>0</v>
      </c>
      <c r="AE1035" s="706">
        <v>0</v>
      </c>
      <c r="AF1035" s="706">
        <v>0</v>
      </c>
      <c r="AG1035" s="706">
        <v>0</v>
      </c>
      <c r="AH1035" s="706">
        <v>0</v>
      </c>
      <c r="AI1035" s="706">
        <v>0</v>
      </c>
      <c r="AJ1035" s="905" t="str">
        <f t="shared" si="110"/>
        <v>G903</v>
      </c>
      <c r="AK1035" s="905" t="str">
        <f t="shared" si="111"/>
        <v>ESCOMPTE DE CAISSE GAGNE</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t="str">
        <f t="shared" si="113"/>
        <v>G903</v>
      </c>
      <c r="AU1035" s="488" t="str">
        <f t="shared" si="114"/>
        <v>ESCOMPTE DE CAISSE GAGNE</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1:52" ht="15" customHeight="1">
      <c r="A1036" s="706" t="s">
        <v>1148</v>
      </c>
      <c r="B1036" s="706">
        <v>2026</v>
      </c>
      <c r="C1036" s="706" t="s">
        <v>3086</v>
      </c>
      <c r="D1036" s="706" t="s">
        <v>3087</v>
      </c>
      <c r="E1036" s="706" t="s">
        <v>333</v>
      </c>
      <c r="F1036" s="706" t="s">
        <v>1150</v>
      </c>
      <c r="G1036" s="706">
        <v>0</v>
      </c>
      <c r="H1036" s="706">
        <v>0</v>
      </c>
      <c r="I1036" s="706">
        <v>0</v>
      </c>
      <c r="J1036" s="706">
        <v>0</v>
      </c>
      <c r="K1036" s="706">
        <v>0</v>
      </c>
      <c r="L1036" s="706">
        <v>0</v>
      </c>
      <c r="M1036" s="706">
        <v>0</v>
      </c>
      <c r="N1036" s="706">
        <v>0</v>
      </c>
      <c r="O1036" s="706">
        <v>0</v>
      </c>
      <c r="P1036" s="706">
        <v>0</v>
      </c>
      <c r="Q1036" s="706">
        <v>0</v>
      </c>
      <c r="R1036" s="706">
        <v>0</v>
      </c>
      <c r="S1036" s="706">
        <v>0</v>
      </c>
      <c r="T1036" s="706">
        <v>0</v>
      </c>
      <c r="U1036" s="706">
        <v>0</v>
      </c>
      <c r="V1036" s="706">
        <v>0</v>
      </c>
      <c r="W1036" s="706">
        <v>0</v>
      </c>
      <c r="X1036" s="706">
        <v>0</v>
      </c>
      <c r="Y1036" s="706">
        <v>0</v>
      </c>
      <c r="Z1036" s="706">
        <v>0</v>
      </c>
      <c r="AA1036" s="706">
        <v>0</v>
      </c>
      <c r="AB1036" s="706">
        <v>0</v>
      </c>
      <c r="AC1036" s="706">
        <v>0</v>
      </c>
      <c r="AD1036" s="706">
        <v>0</v>
      </c>
      <c r="AE1036" s="706">
        <v>0</v>
      </c>
      <c r="AF1036" s="706">
        <v>0</v>
      </c>
      <c r="AG1036" s="706">
        <v>0</v>
      </c>
      <c r="AH1036" s="706">
        <v>0</v>
      </c>
      <c r="AI1036" s="706">
        <v>0</v>
      </c>
      <c r="AJ1036" s="905" t="str">
        <f t="shared" si="110"/>
        <v>G905</v>
      </c>
      <c r="AK1036" s="905" t="str">
        <f t="shared" si="111"/>
        <v>AUTRES REVENUS DIVERS</v>
      </c>
      <c r="AL1036" s="905">
        <f>IFERROR(INDEX(G1036:R1036,1,MATCH(Parametres!$B$3,G$1:R$1,0)-1)*IF(OR(F1036="L",F1036="S",F1036="I"),-1,1),"")</f>
        <v>0</v>
      </c>
      <c r="AM1036" s="905">
        <f t="shared" si="112"/>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t="str">
        <f t="shared" si="113"/>
        <v>G905</v>
      </c>
      <c r="AU1036" s="488" t="str">
        <f t="shared" si="114"/>
        <v>AUTRES REVENUS DIVERS</v>
      </c>
      <c r="AV1036" s="899">
        <f>IFERROR(INDEX(V1036:AG1036,1,MATCH(Parametres!$B$3,V$1:AG$1,0)-1)*IF(OR(C1036="L",C1036="S",C1036="I"),-1,1),"")</f>
        <v>0</v>
      </c>
      <c r="AW1036" s="899">
        <f t="shared" si="115"/>
        <v>0</v>
      </c>
      <c r="AX1036" s="899">
        <f>INDEX(V1036:AG1036,1,MATCH(Parametres!$B$3,V$1:AG$1,0))*IF(OR(C1036="L",C1036="S",C1036="I"),-1,1)</f>
        <v>0</v>
      </c>
      <c r="AY1036" s="487" t="s">
        <v>337</v>
      </c>
      <c r="AZ1036" s="487" t="e">
        <f>+VLOOKUP($AJ1036,Data_Validation!$A:$E,5,0)</f>
        <v>#N/A</v>
      </c>
    </row>
    <row r="1037" spans="1:52" ht="15" customHeight="1">
      <c r="A1037" s="706" t="s">
        <v>1148</v>
      </c>
      <c r="B1037" s="706">
        <v>2026</v>
      </c>
      <c r="C1037" s="706" t="s">
        <v>3088</v>
      </c>
      <c r="D1037" s="706" t="s">
        <v>3087</v>
      </c>
      <c r="E1037" s="706" t="s">
        <v>333</v>
      </c>
      <c r="F1037" s="706" t="s">
        <v>1150</v>
      </c>
      <c r="G1037" s="706">
        <v>2822.27</v>
      </c>
      <c r="H1037" s="706">
        <v>17220.16</v>
      </c>
      <c r="I1037" s="706">
        <v>42749.61</v>
      </c>
      <c r="J1037" s="706">
        <v>65183.51</v>
      </c>
      <c r="K1037" s="706">
        <v>26545.14</v>
      </c>
      <c r="L1037" s="706">
        <v>31155.05</v>
      </c>
      <c r="M1037" s="706">
        <v>47712.98</v>
      </c>
      <c r="N1037" s="706">
        <v>0</v>
      </c>
      <c r="O1037" s="706">
        <v>0</v>
      </c>
      <c r="P1037" s="706">
        <v>0</v>
      </c>
      <c r="Q1037" s="706">
        <v>0</v>
      </c>
      <c r="R1037" s="706">
        <v>0</v>
      </c>
      <c r="S1037" s="706">
        <v>5192.51</v>
      </c>
      <c r="T1037" s="706">
        <v>5192.51</v>
      </c>
      <c r="U1037" s="706">
        <v>0</v>
      </c>
      <c r="V1037" s="706">
        <v>-1</v>
      </c>
      <c r="W1037" s="706">
        <v>-2</v>
      </c>
      <c r="X1037" s="706">
        <v>-12</v>
      </c>
      <c r="Y1037" s="706">
        <v>-20</v>
      </c>
      <c r="Z1037" s="706">
        <v>-25</v>
      </c>
      <c r="AA1037" s="706">
        <v>-34</v>
      </c>
      <c r="AB1037" s="706">
        <v>-39</v>
      </c>
      <c r="AC1037" s="706">
        <v>0</v>
      </c>
      <c r="AD1037" s="706">
        <v>0</v>
      </c>
      <c r="AE1037" s="706">
        <v>0</v>
      </c>
      <c r="AF1037" s="706">
        <v>0</v>
      </c>
      <c r="AG1037" s="706">
        <v>0</v>
      </c>
      <c r="AH1037" s="706">
        <v>-6</v>
      </c>
      <c r="AI1037" s="706">
        <v>-6</v>
      </c>
      <c r="AJ1037" s="905" t="str">
        <f t="shared" si="110"/>
        <v>G90500</v>
      </c>
      <c r="AK1037" s="905" t="str">
        <f t="shared" si="111"/>
        <v>AUTRES REVENUS DIVERS</v>
      </c>
      <c r="AL1037" s="905">
        <f>IFERROR(INDEX(G1037:R1037,1,MATCH(Parametres!$B$3,G$1:R$1,0)-1)*IF(OR(F1037="L",F1037="S",F1037="I"),-1,1),"")</f>
        <v>-26545.14</v>
      </c>
      <c r="AM1037" s="905">
        <f t="shared" si="112"/>
        <v>-4609.91</v>
      </c>
      <c r="AN1037" s="905">
        <f>INDEX(G1037:R1037,1,MATCH(Parametres!$B$3,G$1:R$1,0))*IF(OR(F1037="L",F1037="S",F1037="I"),-1,1)</f>
        <v>-31155.05</v>
      </c>
      <c r="AO1037" s="487" t="str">
        <f>+VLOOKUP($AJ1037,Data_Validation!$A:$D,1,0)</f>
        <v>G90500</v>
      </c>
      <c r="AP1037" s="487" t="str">
        <f>+VLOOKUP($AJ1037,Data_Validation!$A:$D,3,0)</f>
        <v>TOTAL DES REVENUS ET DÉPENSES</v>
      </c>
      <c r="AQ1037" s="487" t="str">
        <f>+VLOOKUP($AJ1037,Data_Validation!$A:$D,4,0)</f>
        <v>Revenus autres</v>
      </c>
      <c r="AR1037" s="487" t="s">
        <v>299</v>
      </c>
      <c r="AS1037" s="487">
        <f>+VLOOKUP($AJ1037,Data_Validation!$A:$E,5,0)</f>
        <v>0</v>
      </c>
      <c r="AT1037" s="904" t="str">
        <f t="shared" si="113"/>
        <v>G90500</v>
      </c>
      <c r="AU1037" s="488" t="str">
        <f t="shared" si="114"/>
        <v>AUTRES REVENUS DIVERS</v>
      </c>
      <c r="AV1037" s="899">
        <f>IFERROR(INDEX(V1037:AG1037,1,MATCH(Parametres!$B$3,V$1:AG$1,0)-1)*IF(OR(C1037="L",C1037="S",C1037="I"),-1,1),"")</f>
        <v>-25</v>
      </c>
      <c r="AW1037" s="899">
        <f t="shared" si="115"/>
        <v>-9</v>
      </c>
      <c r="AX1037" s="899">
        <f>INDEX(V1037:AG1037,1,MATCH(Parametres!$B$3,V$1:AG$1,0))*IF(OR(C1037="L",C1037="S",C1037="I"),-1,1)</f>
        <v>-34</v>
      </c>
      <c r="AY1037" s="487" t="s">
        <v>337</v>
      </c>
      <c r="AZ1037" s="487">
        <f>+VLOOKUP($AJ1037,Data_Validation!$A:$E,5,0)</f>
        <v>0</v>
      </c>
    </row>
    <row r="1038" spans="1:52" ht="15" customHeight="1">
      <c r="A1038" s="706" t="s">
        <v>1148</v>
      </c>
      <c r="B1038" s="706">
        <v>2026</v>
      </c>
      <c r="C1038" s="706" t="s">
        <v>3182</v>
      </c>
      <c r="D1038" s="706" t="s">
        <v>3183</v>
      </c>
      <c r="E1038" s="706" t="s">
        <v>333</v>
      </c>
      <c r="F1038" s="706" t="s">
        <v>1150</v>
      </c>
      <c r="G1038" s="706">
        <v>0</v>
      </c>
      <c r="H1038" s="706">
        <v>0</v>
      </c>
      <c r="I1038" s="706">
        <v>0</v>
      </c>
      <c r="J1038" s="706">
        <v>0</v>
      </c>
      <c r="K1038" s="706">
        <v>0</v>
      </c>
      <c r="L1038" s="706">
        <v>0</v>
      </c>
      <c r="M1038" s="706">
        <v>0</v>
      </c>
      <c r="N1038" s="706">
        <v>0</v>
      </c>
      <c r="O1038" s="706">
        <v>0</v>
      </c>
      <c r="P1038" s="706">
        <v>0</v>
      </c>
      <c r="Q1038" s="706">
        <v>0</v>
      </c>
      <c r="R1038" s="706">
        <v>0</v>
      </c>
      <c r="S1038" s="706">
        <v>0</v>
      </c>
      <c r="T1038" s="706">
        <v>0</v>
      </c>
      <c r="U1038" s="706">
        <v>0</v>
      </c>
      <c r="V1038" s="706">
        <v>0</v>
      </c>
      <c r="W1038" s="706">
        <v>0</v>
      </c>
      <c r="X1038" s="706">
        <v>0</v>
      </c>
      <c r="Y1038" s="706">
        <v>0</v>
      </c>
      <c r="Z1038" s="706">
        <v>0</v>
      </c>
      <c r="AA1038" s="706">
        <v>0</v>
      </c>
      <c r="AB1038" s="706">
        <v>0</v>
      </c>
      <c r="AC1038" s="706">
        <v>0</v>
      </c>
      <c r="AD1038" s="706">
        <v>0</v>
      </c>
      <c r="AE1038" s="706">
        <v>0</v>
      </c>
      <c r="AF1038" s="706">
        <v>0</v>
      </c>
      <c r="AG1038" s="706">
        <v>0</v>
      </c>
      <c r="AH1038" s="706">
        <v>0</v>
      </c>
      <c r="AI1038" s="706">
        <v>0</v>
      </c>
      <c r="AJ1038" s="905" t="str">
        <f t="shared" si="110"/>
        <v>G90550</v>
      </c>
      <c r="AK1038" s="905" t="str">
        <f t="shared" si="111"/>
        <v>DEALER FINANCE - SPLIT</v>
      </c>
      <c r="AL1038" s="905">
        <f>IFERROR(INDEX(G1038:R1038,1,MATCH(Parametres!$B$3,G$1:R$1,0)-1)*IF(OR(F1038="L",F1038="S",F1038="I"),-1,1),"")</f>
        <v>0</v>
      </c>
      <c r="AM1038" s="905">
        <f t="shared" si="112"/>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t="str">
        <f t="shared" si="113"/>
        <v>G90550</v>
      </c>
      <c r="AU1038" s="488" t="str">
        <f t="shared" si="114"/>
        <v>DEALER FINANCE - SPLIT</v>
      </c>
      <c r="AV1038" s="899">
        <f>IFERROR(INDEX(V1038:AG1038,1,MATCH(Parametres!$B$3,V$1:AG$1,0)-1)*IF(OR(C1038="L",C1038="S",C1038="I"),-1,1),"")</f>
        <v>0</v>
      </c>
      <c r="AW1038" s="899">
        <f t="shared" si="115"/>
        <v>0</v>
      </c>
      <c r="AX1038" s="899">
        <f>INDEX(V1038:AG1038,1,MATCH(Parametres!$B$3,V$1:AG$1,0))*IF(OR(C1038="L",C1038="S",C1038="I"),-1,1)</f>
        <v>0</v>
      </c>
      <c r="AY1038" s="487" t="s">
        <v>337</v>
      </c>
      <c r="AZ1038" s="487" t="e">
        <f>+VLOOKUP($AJ1038,Data_Validation!$A:$E,5,0)</f>
        <v>#N/A</v>
      </c>
    </row>
    <row r="1039" spans="1:52" ht="15" customHeight="1">
      <c r="A1039" s="706" t="s">
        <v>1148</v>
      </c>
      <c r="B1039" s="706">
        <v>2026</v>
      </c>
      <c r="C1039" s="706" t="s">
        <v>3184</v>
      </c>
      <c r="D1039" s="706" t="s">
        <v>3185</v>
      </c>
      <c r="E1039" s="706" t="s">
        <v>333</v>
      </c>
      <c r="F1039" s="706" t="s">
        <v>1150</v>
      </c>
      <c r="G1039" s="706">
        <v>0</v>
      </c>
      <c r="H1039" s="706">
        <v>0</v>
      </c>
      <c r="I1039" s="706">
        <v>0</v>
      </c>
      <c r="J1039" s="706">
        <v>0</v>
      </c>
      <c r="K1039" s="706">
        <v>41353.94</v>
      </c>
      <c r="L1039" s="706">
        <v>55228.639999999999</v>
      </c>
      <c r="M1039" s="706">
        <v>55228.639999999999</v>
      </c>
      <c r="N1039" s="706">
        <v>0</v>
      </c>
      <c r="O1039" s="706">
        <v>0</v>
      </c>
      <c r="P1039" s="706">
        <v>0</v>
      </c>
      <c r="Q1039" s="706">
        <v>0</v>
      </c>
      <c r="R1039" s="706">
        <v>0</v>
      </c>
      <c r="S1039" s="706">
        <v>9204.77</v>
      </c>
      <c r="T1039" s="706">
        <v>9204.77</v>
      </c>
      <c r="U1039" s="706">
        <v>0</v>
      </c>
      <c r="V1039" s="706">
        <v>0</v>
      </c>
      <c r="W1039" s="706">
        <v>0</v>
      </c>
      <c r="X1039" s="706">
        <v>0</v>
      </c>
      <c r="Y1039" s="706">
        <v>0</v>
      </c>
      <c r="Z1039" s="706">
        <v>3</v>
      </c>
      <c r="AA1039" s="706">
        <v>4</v>
      </c>
      <c r="AB1039" s="706">
        <v>4</v>
      </c>
      <c r="AC1039" s="706">
        <v>0</v>
      </c>
      <c r="AD1039" s="706">
        <v>0</v>
      </c>
      <c r="AE1039" s="706">
        <v>0</v>
      </c>
      <c r="AF1039" s="706">
        <v>0</v>
      </c>
      <c r="AG1039" s="706">
        <v>0</v>
      </c>
      <c r="AH1039" s="706">
        <v>1</v>
      </c>
      <c r="AI1039" s="706">
        <v>1</v>
      </c>
      <c r="AJ1039" s="905" t="str">
        <f t="shared" si="110"/>
        <v>G90551</v>
      </c>
      <c r="AK1039" s="905" t="str">
        <f t="shared" si="111"/>
        <v>DEALER FINANCE - NEUF</v>
      </c>
      <c r="AL1039" s="905">
        <f>IFERROR(INDEX(G1039:R1039,1,MATCH(Parametres!$B$3,G$1:R$1,0)-1)*IF(OR(F1039="L",F1039="S",F1039="I"),-1,1),"")</f>
        <v>-41353.94</v>
      </c>
      <c r="AM1039" s="905">
        <f t="shared" si="112"/>
        <v>-13874.699999999997</v>
      </c>
      <c r="AN1039" s="905">
        <f>INDEX(G1039:R1039,1,MATCH(Parametres!$B$3,G$1:R$1,0))*IF(OR(F1039="L",F1039="S",F1039="I"),-1,1)</f>
        <v>-55228.639999999999</v>
      </c>
      <c r="AO1039" s="487" t="str">
        <f>+VLOOKUP($AJ1039,Data_Validation!$A:$D,1,0)</f>
        <v>G90551</v>
      </c>
      <c r="AP1039" s="487" t="str">
        <f>+VLOOKUP($AJ1039,Data_Validation!$A:$D,3,0)</f>
        <v>Véhicules neufs</v>
      </c>
      <c r="AQ1039" s="487" t="str">
        <f>+VLOOKUP($AJ1039,Data_Validation!$A:$D,4,0)</f>
        <v>Crédit Boni TD</v>
      </c>
      <c r="AR1039" s="487" t="s">
        <v>299</v>
      </c>
      <c r="AS1039" s="487">
        <f>+VLOOKUP($AJ1039,Data_Validation!$A:$E,5,0)</f>
        <v>0</v>
      </c>
      <c r="AT1039" s="904" t="str">
        <f t="shared" si="113"/>
        <v>G90551</v>
      </c>
      <c r="AU1039" s="488" t="str">
        <f t="shared" si="114"/>
        <v>DEALER FINANCE - NEUF</v>
      </c>
      <c r="AV1039" s="899">
        <f>IFERROR(INDEX(V1039:AG1039,1,MATCH(Parametres!$B$3,V$1:AG$1,0)-1)*IF(OR(C1039="L",C1039="S",C1039="I"),-1,1),"")</f>
        <v>3</v>
      </c>
      <c r="AW1039" s="899">
        <f t="shared" si="115"/>
        <v>1</v>
      </c>
      <c r="AX1039" s="899">
        <f>INDEX(V1039:AG1039,1,MATCH(Parametres!$B$3,V$1:AG$1,0))*IF(OR(C1039="L",C1039="S",C1039="I"),-1,1)</f>
        <v>4</v>
      </c>
      <c r="AY1039" s="487" t="s">
        <v>337</v>
      </c>
      <c r="AZ1039" s="487">
        <f>+VLOOKUP($AJ1039,Data_Validation!$A:$E,5,0)</f>
        <v>0</v>
      </c>
    </row>
    <row r="1040" spans="1:52" ht="15" customHeight="1">
      <c r="A1040" s="706" t="s">
        <v>1148</v>
      </c>
      <c r="B1040" s="706">
        <v>2026</v>
      </c>
      <c r="C1040" s="706" t="s">
        <v>3186</v>
      </c>
      <c r="D1040" s="706" t="s">
        <v>3187</v>
      </c>
      <c r="E1040" s="706" t="s">
        <v>333</v>
      </c>
      <c r="F1040" s="706" t="s">
        <v>1150</v>
      </c>
      <c r="G1040" s="706">
        <v>0</v>
      </c>
      <c r="H1040" s="706">
        <v>0</v>
      </c>
      <c r="I1040" s="706">
        <v>0</v>
      </c>
      <c r="J1040" s="706">
        <v>0</v>
      </c>
      <c r="K1040" s="706">
        <v>27569.29</v>
      </c>
      <c r="L1040" s="706">
        <v>34506.639999999999</v>
      </c>
      <c r="M1040" s="706">
        <v>34506.639999999999</v>
      </c>
      <c r="N1040" s="706">
        <v>0</v>
      </c>
      <c r="O1040" s="706">
        <v>0</v>
      </c>
      <c r="P1040" s="706">
        <v>0</v>
      </c>
      <c r="Q1040" s="706">
        <v>0</v>
      </c>
      <c r="R1040" s="706">
        <v>0</v>
      </c>
      <c r="S1040" s="706">
        <v>5751.11</v>
      </c>
      <c r="T1040" s="706">
        <v>5751.11</v>
      </c>
      <c r="U1040" s="706">
        <v>0</v>
      </c>
      <c r="V1040" s="706">
        <v>0</v>
      </c>
      <c r="W1040" s="706">
        <v>0</v>
      </c>
      <c r="X1040" s="706">
        <v>0</v>
      </c>
      <c r="Y1040" s="706">
        <v>0</v>
      </c>
      <c r="Z1040" s="706">
        <v>3</v>
      </c>
      <c r="AA1040" s="706">
        <v>4</v>
      </c>
      <c r="AB1040" s="706">
        <v>4</v>
      </c>
      <c r="AC1040" s="706">
        <v>0</v>
      </c>
      <c r="AD1040" s="706">
        <v>0</v>
      </c>
      <c r="AE1040" s="706">
        <v>0</v>
      </c>
      <c r="AF1040" s="706">
        <v>0</v>
      </c>
      <c r="AG1040" s="706">
        <v>0</v>
      </c>
      <c r="AH1040" s="706">
        <v>1</v>
      </c>
      <c r="AI1040" s="706">
        <v>1</v>
      </c>
      <c r="AJ1040" s="905" t="str">
        <f t="shared" si="110"/>
        <v>G90552</v>
      </c>
      <c r="AK1040" s="905" t="str">
        <f t="shared" si="111"/>
        <v>DEALER FINANCE - USAGE</v>
      </c>
      <c r="AL1040" s="905">
        <f>IFERROR(INDEX(G1040:R1040,1,MATCH(Parametres!$B$3,G$1:R$1,0)-1)*IF(OR(F1040="L",F1040="S",F1040="I"),-1,1),"")</f>
        <v>-27569.29</v>
      </c>
      <c r="AM1040" s="905">
        <f t="shared" si="112"/>
        <v>-6937.3499999999985</v>
      </c>
      <c r="AN1040" s="905">
        <f>INDEX(G1040:R1040,1,MATCH(Parametres!$B$3,G$1:R$1,0))*IF(OR(F1040="L",F1040="S",F1040="I"),-1,1)</f>
        <v>-34506.639999999999</v>
      </c>
      <c r="AO1040" s="487" t="str">
        <f>+VLOOKUP($AJ1040,Data_Validation!$A:$D,1,0)</f>
        <v>G90552</v>
      </c>
      <c r="AP1040" s="487" t="str">
        <f>+VLOOKUP($AJ1040,Data_Validation!$A:$D,3,0)</f>
        <v>Véhicules usagés</v>
      </c>
      <c r="AQ1040" s="487" t="str">
        <f>+VLOOKUP($AJ1040,Data_Validation!$A:$D,4,0)</f>
        <v>Crédit Boni TD</v>
      </c>
      <c r="AR1040" s="487" t="s">
        <v>299</v>
      </c>
      <c r="AS1040" s="487">
        <f>+VLOOKUP($AJ1040,Data_Validation!$A:$E,5,0)</f>
        <v>0</v>
      </c>
      <c r="AT1040" s="904" t="str">
        <f t="shared" si="113"/>
        <v>G90552</v>
      </c>
      <c r="AU1040" s="488" t="str">
        <f t="shared" si="114"/>
        <v>DEALER FINANCE - USAGE</v>
      </c>
      <c r="AV1040" s="899">
        <f>IFERROR(INDEX(V1040:AG1040,1,MATCH(Parametres!$B$3,V$1:AG$1,0)-1)*IF(OR(C1040="L",C1040="S",C1040="I"),-1,1),"")</f>
        <v>3</v>
      </c>
      <c r="AW1040" s="899">
        <f t="shared" si="115"/>
        <v>1</v>
      </c>
      <c r="AX1040" s="899">
        <f>INDEX(V1040:AG1040,1,MATCH(Parametres!$B$3,V$1:AG$1,0))*IF(OR(C1040="L",C1040="S",C1040="I"),-1,1)</f>
        <v>4</v>
      </c>
      <c r="AY1040" s="487" t="s">
        <v>337</v>
      </c>
      <c r="AZ1040" s="487">
        <f>+VLOOKUP($AJ1040,Data_Validation!$A:$E,5,0)</f>
        <v>0</v>
      </c>
    </row>
    <row r="1041" spans="1:52" ht="15" customHeight="1">
      <c r="A1041" s="706" t="s">
        <v>1148</v>
      </c>
      <c r="B1041" s="706">
        <v>2026</v>
      </c>
      <c r="C1041" s="706" t="s">
        <v>3089</v>
      </c>
      <c r="D1041" s="706" t="s">
        <v>3090</v>
      </c>
      <c r="E1041" s="706" t="s">
        <v>333</v>
      </c>
      <c r="F1041" s="706" t="s">
        <v>1150</v>
      </c>
      <c r="G1041" s="706">
        <v>0</v>
      </c>
      <c r="H1041" s="706">
        <v>0</v>
      </c>
      <c r="I1041" s="706">
        <v>37199.85</v>
      </c>
      <c r="J1041" s="706">
        <v>50434.879999999997</v>
      </c>
      <c r="K1041" s="706">
        <v>63583.76</v>
      </c>
      <c r="L1041" s="706">
        <v>76646.100000000006</v>
      </c>
      <c r="M1041" s="706">
        <v>76646.100000000006</v>
      </c>
      <c r="N1041" s="706">
        <v>0</v>
      </c>
      <c r="O1041" s="706">
        <v>0</v>
      </c>
      <c r="P1041" s="706">
        <v>0</v>
      </c>
      <c r="Q1041" s="706">
        <v>0</v>
      </c>
      <c r="R1041" s="706">
        <v>0</v>
      </c>
      <c r="S1041" s="706">
        <v>12774.35</v>
      </c>
      <c r="T1041" s="706">
        <v>12774.35</v>
      </c>
      <c r="U1041" s="706">
        <v>0</v>
      </c>
      <c r="V1041" s="706">
        <v>0</v>
      </c>
      <c r="W1041" s="706">
        <v>0</v>
      </c>
      <c r="X1041" s="706">
        <v>2</v>
      </c>
      <c r="Y1041" s="706">
        <v>4</v>
      </c>
      <c r="Z1041" s="706">
        <v>6</v>
      </c>
      <c r="AA1041" s="706">
        <v>8</v>
      </c>
      <c r="AB1041" s="706">
        <v>8</v>
      </c>
      <c r="AC1041" s="706">
        <v>0</v>
      </c>
      <c r="AD1041" s="706">
        <v>0</v>
      </c>
      <c r="AE1041" s="706">
        <v>0</v>
      </c>
      <c r="AF1041" s="706">
        <v>0</v>
      </c>
      <c r="AG1041" s="706">
        <v>0</v>
      </c>
      <c r="AH1041" s="706">
        <v>1</v>
      </c>
      <c r="AI1041" s="706">
        <v>1</v>
      </c>
      <c r="AJ1041" s="905" t="str">
        <f t="shared" si="110"/>
        <v>G90800</v>
      </c>
      <c r="AK1041" s="905" t="str">
        <f t="shared" si="111"/>
        <v>REVENU INTERET (PRETS)</v>
      </c>
      <c r="AL1041" s="905">
        <f>IFERROR(INDEX(G1041:R1041,1,MATCH(Parametres!$B$3,G$1:R$1,0)-1)*IF(OR(F1041="L",F1041="S",F1041="I"),-1,1),"")</f>
        <v>-63583.76</v>
      </c>
      <c r="AM1041" s="905">
        <f t="shared" si="112"/>
        <v>-13062.340000000004</v>
      </c>
      <c r="AN1041" s="905">
        <f>INDEX(G1041:R1041,1,MATCH(Parametres!$B$3,G$1:R$1,0))*IF(OR(F1041="L",F1041="S",F1041="I"),-1,1)</f>
        <v>-76646.100000000006</v>
      </c>
      <c r="AO1041" s="487" t="str">
        <f>+VLOOKUP($AJ1041,Data_Validation!$A:$D,1,0)</f>
        <v>G90800</v>
      </c>
      <c r="AP1041" s="487" t="str">
        <f>+VLOOKUP($AJ1041,Data_Validation!$A:$D,3,0)</f>
        <v>TOTAL DES REVENUS ET DÉPENSES</v>
      </c>
      <c r="AQ1041" s="487" t="str">
        <f>+VLOOKUP($AJ1041,Data_Validation!$A:$D,4,0)</f>
        <v>Intérêts sur prêt</v>
      </c>
      <c r="AR1041" s="487" t="s">
        <v>299</v>
      </c>
      <c r="AS1041" s="487">
        <f>+VLOOKUP($AJ1041,Data_Validation!$A:$E,5,0)</f>
        <v>0</v>
      </c>
      <c r="AT1041" s="904" t="str">
        <f t="shared" si="113"/>
        <v>G90800</v>
      </c>
      <c r="AU1041" s="488" t="str">
        <f t="shared" si="114"/>
        <v>REVENU INTERET (PRETS)</v>
      </c>
      <c r="AV1041" s="899">
        <f>IFERROR(INDEX(V1041:AG1041,1,MATCH(Parametres!$B$3,V$1:AG$1,0)-1)*IF(OR(C1041="L",C1041="S",C1041="I"),-1,1),"")</f>
        <v>6</v>
      </c>
      <c r="AW1041" s="899">
        <f t="shared" si="115"/>
        <v>2</v>
      </c>
      <c r="AX1041" s="899">
        <f>INDEX(V1041:AG1041,1,MATCH(Parametres!$B$3,V$1:AG$1,0))*IF(OR(C1041="L",C1041="S",C1041="I"),-1,1)</f>
        <v>8</v>
      </c>
      <c r="AY1041" s="487" t="s">
        <v>337</v>
      </c>
      <c r="AZ1041" s="487">
        <f>+VLOOKUP($AJ1041,Data_Validation!$A:$E,5,0)</f>
        <v>0</v>
      </c>
    </row>
    <row r="1042" spans="1:52" ht="15" customHeight="1">
      <c r="A1042" s="706" t="s">
        <v>1148</v>
      </c>
      <c r="B1042" s="706">
        <v>2026</v>
      </c>
      <c r="C1042" s="706" t="s">
        <v>3091</v>
      </c>
      <c r="D1042" s="706" t="s">
        <v>3092</v>
      </c>
      <c r="E1042" s="706" t="s">
        <v>333</v>
      </c>
      <c r="F1042" s="706" t="s">
        <v>1150</v>
      </c>
      <c r="G1042" s="706">
        <v>0</v>
      </c>
      <c r="H1042" s="706">
        <v>0</v>
      </c>
      <c r="I1042" s="706">
        <v>0</v>
      </c>
      <c r="J1042" s="706">
        <v>810.96</v>
      </c>
      <c r="K1042" s="706">
        <v>3953.43</v>
      </c>
      <c r="L1042" s="706">
        <v>5930.14</v>
      </c>
      <c r="M1042" s="706">
        <v>5930.14</v>
      </c>
      <c r="N1042" s="706">
        <v>0</v>
      </c>
      <c r="O1042" s="706">
        <v>0</v>
      </c>
      <c r="P1042" s="706">
        <v>0</v>
      </c>
      <c r="Q1042" s="706">
        <v>0</v>
      </c>
      <c r="R1042" s="706">
        <v>0</v>
      </c>
      <c r="S1042" s="706">
        <v>988.36</v>
      </c>
      <c r="T1042" s="706">
        <v>988.36</v>
      </c>
      <c r="U1042" s="706">
        <v>0</v>
      </c>
      <c r="V1042" s="706">
        <v>0</v>
      </c>
      <c r="W1042" s="706">
        <v>0</v>
      </c>
      <c r="X1042" s="706">
        <v>0</v>
      </c>
      <c r="Y1042" s="706">
        <v>1</v>
      </c>
      <c r="Z1042" s="706">
        <v>2</v>
      </c>
      <c r="AA1042" s="706">
        <v>3</v>
      </c>
      <c r="AB1042" s="706">
        <v>3</v>
      </c>
      <c r="AC1042" s="706">
        <v>0</v>
      </c>
      <c r="AD1042" s="706">
        <v>0</v>
      </c>
      <c r="AE1042" s="706">
        <v>0</v>
      </c>
      <c r="AF1042" s="706">
        <v>0</v>
      </c>
      <c r="AG1042" s="706">
        <v>0</v>
      </c>
      <c r="AH1042" s="706">
        <v>1</v>
      </c>
      <c r="AI1042" s="706">
        <v>1</v>
      </c>
      <c r="AJ1042" s="905" t="str">
        <f t="shared" si="110"/>
        <v>G90810</v>
      </c>
      <c r="AK1042" s="905" t="str">
        <f t="shared" si="111"/>
        <v>REVENU INTERET (BULK)</v>
      </c>
      <c r="AL1042" s="905">
        <f>IFERROR(INDEX(G1042:R1042,1,MATCH(Parametres!$B$3,G$1:R$1,0)-1)*IF(OR(F1042="L",F1042="S",F1042="I"),-1,1),"")</f>
        <v>-3953.43</v>
      </c>
      <c r="AM1042" s="905">
        <f t="shared" si="112"/>
        <v>-1976.7100000000005</v>
      </c>
      <c r="AN1042" s="905">
        <f>INDEX(G1042:R1042,1,MATCH(Parametres!$B$3,G$1:R$1,0))*IF(OR(F1042="L",F1042="S",F1042="I"),-1,1)</f>
        <v>-5930.14</v>
      </c>
      <c r="AO1042" s="487" t="str">
        <f>+VLOOKUP($AJ1042,Data_Validation!$A:$D,1,0)</f>
        <v>G90810</v>
      </c>
      <c r="AP1042" s="487" t="str">
        <f>+VLOOKUP($AJ1042,Data_Validation!$A:$D,3,0)</f>
        <v>TOTAL DES REVENUS ET DÉPENSES</v>
      </c>
      <c r="AQ1042" s="487" t="str">
        <f>+VLOOKUP($AJ1042,Data_Validation!$A:$D,4,0)</f>
        <v>Revenus d'intérêts Floor plan</v>
      </c>
      <c r="AR1042" s="487" t="s">
        <v>299</v>
      </c>
      <c r="AS1042" s="487">
        <f>+VLOOKUP($AJ1042,Data_Validation!$A:$E,5,0)</f>
        <v>0</v>
      </c>
      <c r="AT1042" s="904" t="str">
        <f t="shared" si="113"/>
        <v>G90810</v>
      </c>
      <c r="AU1042" s="488" t="str">
        <f t="shared" si="114"/>
        <v>REVENU INTERET (BULK)</v>
      </c>
      <c r="AV1042" s="899">
        <f>IFERROR(INDEX(V1042:AG1042,1,MATCH(Parametres!$B$3,V$1:AG$1,0)-1)*IF(OR(C1042="L",C1042="S",C1042="I"),-1,1),"")</f>
        <v>2</v>
      </c>
      <c r="AW1042" s="899">
        <f t="shared" si="115"/>
        <v>1</v>
      </c>
      <c r="AX1042" s="899">
        <f>INDEX(V1042:AG1042,1,MATCH(Parametres!$B$3,V$1:AG$1,0))*IF(OR(C1042="L",C1042="S",C1042="I"),-1,1)</f>
        <v>3</v>
      </c>
      <c r="AY1042" s="487" t="s">
        <v>337</v>
      </c>
      <c r="AZ1042" s="487">
        <f>+VLOOKUP($AJ1042,Data_Validation!$A:$E,5,0)</f>
        <v>0</v>
      </c>
    </row>
    <row r="1043" spans="1:52" ht="15" customHeight="1">
      <c r="A1043" s="706" t="s">
        <v>1148</v>
      </c>
      <c r="B1043" s="706">
        <v>2026</v>
      </c>
      <c r="C1043" s="706" t="s">
        <v>3093</v>
      </c>
      <c r="D1043" s="706" t="s">
        <v>3094</v>
      </c>
      <c r="E1043" s="706" t="s">
        <v>333</v>
      </c>
      <c r="F1043" s="706" t="s">
        <v>1150</v>
      </c>
      <c r="G1043" s="706">
        <v>31433.86</v>
      </c>
      <c r="H1043" s="706">
        <v>29413.86</v>
      </c>
      <c r="I1043" s="706">
        <v>29146.86</v>
      </c>
      <c r="J1043" s="706">
        <v>37628.720000000001</v>
      </c>
      <c r="K1043" s="706">
        <v>69120.7</v>
      </c>
      <c r="L1043" s="706">
        <v>93472.23</v>
      </c>
      <c r="M1043" s="706">
        <v>93587.23</v>
      </c>
      <c r="N1043" s="706">
        <v>0</v>
      </c>
      <c r="O1043" s="706">
        <v>0</v>
      </c>
      <c r="P1043" s="706">
        <v>0</v>
      </c>
      <c r="Q1043" s="706">
        <v>0</v>
      </c>
      <c r="R1043" s="706">
        <v>0</v>
      </c>
      <c r="S1043" s="706">
        <v>15578.71</v>
      </c>
      <c r="T1043" s="706">
        <v>15578.71</v>
      </c>
      <c r="U1043" s="706">
        <v>0</v>
      </c>
      <c r="V1043" s="706">
        <v>3</v>
      </c>
      <c r="W1043" s="706">
        <v>1</v>
      </c>
      <c r="X1043" s="706">
        <v>0</v>
      </c>
      <c r="Y1043" s="706">
        <v>1</v>
      </c>
      <c r="Z1043" s="706">
        <v>7</v>
      </c>
      <c r="AA1043" s="706">
        <v>25</v>
      </c>
      <c r="AB1043" s="706">
        <v>26</v>
      </c>
      <c r="AC1043" s="706">
        <v>0</v>
      </c>
      <c r="AD1043" s="706">
        <v>0</v>
      </c>
      <c r="AE1043" s="706">
        <v>0</v>
      </c>
      <c r="AF1043" s="706">
        <v>0</v>
      </c>
      <c r="AG1043" s="706">
        <v>0</v>
      </c>
      <c r="AH1043" s="706">
        <v>4</v>
      </c>
      <c r="AI1043" s="706">
        <v>4</v>
      </c>
      <c r="AJ1043" s="905" t="str">
        <f t="shared" si="110"/>
        <v>G90900</v>
      </c>
      <c r="AK1043" s="905" t="str">
        <f t="shared" si="111"/>
        <v>REMBOURSEMENTS DE GMCL</v>
      </c>
      <c r="AL1043" s="905">
        <f>IFERROR(INDEX(G1043:R1043,1,MATCH(Parametres!$B$3,G$1:R$1,0)-1)*IF(OR(F1043="L",F1043="S",F1043="I"),-1,1),"")</f>
        <v>-69120.7</v>
      </c>
      <c r="AM1043" s="905">
        <f t="shared" si="112"/>
        <v>-24351.53</v>
      </c>
      <c r="AN1043" s="905">
        <f>INDEX(G1043:R1043,1,MATCH(Parametres!$B$3,G$1:R$1,0))*IF(OR(F1043="L",F1043="S",F1043="I"),-1,1)</f>
        <v>-93472.23</v>
      </c>
      <c r="AO1043" s="487" t="str">
        <f>+VLOOKUP($AJ1043,Data_Validation!$A:$D,1,0)</f>
        <v>G90900</v>
      </c>
      <c r="AP1043" s="487" t="str">
        <f>+VLOOKUP($AJ1043,Data_Validation!$A:$D,3,0)</f>
        <v>Véhicules neufs</v>
      </c>
      <c r="AQ1043" s="487" t="str">
        <f>+VLOOKUP($AJ1043,Data_Validation!$A:$D,4,0)</f>
        <v>Programme Excellence</v>
      </c>
      <c r="AR1043" s="487" t="s">
        <v>299</v>
      </c>
      <c r="AS1043" s="487">
        <f>+VLOOKUP($AJ1043,Data_Validation!$A:$E,5,0)</f>
        <v>0</v>
      </c>
      <c r="AT1043" s="904" t="str">
        <f t="shared" si="113"/>
        <v>G90900</v>
      </c>
      <c r="AU1043" s="488" t="str">
        <f t="shared" si="114"/>
        <v>REMBOURSEMENTS DE GMCL</v>
      </c>
      <c r="AV1043" s="899">
        <f>IFERROR(INDEX(V1043:AG1043,1,MATCH(Parametres!$B$3,V$1:AG$1,0)-1)*IF(OR(C1043="L",C1043="S",C1043="I"),-1,1),"")</f>
        <v>7</v>
      </c>
      <c r="AW1043" s="899">
        <f t="shared" si="115"/>
        <v>18</v>
      </c>
      <c r="AX1043" s="899">
        <f>INDEX(V1043:AG1043,1,MATCH(Parametres!$B$3,V$1:AG$1,0))*IF(OR(C1043="L",C1043="S",C1043="I"),-1,1)</f>
        <v>25</v>
      </c>
      <c r="AY1043" s="487" t="s">
        <v>337</v>
      </c>
      <c r="AZ1043" s="487">
        <f>+VLOOKUP($AJ1043,Data_Validation!$A:$E,5,0)</f>
        <v>0</v>
      </c>
    </row>
    <row r="1044" spans="1:52" ht="15" customHeight="1">
      <c r="A1044" s="706" t="s">
        <v>1148</v>
      </c>
      <c r="B1044" s="706">
        <v>2026</v>
      </c>
      <c r="C1044" s="706" t="s">
        <v>3095</v>
      </c>
      <c r="D1044" s="706" t="s">
        <v>3096</v>
      </c>
      <c r="E1044" s="706" t="s">
        <v>333</v>
      </c>
      <c r="F1044" s="706" t="s">
        <v>1104</v>
      </c>
      <c r="G1044" s="706">
        <v>0</v>
      </c>
      <c r="H1044" s="706">
        <v>0</v>
      </c>
      <c r="I1044" s="706">
        <v>0</v>
      </c>
      <c r="J1044" s="706">
        <v>0</v>
      </c>
      <c r="K1044" s="706">
        <v>0</v>
      </c>
      <c r="L1044" s="706">
        <v>0</v>
      </c>
      <c r="M1044" s="706">
        <v>0</v>
      </c>
      <c r="N1044" s="706">
        <v>0</v>
      </c>
      <c r="O1044" s="706">
        <v>0</v>
      </c>
      <c r="P1044" s="706">
        <v>0</v>
      </c>
      <c r="Q1044" s="706">
        <v>0</v>
      </c>
      <c r="R1044" s="706">
        <v>0</v>
      </c>
      <c r="S1044" s="706">
        <v>0</v>
      </c>
      <c r="T1044" s="706">
        <v>0</v>
      </c>
      <c r="U1044" s="706">
        <v>0</v>
      </c>
      <c r="V1044" s="706">
        <v>0</v>
      </c>
      <c r="W1044" s="706">
        <v>0</v>
      </c>
      <c r="X1044" s="706">
        <v>0</v>
      </c>
      <c r="Y1044" s="706">
        <v>0</v>
      </c>
      <c r="Z1044" s="706">
        <v>0</v>
      </c>
      <c r="AA1044" s="706">
        <v>0</v>
      </c>
      <c r="AB1044" s="706">
        <v>0</v>
      </c>
      <c r="AC1044" s="706">
        <v>0</v>
      </c>
      <c r="AD1044" s="706">
        <v>0</v>
      </c>
      <c r="AE1044" s="706">
        <v>0</v>
      </c>
      <c r="AF1044" s="706">
        <v>0</v>
      </c>
      <c r="AG1044" s="706">
        <v>0</v>
      </c>
      <c r="AH1044" s="706">
        <v>0</v>
      </c>
      <c r="AI1044" s="706">
        <v>0</v>
      </c>
      <c r="AJ1044" s="905" t="str">
        <f t="shared" si="110"/>
        <v>G953</v>
      </c>
      <c r="AK1044" s="905" t="str">
        <f t="shared" si="111"/>
        <v>ESCOMPTE ACCORDE</v>
      </c>
      <c r="AL1044" s="905">
        <f>IFERROR(INDEX(G1044:R1044,1,MATCH(Parametres!$B$3,G$1:R$1,0)-1)*IF(OR(F1044="L",F1044="S",F1044="I"),-1,1),"")</f>
        <v>0</v>
      </c>
      <c r="AM1044" s="905">
        <f t="shared" si="112"/>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t="str">
        <f t="shared" si="113"/>
        <v>G953</v>
      </c>
      <c r="AU1044" s="488" t="str">
        <f t="shared" si="114"/>
        <v>ESCOMPTE ACCORDE</v>
      </c>
      <c r="AV1044" s="899">
        <f>IFERROR(INDEX(V1044:AG1044,1,MATCH(Parametres!$B$3,V$1:AG$1,0)-1)*IF(OR(C1044="L",C1044="S",C1044="I"),-1,1),"")</f>
        <v>0</v>
      </c>
      <c r="AW1044" s="899">
        <f t="shared" si="115"/>
        <v>0</v>
      </c>
      <c r="AX1044" s="899">
        <f>INDEX(V1044:AG1044,1,MATCH(Parametres!$B$3,V$1:AG$1,0))*IF(OR(C1044="L",C1044="S",C1044="I"),-1,1)</f>
        <v>0</v>
      </c>
      <c r="AY1044" s="487" t="s">
        <v>337</v>
      </c>
      <c r="AZ1044" s="487" t="e">
        <f>+VLOOKUP($AJ1044,Data_Validation!$A:$E,5,0)</f>
        <v>#N/A</v>
      </c>
    </row>
    <row r="1045" spans="1:52" ht="15" customHeight="1">
      <c r="A1045" s="706" t="s">
        <v>1148</v>
      </c>
      <c r="B1045" s="706">
        <v>2026</v>
      </c>
      <c r="C1045" s="706" t="s">
        <v>3097</v>
      </c>
      <c r="D1045" s="706" t="s">
        <v>3098</v>
      </c>
      <c r="E1045" s="706" t="s">
        <v>333</v>
      </c>
      <c r="F1045" s="706" t="s">
        <v>1104</v>
      </c>
      <c r="G1045" s="706">
        <v>0</v>
      </c>
      <c r="H1045" s="706">
        <v>0</v>
      </c>
      <c r="I1045" s="706">
        <v>0</v>
      </c>
      <c r="J1045" s="706">
        <v>0</v>
      </c>
      <c r="K1045" s="706">
        <v>0</v>
      </c>
      <c r="L1045" s="706">
        <v>0</v>
      </c>
      <c r="M1045" s="706">
        <v>0</v>
      </c>
      <c r="N1045" s="706">
        <v>0</v>
      </c>
      <c r="O1045" s="706">
        <v>0</v>
      </c>
      <c r="P1045" s="706">
        <v>0</v>
      </c>
      <c r="Q1045" s="706">
        <v>0</v>
      </c>
      <c r="R1045" s="706">
        <v>0</v>
      </c>
      <c r="S1045" s="706">
        <v>0</v>
      </c>
      <c r="T1045" s="706">
        <v>0</v>
      </c>
      <c r="U1045" s="706">
        <v>0</v>
      </c>
      <c r="V1045" s="706">
        <v>0</v>
      </c>
      <c r="W1045" s="706">
        <v>0</v>
      </c>
      <c r="X1045" s="706">
        <v>0</v>
      </c>
      <c r="Y1045" s="706">
        <v>0</v>
      </c>
      <c r="Z1045" s="706">
        <v>0</v>
      </c>
      <c r="AA1045" s="706">
        <v>0</v>
      </c>
      <c r="AB1045" s="706">
        <v>0</v>
      </c>
      <c r="AC1045" s="706">
        <v>0</v>
      </c>
      <c r="AD1045" s="706">
        <v>0</v>
      </c>
      <c r="AE1045" s="706">
        <v>0</v>
      </c>
      <c r="AF1045" s="706">
        <v>0</v>
      </c>
      <c r="AG1045" s="706">
        <v>0</v>
      </c>
      <c r="AH1045" s="706">
        <v>0</v>
      </c>
      <c r="AI1045" s="706">
        <v>0</v>
      </c>
      <c r="AJ1045" s="905" t="str">
        <f t="shared" si="110"/>
        <v>G955</v>
      </c>
      <c r="AK1045" s="905" t="str">
        <f t="shared" si="111"/>
        <v>AUTRES DEDUCTIONS</v>
      </c>
      <c r="AL1045" s="905">
        <f>IFERROR(INDEX(G1045:R1045,1,MATCH(Parametres!$B$3,G$1:R$1,0)-1)*IF(OR(F1045="L",F1045="S",F1045="I"),-1,1),"")</f>
        <v>0</v>
      </c>
      <c r="AM1045" s="905">
        <f t="shared" si="112"/>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t="str">
        <f t="shared" si="113"/>
        <v>G955</v>
      </c>
      <c r="AU1045" s="488" t="str">
        <f t="shared" si="114"/>
        <v>AUTRES DEDUCTIONS</v>
      </c>
      <c r="AV1045" s="899">
        <f>IFERROR(INDEX(V1045:AG1045,1,MATCH(Parametres!$B$3,V$1:AG$1,0)-1)*IF(OR(C1045="L",C1045="S",C1045="I"),-1,1),"")</f>
        <v>0</v>
      </c>
      <c r="AW1045" s="899">
        <f t="shared" si="115"/>
        <v>0</v>
      </c>
      <c r="AX1045" s="899">
        <f>INDEX(V1045:AG1045,1,MATCH(Parametres!$B$3,V$1:AG$1,0))*IF(OR(C1045="L",C1045="S",C1045="I"),-1,1)</f>
        <v>0</v>
      </c>
      <c r="AY1045" s="487" t="s">
        <v>337</v>
      </c>
      <c r="AZ1045" s="487" t="e">
        <f>+VLOOKUP($AJ1045,Data_Validation!$A:$E,5,0)</f>
        <v>#N/A</v>
      </c>
    </row>
    <row r="1046" spans="1:52" ht="15" customHeight="1">
      <c r="A1046" s="706" t="s">
        <v>1148</v>
      </c>
      <c r="B1046" s="706">
        <v>2026</v>
      </c>
      <c r="C1046" s="706" t="s">
        <v>3099</v>
      </c>
      <c r="D1046" s="706" t="s">
        <v>3098</v>
      </c>
      <c r="E1046" s="706" t="s">
        <v>333</v>
      </c>
      <c r="F1046" s="706" t="s">
        <v>1104</v>
      </c>
      <c r="G1046" s="706">
        <v>40.75</v>
      </c>
      <c r="H1046" s="706">
        <v>305.54000000000002</v>
      </c>
      <c r="I1046" s="706">
        <v>-1036.4000000000001</v>
      </c>
      <c r="J1046" s="706">
        <v>-1010.84</v>
      </c>
      <c r="K1046" s="706">
        <v>49163.08</v>
      </c>
      <c r="L1046" s="706">
        <v>49240.4</v>
      </c>
      <c r="M1046" s="706">
        <v>51394.71</v>
      </c>
      <c r="N1046" s="706">
        <v>0</v>
      </c>
      <c r="O1046" s="706">
        <v>0</v>
      </c>
      <c r="P1046" s="706">
        <v>0</v>
      </c>
      <c r="Q1046" s="706">
        <v>0</v>
      </c>
      <c r="R1046" s="706">
        <v>0</v>
      </c>
      <c r="S1046" s="706">
        <v>8206.73</v>
      </c>
      <c r="T1046" s="706">
        <v>8206.73</v>
      </c>
      <c r="U1046" s="706">
        <v>0</v>
      </c>
      <c r="V1046" s="706">
        <v>0</v>
      </c>
      <c r="W1046" s="706">
        <v>0</v>
      </c>
      <c r="X1046" s="706">
        <v>0</v>
      </c>
      <c r="Y1046" s="706">
        <v>0</v>
      </c>
      <c r="Z1046" s="706">
        <v>0</v>
      </c>
      <c r="AA1046" s="706">
        <v>0</v>
      </c>
      <c r="AB1046" s="706">
        <v>0</v>
      </c>
      <c r="AC1046" s="706">
        <v>0</v>
      </c>
      <c r="AD1046" s="706">
        <v>0</v>
      </c>
      <c r="AE1046" s="706">
        <v>0</v>
      </c>
      <c r="AF1046" s="706">
        <v>0</v>
      </c>
      <c r="AG1046" s="706">
        <v>0</v>
      </c>
      <c r="AH1046" s="706">
        <v>0</v>
      </c>
      <c r="AI1046" s="706">
        <v>0</v>
      </c>
      <c r="AJ1046" s="905" t="str">
        <f t="shared" si="110"/>
        <v>G95500</v>
      </c>
      <c r="AK1046" s="905" t="str">
        <f t="shared" si="111"/>
        <v>AUTRES DEDUCTIONS</v>
      </c>
      <c r="AL1046" s="905">
        <f>IFERROR(INDEX(G1046:R1046,1,MATCH(Parametres!$B$3,G$1:R$1,0)-1)*IF(OR(F1046="L",F1046="S",F1046="I"),-1,1),"")</f>
        <v>49163.08</v>
      </c>
      <c r="AM1046" s="905">
        <f t="shared" si="112"/>
        <v>77.319999999999709</v>
      </c>
      <c r="AN1046" s="905">
        <f>INDEX(G1046:R1046,1,MATCH(Parametres!$B$3,G$1:R$1,0))*IF(OR(F1046="L",F1046="S",F1046="I"),-1,1)</f>
        <v>49240.4</v>
      </c>
      <c r="AO1046" s="487" t="str">
        <f>+VLOOKUP($AJ1046,Data_Validation!$A:$D,1,0)</f>
        <v>G95500</v>
      </c>
      <c r="AP1046" s="487" t="str">
        <f>+VLOOKUP($AJ1046,Data_Validation!$A:$D,3,0)</f>
        <v>TOTAL DES REVENUS ET DÉPENSES</v>
      </c>
      <c r="AQ1046" s="487" t="str">
        <f>+VLOOKUP($AJ1046,Data_Validation!$A:$D,4,0)</f>
        <v>Revenus autres</v>
      </c>
      <c r="AR1046" s="487" t="s">
        <v>299</v>
      </c>
      <c r="AS1046" s="487">
        <f>+VLOOKUP($AJ1046,Data_Validation!$A:$E,5,0)</f>
        <v>0</v>
      </c>
      <c r="AT1046" s="904" t="str">
        <f t="shared" si="113"/>
        <v>G95500</v>
      </c>
      <c r="AU1046" s="488" t="str">
        <f t="shared" si="114"/>
        <v>AUTRES DEDUCTIONS</v>
      </c>
      <c r="AV1046" s="899">
        <f>IFERROR(INDEX(V1046:AG1046,1,MATCH(Parametres!$B$3,V$1:AG$1,0)-1)*IF(OR(C1046="L",C1046="S",C1046="I"),-1,1),"")</f>
        <v>0</v>
      </c>
      <c r="AW1046" s="899">
        <f t="shared" si="115"/>
        <v>0</v>
      </c>
      <c r="AX1046" s="899">
        <f>INDEX(V1046:AG1046,1,MATCH(Parametres!$B$3,V$1:AG$1,0))*IF(OR(C1046="L",C1046="S",C1046="I"),-1,1)</f>
        <v>0</v>
      </c>
      <c r="AY1046" s="487" t="s">
        <v>337</v>
      </c>
      <c r="AZ1046" s="487">
        <f>+VLOOKUP($AJ1046,Data_Validation!$A:$E,5,0)</f>
        <v>0</v>
      </c>
    </row>
    <row r="1047" spans="1:52" ht="15" customHeight="1">
      <c r="A1047" s="706" t="s">
        <v>1148</v>
      </c>
      <c r="B1047" s="706">
        <v>2026</v>
      </c>
      <c r="C1047" s="706" t="s">
        <v>3100</v>
      </c>
      <c r="D1047" s="706" t="s">
        <v>3101</v>
      </c>
      <c r="E1047" s="706" t="s">
        <v>333</v>
      </c>
      <c r="F1047" s="706" t="s">
        <v>1104</v>
      </c>
      <c r="G1047" s="706">
        <v>0</v>
      </c>
      <c r="H1047" s="706">
        <v>0</v>
      </c>
      <c r="I1047" s="706">
        <v>37199.85</v>
      </c>
      <c r="J1047" s="706">
        <v>58589.83</v>
      </c>
      <c r="K1047" s="706">
        <v>79840.570000000007</v>
      </c>
      <c r="L1047" s="706">
        <v>100951.46</v>
      </c>
      <c r="M1047" s="706">
        <v>100951.46</v>
      </c>
      <c r="N1047" s="706">
        <v>0</v>
      </c>
      <c r="O1047" s="706">
        <v>0</v>
      </c>
      <c r="P1047" s="706">
        <v>0</v>
      </c>
      <c r="Q1047" s="706">
        <v>0</v>
      </c>
      <c r="R1047" s="706">
        <v>0</v>
      </c>
      <c r="S1047" s="706">
        <v>16825.240000000002</v>
      </c>
      <c r="T1047" s="706">
        <v>16825.240000000002</v>
      </c>
      <c r="U1047" s="706">
        <v>0</v>
      </c>
      <c r="V1047" s="706">
        <v>0</v>
      </c>
      <c r="W1047" s="706">
        <v>0</v>
      </c>
      <c r="X1047" s="706">
        <v>0</v>
      </c>
      <c r="Y1047" s="706">
        <v>0</v>
      </c>
      <c r="Z1047" s="706">
        <v>0</v>
      </c>
      <c r="AA1047" s="706">
        <v>0</v>
      </c>
      <c r="AB1047" s="706">
        <v>0</v>
      </c>
      <c r="AC1047" s="706">
        <v>0</v>
      </c>
      <c r="AD1047" s="706">
        <v>0</v>
      </c>
      <c r="AE1047" s="706">
        <v>0</v>
      </c>
      <c r="AF1047" s="706">
        <v>0</v>
      </c>
      <c r="AG1047" s="706">
        <v>0</v>
      </c>
      <c r="AH1047" s="706">
        <v>0</v>
      </c>
      <c r="AI1047" s="706">
        <v>0</v>
      </c>
      <c r="AJ1047" s="905" t="str">
        <f t="shared" si="110"/>
        <v>G95800</v>
      </c>
      <c r="AK1047" s="905" t="str">
        <f t="shared" si="111"/>
        <v>DEPENSES D'INTERET</v>
      </c>
      <c r="AL1047" s="905">
        <f>IFERROR(INDEX(G1047:R1047,1,MATCH(Parametres!$B$3,G$1:R$1,0)-1)*IF(OR(F1047="L",F1047="S",F1047="I"),-1,1),"")</f>
        <v>79840.570000000007</v>
      </c>
      <c r="AM1047" s="905">
        <f t="shared" si="112"/>
        <v>21110.89</v>
      </c>
      <c r="AN1047" s="905">
        <f>INDEX(G1047:R1047,1,MATCH(Parametres!$B$3,G$1:R$1,0))*IF(OR(F1047="L",F1047="S",F1047="I"),-1,1)</f>
        <v>100951.46</v>
      </c>
      <c r="AO1047" s="487" t="str">
        <f>+VLOOKUP($AJ1047,Data_Validation!$A:$D,1,0)</f>
        <v>G95800</v>
      </c>
      <c r="AP1047" s="487" t="str">
        <f>+VLOOKUP($AJ1047,Data_Validation!$A:$D,3,0)</f>
        <v>TOTAL DES REVENUS ET DÉPENSES</v>
      </c>
      <c r="AQ1047" s="487" t="str">
        <f>+VLOOKUP($AJ1047,Data_Validation!$A:$D,4,0)</f>
        <v>Intérêts sur prêt</v>
      </c>
      <c r="AR1047" s="487" t="s">
        <v>299</v>
      </c>
      <c r="AS1047" s="487">
        <f>+VLOOKUP($AJ1047,Data_Validation!$A:$E,5,0)</f>
        <v>0</v>
      </c>
      <c r="AT1047" s="904" t="str">
        <f t="shared" si="113"/>
        <v>G95800</v>
      </c>
      <c r="AU1047" s="488" t="str">
        <f t="shared" si="114"/>
        <v>DEPENSES D'INTERET</v>
      </c>
      <c r="AV1047" s="899">
        <f>IFERROR(INDEX(V1047:AG1047,1,MATCH(Parametres!$B$3,V$1:AG$1,0)-1)*IF(OR(C1047="L",C1047="S",C1047="I"),-1,1),"")</f>
        <v>0</v>
      </c>
      <c r="AW1047" s="899">
        <f t="shared" si="115"/>
        <v>0</v>
      </c>
      <c r="AX1047" s="899">
        <f>INDEX(V1047:AG1047,1,MATCH(Parametres!$B$3,V$1:AG$1,0))*IF(OR(C1047="L",C1047="S",C1047="I"),-1,1)</f>
        <v>0</v>
      </c>
      <c r="AY1047" s="487" t="s">
        <v>337</v>
      </c>
      <c r="AZ1047" s="487">
        <f>+VLOOKUP($AJ1047,Data_Validation!$A:$E,5,0)</f>
        <v>0</v>
      </c>
    </row>
    <row r="1048" spans="1:52" ht="15" customHeight="1">
      <c r="A1048" s="706" t="s">
        <v>1148</v>
      </c>
      <c r="B1048" s="706">
        <v>2026</v>
      </c>
      <c r="C1048" s="706" t="s">
        <v>3102</v>
      </c>
      <c r="D1048" s="706" t="s">
        <v>1789</v>
      </c>
      <c r="E1048" s="706" t="s">
        <v>333</v>
      </c>
      <c r="F1048" s="706" t="s">
        <v>1104</v>
      </c>
      <c r="G1048" s="706">
        <v>0</v>
      </c>
      <c r="H1048" s="706">
        <v>0</v>
      </c>
      <c r="I1048" s="706">
        <v>0</v>
      </c>
      <c r="J1048" s="706">
        <v>0</v>
      </c>
      <c r="K1048" s="706">
        <v>0</v>
      </c>
      <c r="L1048" s="706">
        <v>0</v>
      </c>
      <c r="M1048" s="706">
        <v>0</v>
      </c>
      <c r="N1048" s="706">
        <v>0</v>
      </c>
      <c r="O1048" s="706">
        <v>0</v>
      </c>
      <c r="P1048" s="706">
        <v>0</v>
      </c>
      <c r="Q1048" s="706">
        <v>0</v>
      </c>
      <c r="R1048" s="706">
        <v>0</v>
      </c>
      <c r="S1048" s="706">
        <v>0</v>
      </c>
      <c r="T1048" s="706">
        <v>0</v>
      </c>
      <c r="U1048" s="706">
        <v>0</v>
      </c>
      <c r="V1048" s="706">
        <v>0</v>
      </c>
      <c r="W1048" s="706">
        <v>0</v>
      </c>
      <c r="X1048" s="706">
        <v>0</v>
      </c>
      <c r="Y1048" s="706">
        <v>0</v>
      </c>
      <c r="Z1048" s="706">
        <v>0</v>
      </c>
      <c r="AA1048" s="706">
        <v>0</v>
      </c>
      <c r="AB1048" s="706">
        <v>0</v>
      </c>
      <c r="AC1048" s="706">
        <v>0</v>
      </c>
      <c r="AD1048" s="706">
        <v>0</v>
      </c>
      <c r="AE1048" s="706">
        <v>0</v>
      </c>
      <c r="AF1048" s="706">
        <v>0</v>
      </c>
      <c r="AG1048" s="706">
        <v>0</v>
      </c>
      <c r="AH1048" s="706">
        <v>0</v>
      </c>
      <c r="AI1048" s="706">
        <v>0</v>
      </c>
      <c r="AJ1048" s="905" t="str">
        <f t="shared" si="110"/>
        <v>G99960</v>
      </c>
      <c r="AK1048" s="905" t="str">
        <f t="shared" si="111"/>
        <v>IN &amp; OUT PAYROLL</v>
      </c>
      <c r="AL1048" s="905">
        <f>IFERROR(INDEX(G1048:R1048,1,MATCH(Parametres!$B$3,G$1:R$1,0)-1)*IF(OR(F1048="L",F1048="S",F1048="I"),-1,1),"")</f>
        <v>0</v>
      </c>
      <c r="AM1048" s="905">
        <f t="shared" si="112"/>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t="str">
        <f t="shared" si="113"/>
        <v>G99960</v>
      </c>
      <c r="AU1048" s="488" t="str">
        <f t="shared" si="114"/>
        <v>IN &amp; OUT PAYROLL</v>
      </c>
      <c r="AV1048" s="899">
        <f>IFERROR(INDEX(V1048:AG1048,1,MATCH(Parametres!$B$3,V$1:AG$1,0)-1)*IF(OR(C1048="L",C1048="S",C1048="I"),-1,1),"")</f>
        <v>0</v>
      </c>
      <c r="AW1048" s="899">
        <f t="shared" si="115"/>
        <v>0</v>
      </c>
      <c r="AX1048" s="899">
        <f>INDEX(V1048:AG1048,1,MATCH(Parametres!$B$3,V$1:AG$1,0))*IF(OR(C1048="L",C1048="S",C1048="I"),-1,1)</f>
        <v>0</v>
      </c>
      <c r="AY1048" s="487" t="s">
        <v>337</v>
      </c>
      <c r="AZ1048" s="487" t="e">
        <f>+VLOOKUP($AJ1048,Data_Validation!$A:$E,5,0)</f>
        <v>#N/A</v>
      </c>
    </row>
    <row r="1049" spans="1:52" ht="15" customHeight="1">
      <c r="A1049" s="706" t="s">
        <v>1148</v>
      </c>
      <c r="B1049" s="706">
        <v>2026</v>
      </c>
      <c r="C1049" s="706" t="s">
        <v>3103</v>
      </c>
      <c r="D1049" s="706" t="s">
        <v>3104</v>
      </c>
      <c r="E1049" s="706" t="s">
        <v>1141</v>
      </c>
      <c r="F1049" s="706" t="s">
        <v>1104</v>
      </c>
      <c r="G1049" s="706">
        <v>0</v>
      </c>
      <c r="H1049" s="706">
        <v>0</v>
      </c>
      <c r="I1049" s="706">
        <v>0</v>
      </c>
      <c r="J1049" s="706">
        <v>0</v>
      </c>
      <c r="K1049" s="706">
        <v>0</v>
      </c>
      <c r="L1049" s="706">
        <v>0</v>
      </c>
      <c r="M1049" s="706">
        <v>0</v>
      </c>
      <c r="N1049" s="706">
        <v>0</v>
      </c>
      <c r="O1049" s="706">
        <v>0</v>
      </c>
      <c r="P1049" s="706">
        <v>0</v>
      </c>
      <c r="Q1049" s="706">
        <v>0</v>
      </c>
      <c r="R1049" s="706">
        <v>0</v>
      </c>
      <c r="S1049" s="706">
        <v>0</v>
      </c>
      <c r="T1049" s="706">
        <v>0</v>
      </c>
      <c r="U1049" s="706">
        <v>0</v>
      </c>
      <c r="V1049" s="706">
        <v>0</v>
      </c>
      <c r="W1049" s="706">
        <v>0</v>
      </c>
      <c r="X1049" s="706">
        <v>0</v>
      </c>
      <c r="Y1049" s="706">
        <v>0</v>
      </c>
      <c r="Z1049" s="706">
        <v>0</v>
      </c>
      <c r="AA1049" s="706">
        <v>0</v>
      </c>
      <c r="AB1049" s="706">
        <v>0</v>
      </c>
      <c r="AC1049" s="706">
        <v>0</v>
      </c>
      <c r="AD1049" s="706">
        <v>0</v>
      </c>
      <c r="AE1049" s="706">
        <v>0</v>
      </c>
      <c r="AF1049" s="706">
        <v>0</v>
      </c>
      <c r="AG1049" s="706">
        <v>0</v>
      </c>
      <c r="AH1049" s="706">
        <v>0</v>
      </c>
      <c r="AI1049" s="706">
        <v>0</v>
      </c>
      <c r="AJ1049" s="905" t="str">
        <f t="shared" si="110"/>
        <v>G9999</v>
      </c>
      <c r="AK1049" s="905" t="str">
        <f t="shared" si="111"/>
        <v>CHARGES A REFACTURER</v>
      </c>
      <c r="AL1049" s="905">
        <f>IFERROR(INDEX(G1049:R1049,1,MATCH(Parametres!$B$3,G$1:R$1,0)-1)*IF(OR(F1049="L",F1049="S",F1049="I"),-1,1),"")</f>
        <v>0</v>
      </c>
      <c r="AM1049" s="905">
        <f t="shared" si="112"/>
        <v>0</v>
      </c>
      <c r="AN1049" s="905">
        <f>INDEX(G1049:R1049,1,MATCH(Parametres!$B$3,G$1:R$1,0))*IF(OR(F1049="L",F1049="S",F1049="I"),-1,1)</f>
        <v>0</v>
      </c>
      <c r="AO1049" s="487" t="str">
        <f>+VLOOKUP($AJ1049,Data_Validation!$A:$D,1,0)</f>
        <v>G9999</v>
      </c>
      <c r="AP1049" s="487" t="str">
        <f>+VLOOKUP($AJ1049,Data_Validation!$A:$D,3,0)</f>
        <v>Wholesale autres</v>
      </c>
      <c r="AQ1049" s="487" t="str">
        <f>+VLOOKUP($AJ1049,Data_Validation!$A:$D,4,0)</f>
        <v>Frais de livraison</v>
      </c>
      <c r="AR1049" s="487" t="s">
        <v>299</v>
      </c>
      <c r="AS1049" s="487">
        <f>+VLOOKUP($AJ1049,Data_Validation!$A:$E,5,0)</f>
        <v>0</v>
      </c>
      <c r="AT1049" s="904" t="str">
        <f t="shared" si="113"/>
        <v>G9999</v>
      </c>
      <c r="AU1049" s="488" t="str">
        <f t="shared" si="114"/>
        <v>CHARGES A REFACTURER</v>
      </c>
      <c r="AV1049" s="899">
        <f>IFERROR(INDEX(V1049:AG1049,1,MATCH(Parametres!$B$3,V$1:AG$1,0)-1)*IF(OR(C1049="L",C1049="S",C1049="I"),-1,1),"")</f>
        <v>0</v>
      </c>
      <c r="AW1049" s="899">
        <f t="shared" si="115"/>
        <v>0</v>
      </c>
      <c r="AX1049" s="899">
        <f>INDEX(V1049:AG1049,1,MATCH(Parametres!$B$3,V$1:AG$1,0))*IF(OR(C1049="L",C1049="S",C1049="I"),-1,1)</f>
        <v>0</v>
      </c>
      <c r="AY1049" s="487" t="s">
        <v>337</v>
      </c>
      <c r="AZ1049" s="487">
        <f>+VLOOKUP($AJ1049,Data_Validation!$A:$E,5,0)</f>
        <v>0</v>
      </c>
    </row>
    <row r="1050" spans="1:52" ht="15" customHeight="1">
      <c r="AJ1050" s="905">
        <f t="shared" si="110"/>
        <v>0</v>
      </c>
      <c r="AK1050" s="905">
        <f t="shared" si="111"/>
        <v>0</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3"/>
        <v>0</v>
      </c>
      <c r="AU1050" s="488">
        <f t="shared" si="114"/>
        <v>0</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1:52" ht="15" customHeight="1">
      <c r="AJ1051" s="905">
        <f t="shared" si="110"/>
        <v>0</v>
      </c>
      <c r="AK1051" s="905">
        <f t="shared" si="111"/>
        <v>0</v>
      </c>
      <c r="AL1051" s="905">
        <f>IFERROR(INDEX(G1051:R1051,1,MATCH(Parametres!$B$3,G$1:R$1,0)-1)*IF(OR(F1051="L",F1051="S",F1051="I"),-1,1),"")</f>
        <v>0</v>
      </c>
      <c r="AM1051" s="905">
        <f t="shared" si="112"/>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3"/>
        <v>0</v>
      </c>
      <c r="AU1051" s="488">
        <f t="shared" si="114"/>
        <v>0</v>
      </c>
      <c r="AV1051" s="899">
        <f>IFERROR(INDEX(V1051:AG1051,1,MATCH(Parametres!$B$3,V$1:AG$1,0)-1)*IF(OR(C1051="L",C1051="S",C1051="I"),-1,1),"")</f>
        <v>0</v>
      </c>
      <c r="AW1051" s="899">
        <f t="shared" si="115"/>
        <v>0</v>
      </c>
      <c r="AX1051" s="899">
        <f>INDEX(V1051:AG1051,1,MATCH(Parametres!$B$3,V$1:AG$1,0))*IF(OR(C1051="L",C1051="S",C1051="I"),-1,1)</f>
        <v>0</v>
      </c>
      <c r="AY1051" s="487" t="s">
        <v>337</v>
      </c>
      <c r="AZ1051" s="487" t="e">
        <f>+VLOOKUP($AJ1051,Data_Validation!$A:$E,5,0)</f>
        <v>#N/A</v>
      </c>
    </row>
    <row r="1052" spans="1:52" ht="15" customHeight="1">
      <c r="AJ1052" s="905">
        <f t="shared" si="110"/>
        <v>0</v>
      </c>
      <c r="AK1052" s="905">
        <f t="shared" si="111"/>
        <v>0</v>
      </c>
      <c r="AL1052" s="905">
        <f>IFERROR(INDEX(G1052:R1052,1,MATCH(Parametres!$B$3,G$1:R$1,0)-1)*IF(OR(F1052="L",F1052="S",F1052="I"),-1,1),"")</f>
        <v>0</v>
      </c>
      <c r="AM1052" s="905">
        <f t="shared" si="112"/>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3"/>
        <v>0</v>
      </c>
      <c r="AU1052" s="488">
        <f t="shared" si="114"/>
        <v>0</v>
      </c>
      <c r="AV1052" s="899">
        <f>IFERROR(INDEX(V1052:AG1052,1,MATCH(Parametres!$B$3,V$1:AG$1,0)-1)*IF(OR(C1052="L",C1052="S",C1052="I"),-1,1),"")</f>
        <v>0</v>
      </c>
      <c r="AW1052" s="899">
        <f t="shared" si="115"/>
        <v>0</v>
      </c>
      <c r="AX1052" s="899">
        <f>INDEX(V1052:AG1052,1,MATCH(Parametres!$B$3,V$1:AG$1,0))*IF(OR(C1052="L",C1052="S",C1052="I"),-1,1)</f>
        <v>0</v>
      </c>
      <c r="AY1052" s="487" t="s">
        <v>337</v>
      </c>
      <c r="AZ1052" s="487" t="e">
        <f>+VLOOKUP($AJ1052,Data_Validation!$A:$E,5,0)</f>
        <v>#N/A</v>
      </c>
    </row>
    <row r="1053" spans="1:52" ht="15" customHeight="1">
      <c r="AJ1053" s="905">
        <f t="shared" si="110"/>
        <v>0</v>
      </c>
      <c r="AK1053" s="905">
        <f t="shared" si="111"/>
        <v>0</v>
      </c>
      <c r="AL1053" s="905">
        <f>IFERROR(INDEX(G1053:R1053,1,MATCH(Parametres!$B$3,G$1:R$1,0)-1)*IF(OR(F1053="L",F1053="S",F1053="I"),-1,1),"")</f>
        <v>0</v>
      </c>
      <c r="AM1053" s="905">
        <f t="shared" si="112"/>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3"/>
        <v>0</v>
      </c>
      <c r="AU1053" s="488">
        <f t="shared" si="114"/>
        <v>0</v>
      </c>
      <c r="AV1053" s="899">
        <f>IFERROR(INDEX(V1053:AG1053,1,MATCH(Parametres!$B$3,V$1:AG$1,0)-1)*IF(OR(C1053="L",C1053="S",C1053="I"),-1,1),"")</f>
        <v>0</v>
      </c>
      <c r="AW1053" s="899">
        <f t="shared" si="115"/>
        <v>0</v>
      </c>
      <c r="AX1053" s="899">
        <f>INDEX(V1053:AG1053,1,MATCH(Parametres!$B$3,V$1:AG$1,0))*IF(OR(C1053="L",C1053="S",C1053="I"),-1,1)</f>
        <v>0</v>
      </c>
      <c r="AY1053" s="487" t="s">
        <v>337</v>
      </c>
      <c r="AZ1053" s="487" t="e">
        <f>+VLOOKUP($AJ1053,Data_Validation!$A:$E,5,0)</f>
        <v>#N/A</v>
      </c>
    </row>
    <row r="1054" spans="1:52" ht="15" customHeight="1">
      <c r="AJ1054" s="905">
        <f t="shared" si="110"/>
        <v>0</v>
      </c>
      <c r="AK1054" s="905">
        <f t="shared" si="111"/>
        <v>0</v>
      </c>
      <c r="AL1054" s="905">
        <f>IFERROR(INDEX(G1054:R1054,1,MATCH(Parametres!$B$3,G$1:R$1,0)-1)*IF(OR(F1054="L",F1054="S",F1054="I"),-1,1),"")</f>
        <v>0</v>
      </c>
      <c r="AM1054" s="905">
        <f t="shared" si="112"/>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3"/>
        <v>0</v>
      </c>
      <c r="AU1054" s="488">
        <f t="shared" si="114"/>
        <v>0</v>
      </c>
      <c r="AV1054" s="899">
        <f>IFERROR(INDEX(V1054:AG1054,1,MATCH(Parametres!$B$3,V$1:AG$1,0)-1)*IF(OR(C1054="L",C1054="S",C1054="I"),-1,1),"")</f>
        <v>0</v>
      </c>
      <c r="AW1054" s="899">
        <f t="shared" si="115"/>
        <v>0</v>
      </c>
      <c r="AX1054" s="899">
        <f>INDEX(V1054:AG1054,1,MATCH(Parametres!$B$3,V$1:AG$1,0))*IF(OR(C1054="L",C1054="S",C1054="I"),-1,1)</f>
        <v>0</v>
      </c>
      <c r="AY1054" s="487" t="s">
        <v>337</v>
      </c>
      <c r="AZ1054" s="487" t="e">
        <f>+VLOOKUP($AJ1054,Data_Validation!$A:$E,5,0)</f>
        <v>#N/A</v>
      </c>
    </row>
    <row r="1055" spans="1:52" ht="15" customHeight="1">
      <c r="AJ1055" s="905">
        <f t="shared" si="110"/>
        <v>0</v>
      </c>
      <c r="AK1055" s="905">
        <f t="shared" si="111"/>
        <v>0</v>
      </c>
      <c r="AL1055" s="905">
        <f>IFERROR(INDEX(G1055:R1055,1,MATCH(Parametres!$B$3,G$1:R$1,0)-1)*IF(OR(F1055="L",F1055="S",F1055="I"),-1,1),"")</f>
        <v>0</v>
      </c>
      <c r="AM1055" s="905">
        <f t="shared" si="112"/>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3"/>
        <v>0</v>
      </c>
      <c r="AU1055" s="488">
        <f t="shared" si="114"/>
        <v>0</v>
      </c>
      <c r="AV1055" s="899">
        <f>IFERROR(INDEX(V1055:AG1055,1,MATCH(Parametres!$B$3,V$1:AG$1,0)-1)*IF(OR(C1055="L",C1055="S",C1055="I"),-1,1),"")</f>
        <v>0</v>
      </c>
      <c r="AW1055" s="899">
        <f t="shared" si="115"/>
        <v>0</v>
      </c>
      <c r="AX1055" s="899">
        <f>INDEX(V1055:AG1055,1,MATCH(Parametres!$B$3,V$1:AG$1,0))*IF(OR(C1055="L",C1055="S",C1055="I"),-1,1)</f>
        <v>0</v>
      </c>
      <c r="AY1055" s="487" t="s">
        <v>337</v>
      </c>
      <c r="AZ1055" s="487" t="e">
        <f>+VLOOKUP($AJ1055,Data_Validation!$A:$E,5,0)</f>
        <v>#N/A</v>
      </c>
    </row>
    <row r="1056" spans="1:52" ht="15" customHeight="1">
      <c r="AJ1056" s="905">
        <f t="shared" si="110"/>
        <v>0</v>
      </c>
      <c r="AK1056" s="905">
        <f t="shared" si="111"/>
        <v>0</v>
      </c>
      <c r="AL1056" s="905">
        <f>IFERROR(INDEX(G1056:R1056,1,MATCH(Parametres!$B$3,G$1:R$1,0)-1)*IF(OR(F1056="L",F1056="S",F1056="I"),-1,1),"")</f>
        <v>0</v>
      </c>
      <c r="AM1056" s="905">
        <f t="shared" si="112"/>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3"/>
        <v>0</v>
      </c>
      <c r="AU1056" s="488">
        <f t="shared" si="114"/>
        <v>0</v>
      </c>
      <c r="AV1056" s="899">
        <f>IFERROR(INDEX(V1056:AG1056,1,MATCH(Parametres!$B$3,V$1:AG$1,0)-1)*IF(OR(C1056="L",C1056="S",C1056="I"),-1,1),"")</f>
        <v>0</v>
      </c>
      <c r="AW1056" s="899">
        <f t="shared" si="115"/>
        <v>0</v>
      </c>
      <c r="AX1056" s="899">
        <f>INDEX(V1056:AG1056,1,MATCH(Parametres!$B$3,V$1:AG$1,0))*IF(OR(C1056="L",C1056="S",C1056="I"),-1,1)</f>
        <v>0</v>
      </c>
      <c r="AY1056" s="487" t="s">
        <v>337</v>
      </c>
      <c r="AZ1056" s="487" t="e">
        <f>+VLOOKUP($AJ1056,Data_Validation!$A:$E,5,0)</f>
        <v>#N/A</v>
      </c>
    </row>
    <row r="1057" spans="36:52" ht="15" customHeight="1">
      <c r="AJ1057" s="905">
        <f t="shared" si="110"/>
        <v>0</v>
      </c>
      <c r="AK1057" s="905">
        <f t="shared" si="111"/>
        <v>0</v>
      </c>
      <c r="AL1057" s="905">
        <f>IFERROR(INDEX(G1057:R1057,1,MATCH(Parametres!$B$3,G$1:R$1,0)-1)*IF(OR(F1057="L",F1057="S",F1057="I"),-1,1),"")</f>
        <v>0</v>
      </c>
      <c r="AM1057" s="905">
        <f t="shared" si="112"/>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3"/>
        <v>0</v>
      </c>
      <c r="AU1057" s="488">
        <f t="shared" si="114"/>
        <v>0</v>
      </c>
      <c r="AV1057" s="899">
        <f>IFERROR(INDEX(V1057:AG1057,1,MATCH(Parametres!$B$3,V$1:AG$1,0)-1)*IF(OR(C1057="L",C1057="S",C1057="I"),-1,1),"")</f>
        <v>0</v>
      </c>
      <c r="AW1057" s="899">
        <f t="shared" si="115"/>
        <v>0</v>
      </c>
      <c r="AX1057" s="899">
        <f>INDEX(V1057:AG1057,1,MATCH(Parametres!$B$3,V$1:AG$1,0))*IF(OR(C1057="L",C1057="S",C1057="I"),-1,1)</f>
        <v>0</v>
      </c>
      <c r="AY1057" s="487" t="s">
        <v>337</v>
      </c>
      <c r="AZ1057" s="487" t="e">
        <f>+VLOOKUP($AJ1057,Data_Validation!$A:$E,5,0)</f>
        <v>#N/A</v>
      </c>
    </row>
    <row r="1058" spans="36:52" ht="15" customHeight="1">
      <c r="AJ1058" s="905">
        <f t="shared" si="110"/>
        <v>0</v>
      </c>
      <c r="AK1058" s="905">
        <f t="shared" si="111"/>
        <v>0</v>
      </c>
      <c r="AL1058" s="905">
        <f>IFERROR(INDEX(G1058:R1058,1,MATCH(Parametres!$B$3,G$1:R$1,0)-1)*IF(OR(F1058="L",F1058="S",F1058="I"),-1,1),"")</f>
        <v>0</v>
      </c>
      <c r="AM1058" s="905">
        <f t="shared" si="112"/>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3"/>
        <v>0</v>
      </c>
      <c r="AU1058" s="488">
        <f t="shared" si="114"/>
        <v>0</v>
      </c>
      <c r="AV1058" s="899">
        <f>IFERROR(INDEX(V1058:AG1058,1,MATCH(Parametres!$B$3,V$1:AG$1,0)-1)*IF(OR(C1058="L",C1058="S",C1058="I"),-1,1),"")</f>
        <v>0</v>
      </c>
      <c r="AW1058" s="899">
        <f t="shared" si="115"/>
        <v>0</v>
      </c>
      <c r="AX1058" s="899">
        <f>INDEX(V1058:AG1058,1,MATCH(Parametres!$B$3,V$1:AG$1,0))*IF(OR(C1058="L",C1058="S",C1058="I"),-1,1)</f>
        <v>0</v>
      </c>
      <c r="AY1058" s="487" t="s">
        <v>337</v>
      </c>
      <c r="AZ1058" s="487" t="e">
        <f>+VLOOKUP($AJ1058,Data_Validation!$A:$E,5,0)</f>
        <v>#N/A</v>
      </c>
    </row>
    <row r="1059" spans="36:52" ht="15" customHeight="1">
      <c r="AJ1059" s="905">
        <f t="shared" si="110"/>
        <v>0</v>
      </c>
      <c r="AK1059" s="905">
        <f t="shared" si="111"/>
        <v>0</v>
      </c>
      <c r="AL1059" s="905">
        <f>IFERROR(INDEX(G1059:R1059,1,MATCH(Parametres!$B$3,G$1:R$1,0)-1)*IF(OR(F1059="L",F1059="S",F1059="I"),-1,1),"")</f>
        <v>0</v>
      </c>
      <c r="AM1059" s="905">
        <f t="shared" si="112"/>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3"/>
        <v>0</v>
      </c>
      <c r="AU1059" s="488">
        <f t="shared" si="114"/>
        <v>0</v>
      </c>
      <c r="AV1059" s="899">
        <f>IFERROR(INDEX(V1059:AG1059,1,MATCH(Parametres!$B$3,V$1:AG$1,0)-1)*IF(OR(C1059="L",C1059="S",C1059="I"),-1,1),"")</f>
        <v>0</v>
      </c>
      <c r="AW1059" s="899">
        <f t="shared" si="115"/>
        <v>0</v>
      </c>
      <c r="AX1059" s="899">
        <f>INDEX(V1059:AG1059,1,MATCH(Parametres!$B$3,V$1:AG$1,0))*IF(OR(C1059="L",C1059="S",C1059="I"),-1,1)</f>
        <v>0</v>
      </c>
      <c r="AY1059" s="487" t="s">
        <v>337</v>
      </c>
      <c r="AZ1059" s="487" t="e">
        <f>+VLOOKUP($AJ1059,Data_Validation!$A:$E,5,0)</f>
        <v>#N/A</v>
      </c>
    </row>
    <row r="1060" spans="36:52" ht="15" customHeight="1">
      <c r="AJ1060" s="905">
        <f t="shared" si="110"/>
        <v>0</v>
      </c>
      <c r="AK1060" s="905">
        <f t="shared" si="111"/>
        <v>0</v>
      </c>
      <c r="AL1060" s="905">
        <f>IFERROR(INDEX(G1060:R1060,1,MATCH(Parametres!$B$3,G$1:R$1,0)-1)*IF(OR(F1060="L",F1060="S",F1060="I"),-1,1),"")</f>
        <v>0</v>
      </c>
      <c r="AM1060" s="905">
        <f t="shared" si="112"/>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3"/>
        <v>0</v>
      </c>
      <c r="AU1060" s="488">
        <f t="shared" si="114"/>
        <v>0</v>
      </c>
      <c r="AV1060" s="899">
        <f>IFERROR(INDEX(V1060:AG1060,1,MATCH(Parametres!$B$3,V$1:AG$1,0)-1)*IF(OR(C1060="L",C1060="S",C1060="I"),-1,1),"")</f>
        <v>0</v>
      </c>
      <c r="AW1060" s="899">
        <f t="shared" si="115"/>
        <v>0</v>
      </c>
      <c r="AX1060" s="899">
        <f>INDEX(V1060:AG1060,1,MATCH(Parametres!$B$3,V$1:AG$1,0))*IF(OR(C1060="L",C1060="S",C1060="I"),-1,1)</f>
        <v>0</v>
      </c>
      <c r="AY1060" s="487" t="s">
        <v>337</v>
      </c>
      <c r="AZ1060" s="487" t="e">
        <f>+VLOOKUP($AJ1060,Data_Validation!$A:$E,5,0)</f>
        <v>#N/A</v>
      </c>
    </row>
    <row r="1061" spans="36:52" ht="15" customHeight="1">
      <c r="AJ1061" s="905">
        <f t="shared" si="110"/>
        <v>0</v>
      </c>
      <c r="AK1061" s="905">
        <f t="shared" si="111"/>
        <v>0</v>
      </c>
      <c r="AL1061" s="905">
        <f>IFERROR(INDEX(G1061:R1061,1,MATCH(Parametres!$B$3,G$1:R$1,0)-1)*IF(OR(F1061="L",F1061="S",F1061="I"),-1,1),"")</f>
        <v>0</v>
      </c>
      <c r="AM1061" s="905">
        <f t="shared" si="112"/>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3"/>
        <v>0</v>
      </c>
      <c r="AU1061" s="488">
        <f t="shared" si="114"/>
        <v>0</v>
      </c>
      <c r="AV1061" s="899">
        <f>IFERROR(INDEX(V1061:AG1061,1,MATCH(Parametres!$B$3,V$1:AG$1,0)-1)*IF(OR(C1061="L",C1061="S",C1061="I"),-1,1),"")</f>
        <v>0</v>
      </c>
      <c r="AW1061" s="899">
        <f t="shared" si="115"/>
        <v>0</v>
      </c>
      <c r="AX1061" s="899">
        <f>INDEX(V1061:AG1061,1,MATCH(Parametres!$B$3,V$1:AG$1,0))*IF(OR(C1061="L",C1061="S",C1061="I"),-1,1)</f>
        <v>0</v>
      </c>
      <c r="AY1061" s="487" t="s">
        <v>337</v>
      </c>
      <c r="AZ1061" s="487" t="e">
        <f>+VLOOKUP($AJ1061,Data_Validation!$A:$E,5,0)</f>
        <v>#N/A</v>
      </c>
    </row>
    <row r="1062" spans="36:52" ht="15" customHeight="1">
      <c r="AJ1062" s="905">
        <f t="shared" si="110"/>
        <v>0</v>
      </c>
      <c r="AK1062" s="905">
        <f t="shared" si="111"/>
        <v>0</v>
      </c>
      <c r="AL1062" s="905">
        <f>IFERROR(INDEX(G1062:R1062,1,MATCH(Parametres!$B$3,G$1:R$1,0)-1)*IF(OR(F1062="L",F1062="S",F1062="I"),-1,1),"")</f>
        <v>0</v>
      </c>
      <c r="AM1062" s="905">
        <f t="shared" si="112"/>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3"/>
        <v>0</v>
      </c>
      <c r="AU1062" s="488">
        <f t="shared" si="114"/>
        <v>0</v>
      </c>
      <c r="AV1062" s="899">
        <f>IFERROR(INDEX(V1062:AG1062,1,MATCH(Parametres!$B$3,V$1:AG$1,0)-1)*IF(OR(C1062="L",C1062="S",C1062="I"),-1,1),"")</f>
        <v>0</v>
      </c>
      <c r="AW1062" s="899">
        <f t="shared" si="115"/>
        <v>0</v>
      </c>
      <c r="AX1062" s="899">
        <f>INDEX(V1062:AG1062,1,MATCH(Parametres!$B$3,V$1:AG$1,0))*IF(OR(C1062="L",C1062="S",C1062="I"),-1,1)</f>
        <v>0</v>
      </c>
      <c r="AY1062" s="487" t="s">
        <v>337</v>
      </c>
      <c r="AZ1062" s="487" t="e">
        <f>+VLOOKUP($AJ1062,Data_Validation!$A:$E,5,0)</f>
        <v>#N/A</v>
      </c>
    </row>
    <row r="1063" spans="36:52" ht="15" customHeight="1">
      <c r="AJ1063" s="905">
        <f t="shared" si="110"/>
        <v>0</v>
      </c>
      <c r="AK1063" s="905">
        <f t="shared" si="111"/>
        <v>0</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3"/>
        <v>0</v>
      </c>
      <c r="AU1063" s="488">
        <f t="shared" si="114"/>
        <v>0</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36:52" ht="15" customHeight="1">
      <c r="AJ1064" s="905">
        <f t="shared" si="110"/>
        <v>0</v>
      </c>
      <c r="AK1064" s="905">
        <f t="shared" si="111"/>
        <v>0</v>
      </c>
      <c r="AL1064" s="905">
        <f>IFERROR(INDEX(G1064:R1064,1,MATCH(Parametres!$B$3,G$1:R$1,0)-1)*IF(OR(F1064="L",F1064="S",F1064="I"),-1,1),"")</f>
        <v>0</v>
      </c>
      <c r="AM1064" s="905">
        <f t="shared" si="112"/>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3"/>
        <v>0</v>
      </c>
      <c r="AU1064" s="488">
        <f t="shared" si="114"/>
        <v>0</v>
      </c>
      <c r="AV1064" s="899">
        <f>IFERROR(INDEX(V1064:AG1064,1,MATCH(Parametres!$B$3,V$1:AG$1,0)-1)*IF(OR(C1064="L",C1064="S",C1064="I"),-1,1),"")</f>
        <v>0</v>
      </c>
      <c r="AW1064" s="899">
        <f t="shared" si="115"/>
        <v>0</v>
      </c>
      <c r="AX1064" s="899">
        <f>INDEX(V1064:AG1064,1,MATCH(Parametres!$B$3,V$1:AG$1,0))*IF(OR(C1064="L",C1064="S",C1064="I"),-1,1)</f>
        <v>0</v>
      </c>
      <c r="AY1064" s="487" t="s">
        <v>337</v>
      </c>
      <c r="AZ1064" s="487" t="e">
        <f>+VLOOKUP($AJ1064,Data_Validation!$A:$E,5,0)</f>
        <v>#N/A</v>
      </c>
    </row>
    <row r="1065" spans="36:52" ht="15" customHeight="1">
      <c r="AJ1065" s="905">
        <f t="shared" si="110"/>
        <v>0</v>
      </c>
      <c r="AK1065" s="905">
        <f t="shared" si="111"/>
        <v>0</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36:52" ht="15" customHeight="1">
      <c r="AJ1066" s="905">
        <f t="shared" si="110"/>
        <v>0</v>
      </c>
      <c r="AK1066" s="905">
        <f t="shared" si="111"/>
        <v>0</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36:52" ht="15" customHeight="1">
      <c r="AJ1067" s="905">
        <f t="shared" si="110"/>
        <v>0</v>
      </c>
      <c r="AK1067" s="905">
        <f t="shared" si="111"/>
        <v>0</v>
      </c>
      <c r="AL1067" s="905">
        <f>IFERROR(INDEX(G1067:R1067,1,MATCH(Parametres!$B$3,G$1:R$1,0)-1)*IF(OR(F1067="L",F1067="S",F1067="I"),-1,1),"")</f>
        <v>0</v>
      </c>
      <c r="AM1067" s="905">
        <f t="shared" si="112"/>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f>IFERROR(INDEX(V1067:AG1067,1,MATCH(Parametres!$B$3,V$1:AG$1,0)-1)*IF(OR(C1067="L",C1067="S",C1067="I"),-1,1),"")</f>
        <v>0</v>
      </c>
      <c r="AW1067" s="899">
        <f t="shared" si="115"/>
        <v>0</v>
      </c>
      <c r="AX1067" s="899">
        <f>INDEX(V1067:AG1067,1,MATCH(Parametres!$B$3,V$1:AG$1,0))*IF(OR(C1067="L",C1067="S",C1067="I"),-1,1)</f>
        <v>0</v>
      </c>
      <c r="AY1067" s="487" t="s">
        <v>337</v>
      </c>
      <c r="AZ1067" s="487" t="e">
        <f>+VLOOKUP($AJ1067,Data_Validation!$A:$E,5,0)</f>
        <v>#N/A</v>
      </c>
    </row>
    <row r="1068" spans="36:52" ht="15" customHeight="1">
      <c r="AJ1068" s="905">
        <f t="shared" si="110"/>
        <v>0</v>
      </c>
      <c r="AK1068" s="905">
        <f t="shared" si="111"/>
        <v>0</v>
      </c>
      <c r="AL1068" s="905">
        <f>IFERROR(INDEX(G1068:R1068,1,MATCH(Parametres!$B$3,G$1:R$1,0)-1)*IF(OR(F1068="L",F1068="S",F1068="I"),-1,1),"")</f>
        <v>0</v>
      </c>
      <c r="AM1068" s="905">
        <f t="shared" si="112"/>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f>IFERROR(INDEX(V1068:AG1068,1,MATCH(Parametres!$B$3,V$1:AG$1,0)-1)*IF(OR(C1068="L",C1068="S",C1068="I"),-1,1),"")</f>
        <v>0</v>
      </c>
      <c r="AW1068" s="899">
        <f t="shared" si="115"/>
        <v>0</v>
      </c>
      <c r="AX1068" s="899">
        <f>INDEX(V1068:AG1068,1,MATCH(Parametres!$B$3,V$1:AG$1,0))*IF(OR(C1068="L",C1068="S",C1068="I"),-1,1)</f>
        <v>0</v>
      </c>
      <c r="AY1068" s="487" t="s">
        <v>337</v>
      </c>
      <c r="AZ1068" s="487" t="e">
        <f>+VLOOKUP($AJ1068,Data_Validation!$A:$E,5,0)</f>
        <v>#N/A</v>
      </c>
    </row>
    <row r="1069" spans="36:52" ht="15" customHeight="1">
      <c r="AJ1069" s="905">
        <f t="shared" si="110"/>
        <v>0</v>
      </c>
      <c r="AK1069" s="905">
        <f t="shared" si="111"/>
        <v>0</v>
      </c>
      <c r="AL1069" s="905">
        <f>IFERROR(INDEX(G1069:R1069,1,MATCH(Parametres!$B$3,G$1:R$1,0)-1)*IF(OR(F1069="L",F1069="S",F1069="I"),-1,1),"")</f>
        <v>0</v>
      </c>
      <c r="AM1069" s="905">
        <f t="shared" si="112"/>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f>IFERROR(INDEX(V1069:AG1069,1,MATCH(Parametres!$B$3,V$1:AG$1,0)-1)*IF(OR(C1069="L",C1069="S",C1069="I"),-1,1),"")</f>
        <v>0</v>
      </c>
      <c r="AW1069" s="899">
        <f t="shared" si="115"/>
        <v>0</v>
      </c>
      <c r="AX1069" s="899">
        <f>INDEX(V1069:AG1069,1,MATCH(Parametres!$B$3,V$1:AG$1,0))*IF(OR(C1069="L",C1069="S",C1069="I"),-1,1)</f>
        <v>0</v>
      </c>
      <c r="AY1069" s="487" t="s">
        <v>337</v>
      </c>
      <c r="AZ1069" s="487" t="e">
        <f>+VLOOKUP($AJ1069,Data_Validation!$A:$E,5,0)</f>
        <v>#N/A</v>
      </c>
    </row>
    <row r="1070" spans="36:52" ht="15" customHeight="1">
      <c r="AJ1070" s="905">
        <f t="shared" si="110"/>
        <v>0</v>
      </c>
      <c r="AK1070" s="905">
        <f t="shared" si="111"/>
        <v>0</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36:52" ht="15" customHeight="1">
      <c r="AJ1071" s="905">
        <f t="shared" si="110"/>
        <v>0</v>
      </c>
      <c r="AK1071" s="905">
        <f t="shared" si="111"/>
        <v>0</v>
      </c>
      <c r="AL1071" s="905">
        <f>IFERROR(INDEX(G1071:R1071,1,MATCH(Parametres!$B$3,G$1:R$1,0)-1)*IF(OR(F1071="L",F1071="S",F1071="I"),-1,1),"")</f>
        <v>0</v>
      </c>
      <c r="AM1071" s="905">
        <f t="shared" si="112"/>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f>IFERROR(INDEX(V1071:AG1071,1,MATCH(Parametres!$B$3,V$1:AG$1,0)-1)*IF(OR(C1071="L",C1071="S",C1071="I"),-1,1),"")</f>
        <v>0</v>
      </c>
      <c r="AW1071" s="899">
        <f t="shared" si="115"/>
        <v>0</v>
      </c>
      <c r="AX1071" s="899">
        <f>INDEX(V1071:AG1071,1,MATCH(Parametres!$B$3,V$1:AG$1,0))*IF(OR(C1071="L",C1071="S",C1071="I"),-1,1)</f>
        <v>0</v>
      </c>
      <c r="AY1071" s="487" t="s">
        <v>337</v>
      </c>
      <c r="AZ1071" s="487" t="e">
        <f>+VLOOKUP($AJ1071,Data_Validation!$A:$E,5,0)</f>
        <v>#N/A</v>
      </c>
    </row>
    <row r="1072" spans="36:52" ht="15"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583"/>
  <sheetViews>
    <sheetView topLeftCell="A682" workbookViewId="0">
      <selection activeCell="C707" sqref="C707:D707"/>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1199</v>
      </c>
      <c r="B12" t="s">
        <v>1200</v>
      </c>
      <c r="C12" s="710" t="s">
        <v>148</v>
      </c>
      <c r="D12" s="710" t="s">
        <v>200</v>
      </c>
      <c r="E12" s="710"/>
      <c r="F12" s="30"/>
      <c r="G12" s="490"/>
      <c r="I12" s="490" t="s">
        <v>656</v>
      </c>
      <c r="K12" s="491" t="s">
        <v>657</v>
      </c>
    </row>
    <row r="13" spans="1:11" ht="15" customHeight="1">
      <c r="A13" t="s">
        <v>1201</v>
      </c>
      <c r="B13" t="s">
        <v>1202</v>
      </c>
      <c r="C13" s="710" t="s">
        <v>157</v>
      </c>
      <c r="D13" s="710" t="s">
        <v>200</v>
      </c>
      <c r="E13" s="710"/>
      <c r="F13" s="30"/>
      <c r="I13" s="490" t="str">
        <f>Print_Mois!C6</f>
        <v>Autos détail</v>
      </c>
      <c r="K13" s="5" t="s">
        <v>655</v>
      </c>
    </row>
    <row r="14" spans="1:11" ht="15" customHeight="1">
      <c r="A14" t="s">
        <v>1203</v>
      </c>
      <c r="B14" t="s">
        <v>1204</v>
      </c>
      <c r="C14" s="710" t="s">
        <v>172</v>
      </c>
      <c r="D14" s="710" t="s">
        <v>200</v>
      </c>
      <c r="E14" s="710"/>
      <c r="F14" s="30"/>
      <c r="I14" s="490" t="s">
        <v>169</v>
      </c>
    </row>
    <row r="15" spans="1:11" ht="15" customHeight="1">
      <c r="A15" t="s">
        <v>1205</v>
      </c>
      <c r="B15" t="s">
        <v>1206</v>
      </c>
      <c r="C15" s="710" t="s">
        <v>176</v>
      </c>
      <c r="D15" s="710" t="s">
        <v>200</v>
      </c>
      <c r="E15" s="710"/>
      <c r="F15" s="30"/>
      <c r="I15" s="490" t="str">
        <f>Print_Mois!C388</f>
        <v>Autostock</v>
      </c>
      <c r="K15" s="5" t="s">
        <v>300</v>
      </c>
    </row>
    <row r="16" spans="1:11" ht="15" customHeight="1">
      <c r="A16" t="s">
        <v>1209</v>
      </c>
      <c r="B16" t="s">
        <v>1210</v>
      </c>
      <c r="C16" s="710" t="s">
        <v>88</v>
      </c>
      <c r="D16" s="710" t="s">
        <v>116</v>
      </c>
      <c r="E16" s="710"/>
      <c r="F16" s="30"/>
      <c r="I16" s="490" t="s">
        <v>53</v>
      </c>
      <c r="K16" s="491" t="s">
        <v>658</v>
      </c>
    </row>
    <row r="17" spans="1:11" ht="15" customHeight="1">
      <c r="A17" t="s">
        <v>1211</v>
      </c>
      <c r="B17" t="s">
        <v>1212</v>
      </c>
      <c r="C17" s="710" t="s">
        <v>148</v>
      </c>
      <c r="D17" s="710" t="s">
        <v>116</v>
      </c>
      <c r="E17" s="710"/>
      <c r="F17" s="30"/>
      <c r="I17" s="490" t="s">
        <v>27</v>
      </c>
      <c r="K17" s="5" t="s">
        <v>300</v>
      </c>
    </row>
    <row r="18" spans="1:11" ht="15" customHeight="1">
      <c r="A18" t="s">
        <v>1213</v>
      </c>
      <c r="B18" t="s">
        <v>1214</v>
      </c>
      <c r="C18" s="710" t="s">
        <v>1163</v>
      </c>
      <c r="D18" s="710" t="s">
        <v>116</v>
      </c>
      <c r="E18" s="710"/>
      <c r="F18" s="30"/>
      <c r="I18" s="490"/>
      <c r="K18" s="5"/>
    </row>
    <row r="19" spans="1:11" ht="15" customHeight="1">
      <c r="A19" t="s">
        <v>1215</v>
      </c>
      <c r="B19" t="s">
        <v>1216</v>
      </c>
      <c r="C19" s="710" t="s">
        <v>157</v>
      </c>
      <c r="D19" s="710" t="s">
        <v>116</v>
      </c>
      <c r="E19" s="710"/>
      <c r="F19" s="30"/>
      <c r="I19" s="490" t="s">
        <v>50</v>
      </c>
    </row>
    <row r="20" spans="1:11" ht="15" customHeight="1">
      <c r="A20" t="s">
        <v>1217</v>
      </c>
      <c r="B20" t="s">
        <v>1218</v>
      </c>
      <c r="C20" s="710" t="s">
        <v>172</v>
      </c>
      <c r="D20" s="710" t="s">
        <v>116</v>
      </c>
      <c r="E20" s="710"/>
      <c r="F20" s="30"/>
      <c r="I20" s="490" t="s">
        <v>78</v>
      </c>
    </row>
    <row r="21" spans="1:11" ht="15" customHeight="1">
      <c r="A21" t="s">
        <v>1219</v>
      </c>
      <c r="B21" t="s">
        <v>1220</v>
      </c>
      <c r="C21" s="710" t="s">
        <v>176</v>
      </c>
      <c r="D21" s="710" t="s">
        <v>116</v>
      </c>
      <c r="E21" s="710"/>
      <c r="F21" s="30"/>
      <c r="I21" s="490" t="s">
        <v>63</v>
      </c>
    </row>
    <row r="22" spans="1:11" ht="15" customHeight="1">
      <c r="A22" t="s">
        <v>1221</v>
      </c>
      <c r="B22" t="s">
        <v>1222</v>
      </c>
      <c r="C22" s="710" t="s">
        <v>1162</v>
      </c>
      <c r="D22" s="710" t="s">
        <v>116</v>
      </c>
      <c r="E22" s="710"/>
      <c r="F22" s="30"/>
      <c r="I22" s="490" t="s">
        <v>64</v>
      </c>
    </row>
    <row r="23" spans="1:11" ht="15" customHeight="1">
      <c r="A23" t="s">
        <v>1225</v>
      </c>
      <c r="B23" t="s">
        <v>1226</v>
      </c>
      <c r="C23" s="710" t="s">
        <v>88</v>
      </c>
      <c r="D23" s="710" t="s">
        <v>117</v>
      </c>
      <c r="E23" s="710"/>
      <c r="F23" s="30"/>
      <c r="I23" s="490" t="s">
        <v>82</v>
      </c>
    </row>
    <row r="24" spans="1:11" ht="15" customHeight="1">
      <c r="A24" t="s">
        <v>1227</v>
      </c>
      <c r="B24" t="s">
        <v>1228</v>
      </c>
      <c r="C24" s="710" t="s">
        <v>148</v>
      </c>
      <c r="D24" s="710" t="s">
        <v>117</v>
      </c>
      <c r="E24" s="710"/>
      <c r="F24" s="30"/>
      <c r="I24" s="490" t="s">
        <v>192</v>
      </c>
    </row>
    <row r="25" spans="1:11" ht="15" customHeight="1">
      <c r="A25" t="s">
        <v>1229</v>
      </c>
      <c r="B25" t="s">
        <v>1230</v>
      </c>
      <c r="C25" s="710" t="s">
        <v>1163</v>
      </c>
      <c r="D25" s="710" t="s">
        <v>117</v>
      </c>
      <c r="E25" s="710"/>
      <c r="F25" s="30"/>
      <c r="I25" s="490" t="s">
        <v>94</v>
      </c>
    </row>
    <row r="26" spans="1:11" ht="15" customHeight="1">
      <c r="A26" t="s">
        <v>1231</v>
      </c>
      <c r="B26" t="s">
        <v>1232</v>
      </c>
      <c r="C26" s="710" t="s">
        <v>157</v>
      </c>
      <c r="D26" s="710" t="s">
        <v>117</v>
      </c>
      <c r="E26" s="710"/>
      <c r="F26" s="30"/>
      <c r="I26" s="490" t="s">
        <v>80</v>
      </c>
    </row>
    <row r="27" spans="1:11" ht="15" customHeight="1">
      <c r="A27" t="s">
        <v>1233</v>
      </c>
      <c r="B27" t="s">
        <v>1234</v>
      </c>
      <c r="C27" s="710" t="s">
        <v>172</v>
      </c>
      <c r="D27" s="710" t="s">
        <v>117</v>
      </c>
      <c r="E27" s="710"/>
      <c r="F27" s="30"/>
      <c r="I27" s="490" t="str">
        <f>Print_Mois!C94</f>
        <v>Certifié</v>
      </c>
    </row>
    <row r="28" spans="1:11" ht="15" customHeight="1">
      <c r="A28" t="s">
        <v>1235</v>
      </c>
      <c r="B28" t="s">
        <v>1236</v>
      </c>
      <c r="C28" s="710" t="s">
        <v>176</v>
      </c>
      <c r="D28" s="710" t="s">
        <v>117</v>
      </c>
      <c r="E28" s="710"/>
      <c r="F28" s="30"/>
      <c r="I28" s="490" t="str">
        <f>Print_Mois!V545</f>
        <v>Chauffage, éclairage</v>
      </c>
    </row>
    <row r="29" spans="1:11" ht="15" customHeight="1">
      <c r="A29" t="s">
        <v>1237</v>
      </c>
      <c r="B29" t="s">
        <v>1238</v>
      </c>
      <c r="C29" s="710" t="s">
        <v>1162</v>
      </c>
      <c r="D29" s="710" t="s">
        <v>117</v>
      </c>
      <c r="E29" s="710"/>
      <c r="F29" s="30"/>
      <c r="I29" s="490"/>
    </row>
    <row r="30" spans="1:11" ht="15" customHeight="1">
      <c r="A30" t="s">
        <v>1241</v>
      </c>
      <c r="B30" t="s">
        <v>1242</v>
      </c>
      <c r="C30" s="710" t="s">
        <v>88</v>
      </c>
      <c r="D30" s="710" t="s">
        <v>118</v>
      </c>
      <c r="E30" s="710"/>
      <c r="F30" s="30"/>
      <c r="I30" s="490" t="str">
        <f>Print_Mois!C31</f>
        <v>Comm. vendeurs</v>
      </c>
    </row>
    <row r="31" spans="1:11" ht="15" customHeight="1">
      <c r="A31" t="s">
        <v>1243</v>
      </c>
      <c r="B31" t="s">
        <v>1244</v>
      </c>
      <c r="C31" s="710" t="s">
        <v>148</v>
      </c>
      <c r="D31" s="710" t="s">
        <v>118</v>
      </c>
      <c r="E31" s="710"/>
      <c r="F31" s="30"/>
      <c r="I31" s="490" t="s">
        <v>659</v>
      </c>
    </row>
    <row r="32" spans="1:11" ht="15" customHeight="1">
      <c r="A32" t="s">
        <v>1245</v>
      </c>
      <c r="B32" t="s">
        <v>1246</v>
      </c>
      <c r="C32" s="710" t="s">
        <v>1163</v>
      </c>
      <c r="D32" s="710" t="s">
        <v>118</v>
      </c>
      <c r="E32" s="710"/>
      <c r="F32" s="30"/>
      <c r="I32" s="490" t="s">
        <v>660</v>
      </c>
    </row>
    <row r="33" spans="1:9" ht="15" customHeight="1">
      <c r="A33" t="s">
        <v>1247</v>
      </c>
      <c r="B33" t="s">
        <v>1248</v>
      </c>
      <c r="C33" s="710" t="s">
        <v>157</v>
      </c>
      <c r="D33" s="710" t="s">
        <v>118</v>
      </c>
      <c r="E33" s="710"/>
      <c r="F33" s="30"/>
      <c r="I33" s="490" t="str">
        <f>Print_Mois!V518</f>
        <v>Csst</v>
      </c>
    </row>
    <row r="34" spans="1:9" ht="15" customHeight="1">
      <c r="A34" t="s">
        <v>1249</v>
      </c>
      <c r="B34" t="s">
        <v>1250</v>
      </c>
      <c r="C34" s="710" t="s">
        <v>172</v>
      </c>
      <c r="D34" s="710" t="s">
        <v>118</v>
      </c>
      <c r="E34" s="710"/>
      <c r="F34" s="30"/>
      <c r="I34" s="490" t="s">
        <v>51</v>
      </c>
    </row>
    <row r="35" spans="1:9" ht="15" customHeight="1">
      <c r="A35" t="s">
        <v>1251</v>
      </c>
      <c r="B35" t="s">
        <v>1252</v>
      </c>
      <c r="C35" s="710" t="s">
        <v>176</v>
      </c>
      <c r="D35" s="710" t="s">
        <v>118</v>
      </c>
      <c r="E35" s="710"/>
      <c r="F35" s="30"/>
      <c r="I35" s="490"/>
    </row>
    <row r="36" spans="1:9" ht="15" customHeight="1">
      <c r="A36" t="s">
        <v>1253</v>
      </c>
      <c r="B36" t="s">
        <v>1254</v>
      </c>
      <c r="C36" s="710" t="s">
        <v>1162</v>
      </c>
      <c r="D36" s="710" t="s">
        <v>118</v>
      </c>
      <c r="E36" s="710"/>
      <c r="F36" s="30"/>
      <c r="I36" s="490" t="str">
        <f>Print_Mois!V516</f>
        <v>Déduction à la source</v>
      </c>
    </row>
    <row r="37" spans="1:9" ht="15" customHeight="1">
      <c r="A37" t="s">
        <v>1259</v>
      </c>
      <c r="B37" t="s">
        <v>1260</v>
      </c>
      <c r="C37" s="710" t="s">
        <v>88</v>
      </c>
      <c r="D37" s="710" t="s">
        <v>120</v>
      </c>
      <c r="E37" s="710"/>
      <c r="F37" s="30"/>
      <c r="I37" s="490" t="str">
        <f>Print_Mois!V533</f>
        <v>Divers</v>
      </c>
    </row>
    <row r="38" spans="1:9" ht="15" customHeight="1">
      <c r="A38" t="s">
        <v>1261</v>
      </c>
      <c r="B38" t="s">
        <v>1262</v>
      </c>
      <c r="C38" s="710" t="s">
        <v>148</v>
      </c>
      <c r="D38" s="710" t="s">
        <v>120</v>
      </c>
      <c r="E38" s="710"/>
      <c r="F38" s="30"/>
      <c r="I38" s="490" t="s">
        <v>83</v>
      </c>
    </row>
    <row r="39" spans="1:9" ht="15" customHeight="1">
      <c r="A39" t="s">
        <v>1263</v>
      </c>
      <c r="B39" t="s">
        <v>1264</v>
      </c>
      <c r="C39" s="710" t="s">
        <v>1163</v>
      </c>
      <c r="D39" s="710" t="s">
        <v>120</v>
      </c>
      <c r="E39" s="710"/>
      <c r="F39" s="30"/>
      <c r="I39" s="490" t="s">
        <v>210</v>
      </c>
    </row>
    <row r="40" spans="1:9" ht="15" customHeight="1">
      <c r="A40" t="s">
        <v>1265</v>
      </c>
      <c r="B40" t="s">
        <v>1266</v>
      </c>
      <c r="C40" s="710" t="s">
        <v>157</v>
      </c>
      <c r="D40" s="710" t="s">
        <v>120</v>
      </c>
      <c r="E40" s="710"/>
      <c r="F40" s="30"/>
      <c r="I40" s="490" t="s">
        <v>43</v>
      </c>
    </row>
    <row r="41" spans="1:9" ht="15" customHeight="1">
      <c r="A41" t="s">
        <v>1267</v>
      </c>
      <c r="B41" t="s">
        <v>1268</v>
      </c>
      <c r="C41" s="710" t="s">
        <v>172</v>
      </c>
      <c r="D41" s="710" t="s">
        <v>120</v>
      </c>
      <c r="E41" s="710"/>
      <c r="F41" s="30"/>
      <c r="I41" s="490" t="s">
        <v>45</v>
      </c>
    </row>
    <row r="42" spans="1:9" ht="15" customHeight="1">
      <c r="A42" t="s">
        <v>1269</v>
      </c>
      <c r="B42" t="s">
        <v>1270</v>
      </c>
      <c r="C42" s="710" t="s">
        <v>176</v>
      </c>
      <c r="D42" s="710" t="s">
        <v>120</v>
      </c>
      <c r="E42" s="710"/>
      <c r="F42" s="30"/>
      <c r="I42" s="490" t="s">
        <v>21</v>
      </c>
    </row>
    <row r="43" spans="1:9" ht="15" customHeight="1">
      <c r="A43" t="s">
        <v>1271</v>
      </c>
      <c r="B43" t="s">
        <v>1272</v>
      </c>
      <c r="C43" s="710" t="s">
        <v>1162</v>
      </c>
      <c r="D43" s="710" t="s">
        <v>120</v>
      </c>
      <c r="E43" s="710"/>
      <c r="F43" s="30"/>
      <c r="I43" s="490" t="s">
        <v>75</v>
      </c>
    </row>
    <row r="44" spans="1:9" ht="15" customHeight="1">
      <c r="A44" t="s">
        <v>1275</v>
      </c>
      <c r="B44" t="s">
        <v>1276</v>
      </c>
      <c r="C44" s="710" t="s">
        <v>88</v>
      </c>
      <c r="D44" s="710" t="s">
        <v>121</v>
      </c>
      <c r="E44" s="710"/>
      <c r="F44" s="30"/>
      <c r="I44" s="490" t="s">
        <v>72</v>
      </c>
    </row>
    <row r="45" spans="1:9" ht="15" customHeight="1">
      <c r="A45" t="s">
        <v>1277</v>
      </c>
      <c r="B45" t="s">
        <v>1278</v>
      </c>
      <c r="C45" s="710" t="s">
        <v>148</v>
      </c>
      <c r="D45" s="710" t="s">
        <v>121</v>
      </c>
      <c r="E45" s="710"/>
      <c r="F45" s="30"/>
      <c r="I45" s="490" t="s">
        <v>70</v>
      </c>
    </row>
    <row r="46" spans="1:9" ht="15" customHeight="1">
      <c r="A46" t="s">
        <v>1279</v>
      </c>
      <c r="B46" t="s">
        <v>1280</v>
      </c>
      <c r="C46" s="710" t="s">
        <v>1163</v>
      </c>
      <c r="D46" s="710" t="s">
        <v>121</v>
      </c>
      <c r="E46" s="710"/>
      <c r="F46" s="30"/>
      <c r="I46" s="490" t="s">
        <v>73</v>
      </c>
    </row>
    <row r="47" spans="1:9" ht="15" customHeight="1">
      <c r="A47" t="s">
        <v>1281</v>
      </c>
      <c r="B47" t="s">
        <v>1282</v>
      </c>
      <c r="C47" s="710" t="s">
        <v>157</v>
      </c>
      <c r="D47" s="710" t="s">
        <v>121</v>
      </c>
      <c r="E47" s="710"/>
      <c r="F47" s="30"/>
      <c r="I47" s="490" t="str">
        <f>Print_Mois!C378</f>
        <v>Escomptes</v>
      </c>
    </row>
    <row r="48" spans="1:9" ht="15" customHeight="1">
      <c r="A48" t="s">
        <v>1283</v>
      </c>
      <c r="B48" t="s">
        <v>1284</v>
      </c>
      <c r="C48" s="710" t="s">
        <v>172</v>
      </c>
      <c r="D48" s="710" t="s">
        <v>121</v>
      </c>
      <c r="E48" s="710"/>
      <c r="F48" s="30"/>
      <c r="I48" s="490" t="str">
        <f>Print_Mois!C15</f>
        <v>Ex-Démos et courtoisies</v>
      </c>
    </row>
    <row r="49" spans="1:9" ht="15" customHeight="1">
      <c r="A49" t="s">
        <v>1285</v>
      </c>
      <c r="B49" t="s">
        <v>1286</v>
      </c>
      <c r="C49" s="710" t="s">
        <v>176</v>
      </c>
      <c r="D49" s="710" t="s">
        <v>121</v>
      </c>
      <c r="E49" s="710"/>
      <c r="F49" s="30"/>
      <c r="I49" s="490" t="str">
        <f>Print_Mois!C17</f>
        <v>Flottes</v>
      </c>
    </row>
    <row r="50" spans="1:9" ht="15" customHeight="1">
      <c r="A50" t="s">
        <v>1287</v>
      </c>
      <c r="B50" t="s">
        <v>1288</v>
      </c>
      <c r="C50" s="710" t="s">
        <v>1162</v>
      </c>
      <c r="D50" s="710" t="s">
        <v>121</v>
      </c>
      <c r="E50" s="710"/>
      <c r="F50" s="30"/>
      <c r="I50" s="490" t="s">
        <v>661</v>
      </c>
    </row>
    <row r="51" spans="1:9" ht="15" customHeight="1">
      <c r="A51" t="s">
        <v>1291</v>
      </c>
      <c r="B51" t="s">
        <v>1292</v>
      </c>
      <c r="C51" s="710" t="s">
        <v>88</v>
      </c>
      <c r="D51" s="710" t="s">
        <v>122</v>
      </c>
      <c r="E51" s="710"/>
      <c r="F51" s="30"/>
      <c r="I51" s="490" t="str">
        <f>Print_Mois!V528</f>
        <v>Fournitures autres</v>
      </c>
    </row>
    <row r="52" spans="1:9" ht="15" customHeight="1">
      <c r="A52" t="s">
        <v>1294</v>
      </c>
      <c r="B52" t="s">
        <v>1295</v>
      </c>
      <c r="C52" s="710" t="s">
        <v>148</v>
      </c>
      <c r="D52" s="710" t="s">
        <v>122</v>
      </c>
      <c r="E52" s="710"/>
      <c r="F52" s="30"/>
      <c r="I52" s="490" t="str">
        <f>Print_Mois!V567</f>
        <v>Frais administration</v>
      </c>
    </row>
    <row r="53" spans="1:9" ht="15" customHeight="1">
      <c r="A53" t="s">
        <v>1296</v>
      </c>
      <c r="B53" t="s">
        <v>1297</v>
      </c>
      <c r="C53" s="710" t="s">
        <v>1163</v>
      </c>
      <c r="D53" s="710" t="s">
        <v>122</v>
      </c>
      <c r="E53" s="710"/>
      <c r="F53" s="30"/>
      <c r="I53" s="490"/>
    </row>
    <row r="54" spans="1:9" ht="15" customHeight="1">
      <c r="A54" t="s">
        <v>1298</v>
      </c>
      <c r="B54" t="s">
        <v>1299</v>
      </c>
      <c r="C54" s="710" t="s">
        <v>157</v>
      </c>
      <c r="D54" s="710" t="s">
        <v>122</v>
      </c>
      <c r="E54" s="710"/>
      <c r="F54" s="30"/>
      <c r="I54" s="490"/>
    </row>
    <row r="55" spans="1:9" ht="15" customHeight="1">
      <c r="A55" t="s">
        <v>1300</v>
      </c>
      <c r="B55" t="s">
        <v>1301</v>
      </c>
      <c r="C55" s="710" t="s">
        <v>172</v>
      </c>
      <c r="D55" s="710" t="s">
        <v>122</v>
      </c>
      <c r="E55" s="710"/>
      <c r="F55" s="30"/>
      <c r="I55" s="490" t="s">
        <v>138</v>
      </c>
    </row>
    <row r="56" spans="1:9" ht="15" customHeight="1">
      <c r="A56" t="s">
        <v>1302</v>
      </c>
      <c r="B56" t="s">
        <v>1303</v>
      </c>
      <c r="C56" s="710" t="s">
        <v>176</v>
      </c>
      <c r="D56" s="710" t="s">
        <v>122</v>
      </c>
      <c r="E56" s="710"/>
      <c r="F56" s="30"/>
      <c r="I56" s="490"/>
    </row>
    <row r="57" spans="1:9" ht="15" customHeight="1">
      <c r="A57" t="s">
        <v>1304</v>
      </c>
      <c r="B57" t="s">
        <v>1305</v>
      </c>
      <c r="C57" s="710" t="s">
        <v>1162</v>
      </c>
      <c r="D57" s="710" t="s">
        <v>122</v>
      </c>
      <c r="E57" s="710"/>
      <c r="F57" s="30"/>
      <c r="I57" s="490" t="str">
        <f>Print_Mois!V538</f>
        <v>[...]</v>
      </c>
    </row>
    <row r="58" spans="1:9" ht="15" customHeight="1">
      <c r="A58" t="s">
        <v>1310</v>
      </c>
      <c r="B58" t="s">
        <v>1311</v>
      </c>
      <c r="C58" s="710" t="s">
        <v>88</v>
      </c>
      <c r="D58" s="710" t="s">
        <v>123</v>
      </c>
      <c r="E58" s="710"/>
      <c r="F58" s="30"/>
      <c r="I58" s="490" t="s">
        <v>662</v>
      </c>
    </row>
    <row r="59" spans="1:9" ht="15" customHeight="1">
      <c r="A59" t="s">
        <v>1312</v>
      </c>
      <c r="B59" t="s">
        <v>1313</v>
      </c>
      <c r="C59" s="710" t="s">
        <v>148</v>
      </c>
      <c r="D59" s="710" t="s">
        <v>123</v>
      </c>
      <c r="E59" s="710"/>
      <c r="F59" s="30"/>
      <c r="I59" s="490" t="str">
        <f>Print_Mois!V532</f>
        <v>Frais postaux</v>
      </c>
    </row>
    <row r="60" spans="1:9" ht="15" customHeight="1">
      <c r="A60" t="s">
        <v>1314</v>
      </c>
      <c r="B60" t="s">
        <v>1315</v>
      </c>
      <c r="C60" s="710" t="s">
        <v>1163</v>
      </c>
      <c r="D60" s="710" t="s">
        <v>123</v>
      </c>
      <c r="E60" s="710"/>
      <c r="F60" s="30"/>
      <c r="I60" s="490" t="s">
        <v>663</v>
      </c>
    </row>
    <row r="61" spans="1:9" ht="15" customHeight="1">
      <c r="A61" t="s">
        <v>1316</v>
      </c>
      <c r="B61" t="s">
        <v>1317</v>
      </c>
      <c r="C61" s="710" t="s">
        <v>157</v>
      </c>
      <c r="D61" s="710" t="s">
        <v>123</v>
      </c>
      <c r="E61" s="710"/>
      <c r="F61" s="30"/>
      <c r="I61" s="490" t="str">
        <f>Print_Mois!V523</f>
        <v>Frais véhicules de cie</v>
      </c>
    </row>
    <row r="62" spans="1:9" ht="15" customHeight="1">
      <c r="A62" t="s">
        <v>1318</v>
      </c>
      <c r="B62" t="s">
        <v>1319</v>
      </c>
      <c r="C62" s="710" t="s">
        <v>172</v>
      </c>
      <c r="D62" s="710" t="s">
        <v>123</v>
      </c>
      <c r="E62" s="710"/>
      <c r="F62" s="30"/>
      <c r="I62" s="490"/>
    </row>
    <row r="63" spans="1:9" ht="15" customHeight="1">
      <c r="A63" t="s">
        <v>1320</v>
      </c>
      <c r="B63" t="s">
        <v>1321</v>
      </c>
      <c r="C63" s="710" t="s">
        <v>176</v>
      </c>
      <c r="D63" s="710" t="s">
        <v>123</v>
      </c>
      <c r="E63" s="710"/>
      <c r="F63" s="30"/>
      <c r="I63" s="490" t="s">
        <v>664</v>
      </c>
    </row>
    <row r="64" spans="1:9" ht="15" customHeight="1">
      <c r="A64" t="s">
        <v>1322</v>
      </c>
      <c r="B64" t="s">
        <v>1323</v>
      </c>
      <c r="C64" s="710" t="s">
        <v>1162</v>
      </c>
      <c r="D64" s="710" t="s">
        <v>123</v>
      </c>
      <c r="E64" s="710"/>
      <c r="F64" s="30"/>
      <c r="I64" s="490" t="str">
        <f>Print_Mois!V557</f>
        <v>Holdbacks</v>
      </c>
    </row>
    <row r="65" spans="1:9" ht="15" customHeight="1">
      <c r="A65" t="s">
        <v>1328</v>
      </c>
      <c r="B65" t="s">
        <v>1329</v>
      </c>
      <c r="C65" s="710" t="s">
        <v>88</v>
      </c>
      <c r="D65" s="710" t="s">
        <v>135</v>
      </c>
      <c r="E65" s="710"/>
      <c r="F65" s="30"/>
      <c r="I65" s="490" t="s">
        <v>65</v>
      </c>
    </row>
    <row r="66" spans="1:9" ht="15" customHeight="1">
      <c r="A66" t="s">
        <v>1330</v>
      </c>
      <c r="B66" t="s">
        <v>1331</v>
      </c>
      <c r="C66" s="710" t="s">
        <v>148</v>
      </c>
      <c r="D66" s="710" t="s">
        <v>135</v>
      </c>
      <c r="E66" s="710"/>
      <c r="F66" s="30"/>
      <c r="I66" s="490" t="s">
        <v>33</v>
      </c>
    </row>
    <row r="67" spans="1:9" ht="15" customHeight="1">
      <c r="A67" t="s">
        <v>1332</v>
      </c>
      <c r="B67" t="s">
        <v>1333</v>
      </c>
      <c r="C67" s="710" t="s">
        <v>1163</v>
      </c>
      <c r="D67" s="710" t="s">
        <v>135</v>
      </c>
      <c r="E67" s="710"/>
      <c r="F67" s="30"/>
      <c r="I67" s="490" t="s">
        <v>61</v>
      </c>
    </row>
    <row r="68" spans="1:9" ht="15" customHeight="1">
      <c r="A68" t="s">
        <v>1334</v>
      </c>
      <c r="B68" t="s">
        <v>1335</v>
      </c>
      <c r="C68" s="710" t="s">
        <v>157</v>
      </c>
      <c r="D68" s="710" t="s">
        <v>135</v>
      </c>
      <c r="E68" s="710"/>
      <c r="F68" s="30"/>
      <c r="I68" s="490" t="str">
        <f>Print_Mois!V524</f>
        <v>Informatique</v>
      </c>
    </row>
    <row r="69" spans="1:9" ht="15" customHeight="1">
      <c r="A69" t="s">
        <v>1336</v>
      </c>
      <c r="B69" t="s">
        <v>1337</v>
      </c>
      <c r="C69" s="710" t="s">
        <v>172</v>
      </c>
      <c r="D69" s="710" t="s">
        <v>135</v>
      </c>
      <c r="E69" s="710"/>
      <c r="F69" s="30"/>
      <c r="I69" s="490" t="s">
        <v>173</v>
      </c>
    </row>
    <row r="70" spans="1:9" ht="15" customHeight="1">
      <c r="A70" t="s">
        <v>1338</v>
      </c>
      <c r="B70" t="s">
        <v>1339</v>
      </c>
      <c r="C70" s="710" t="s">
        <v>176</v>
      </c>
      <c r="D70" s="710" t="s">
        <v>135</v>
      </c>
      <c r="E70" s="710"/>
      <c r="F70" s="30"/>
      <c r="I70" s="490" t="s">
        <v>113</v>
      </c>
    </row>
    <row r="71" spans="1:9" ht="15" customHeight="1">
      <c r="A71" t="s">
        <v>1342</v>
      </c>
      <c r="B71" t="s">
        <v>1343</v>
      </c>
      <c r="C71" s="710" t="s">
        <v>88</v>
      </c>
      <c r="D71" s="710" t="s">
        <v>127</v>
      </c>
      <c r="E71" s="710"/>
      <c r="F71" s="30"/>
      <c r="I71" s="490" t="str">
        <f>Print_Mois!V579</f>
        <v>Intérêts sur marge</v>
      </c>
    </row>
    <row r="72" spans="1:9" ht="15" customHeight="1">
      <c r="A72" t="s">
        <v>1344</v>
      </c>
      <c r="B72" t="s">
        <v>1345</v>
      </c>
      <c r="C72" s="710" t="s">
        <v>148</v>
      </c>
      <c r="D72" s="710" t="s">
        <v>127</v>
      </c>
      <c r="E72" s="710"/>
      <c r="F72" s="30"/>
      <c r="I72" s="490"/>
    </row>
    <row r="73" spans="1:9" ht="15" customHeight="1">
      <c r="A73" t="s">
        <v>1346</v>
      </c>
      <c r="B73" t="s">
        <v>1347</v>
      </c>
      <c r="C73" s="710" t="s">
        <v>1163</v>
      </c>
      <c r="D73" s="710" t="s">
        <v>127</v>
      </c>
      <c r="E73" s="710"/>
      <c r="F73" s="30"/>
      <c r="I73" s="490" t="str">
        <f>Print_Mois!V580</f>
        <v>Intérêts sur prêt</v>
      </c>
    </row>
    <row r="74" spans="1:9" ht="15" customHeight="1">
      <c r="A74" t="s">
        <v>1348</v>
      </c>
      <c r="B74" t="s">
        <v>1349</v>
      </c>
      <c r="C74" s="710" t="s">
        <v>157</v>
      </c>
      <c r="D74" s="710" t="s">
        <v>127</v>
      </c>
      <c r="E74" s="710"/>
      <c r="F74" s="30"/>
      <c r="I74" s="490" t="s">
        <v>46</v>
      </c>
    </row>
    <row r="75" spans="1:9" ht="15" customHeight="1">
      <c r="A75" t="s">
        <v>1350</v>
      </c>
      <c r="B75" t="s">
        <v>1351</v>
      </c>
      <c r="C75" s="710" t="s">
        <v>172</v>
      </c>
      <c r="D75" s="710" t="s">
        <v>127</v>
      </c>
      <c r="E75" s="710"/>
      <c r="F75" s="30"/>
      <c r="I75" s="490" t="s">
        <v>42</v>
      </c>
    </row>
    <row r="76" spans="1:9" ht="15" customHeight="1">
      <c r="A76" t="s">
        <v>1352</v>
      </c>
      <c r="B76" t="s">
        <v>1353</v>
      </c>
      <c r="C76" s="710" t="s">
        <v>176</v>
      </c>
      <c r="D76" s="710" t="s">
        <v>127</v>
      </c>
      <c r="E76" s="710"/>
      <c r="F76" s="30"/>
      <c r="I76" s="490"/>
    </row>
    <row r="77" spans="1:9" ht="15" customHeight="1">
      <c r="A77" s="937" t="s">
        <v>1356</v>
      </c>
      <c r="B77" s="937" t="s">
        <v>1357</v>
      </c>
      <c r="C77" s="938"/>
      <c r="D77" s="938"/>
      <c r="E77" s="938"/>
      <c r="F77" s="30"/>
      <c r="I77" s="490" t="str">
        <f>Print_Mois!V548</f>
        <v>Location équipement</v>
      </c>
    </row>
    <row r="78" spans="1:9" ht="15" customHeight="1">
      <c r="A78" s="937" t="s">
        <v>1358</v>
      </c>
      <c r="B78" s="937" t="s">
        <v>1359</v>
      </c>
      <c r="C78" s="938"/>
      <c r="D78" s="938"/>
      <c r="E78" s="938"/>
      <c r="F78" s="30"/>
      <c r="I78" s="490" t="str">
        <f>Print_Mois!V540</f>
        <v>Loyer</v>
      </c>
    </row>
    <row r="79" spans="1:9" ht="15" customHeight="1">
      <c r="A79" s="937" t="s">
        <v>1360</v>
      </c>
      <c r="B79" s="937" t="s">
        <v>1361</v>
      </c>
      <c r="C79" s="938"/>
      <c r="D79" s="938"/>
      <c r="E79" s="938"/>
      <c r="F79" s="30"/>
      <c r="I79" s="490" t="str">
        <f>Print_Mois!C318</f>
        <v>Carrosserie Interne</v>
      </c>
    </row>
    <row r="80" spans="1:9" ht="15" customHeight="1">
      <c r="A80" t="s">
        <v>1362</v>
      </c>
      <c r="B80" t="s">
        <v>1363</v>
      </c>
      <c r="C80" s="710" t="s">
        <v>88</v>
      </c>
      <c r="D80" s="710" t="s">
        <v>136</v>
      </c>
      <c r="E80" s="710"/>
      <c r="F80" s="30"/>
      <c r="I80" s="490" t="str">
        <f>Print_Mois!C246</f>
        <v>M/O Client</v>
      </c>
    </row>
    <row r="81" spans="1:9" ht="15" customHeight="1">
      <c r="A81" t="s">
        <v>1364</v>
      </c>
      <c r="B81" t="s">
        <v>1365</v>
      </c>
      <c r="C81" s="710" t="s">
        <v>148</v>
      </c>
      <c r="D81" s="710" t="s">
        <v>136</v>
      </c>
      <c r="E81" s="710"/>
      <c r="F81" s="30"/>
      <c r="I81" s="490" t="str">
        <f>Print_Mois!C255</f>
        <v>M/O Esthétique</v>
      </c>
    </row>
    <row r="82" spans="1:9" ht="15" customHeight="1">
      <c r="A82" t="s">
        <v>1366</v>
      </c>
      <c r="B82" t="s">
        <v>1367</v>
      </c>
      <c r="C82" s="710" t="s">
        <v>157</v>
      </c>
      <c r="D82" s="710" t="s">
        <v>136</v>
      </c>
      <c r="E82" s="710"/>
      <c r="F82" s="30"/>
      <c r="I82" s="490" t="str">
        <f>+Print_Mois!C321</f>
        <v>Carrosserie Concessions</v>
      </c>
    </row>
    <row r="83" spans="1:9" ht="15" customHeight="1">
      <c r="A83" t="s">
        <v>1368</v>
      </c>
      <c r="B83" t="s">
        <v>1369</v>
      </c>
      <c r="C83" s="710" t="s">
        <v>176</v>
      </c>
      <c r="D83" s="710" t="s">
        <v>136</v>
      </c>
      <c r="E83" s="710"/>
      <c r="F83" s="30"/>
      <c r="I83" s="490" t="str">
        <f>Print_Mois!C249</f>
        <v>M/O Garantie</v>
      </c>
    </row>
    <row r="84" spans="1:9" ht="15" customHeight="1">
      <c r="A84" t="s">
        <v>1372</v>
      </c>
      <c r="B84" t="s">
        <v>1373</v>
      </c>
      <c r="C84" s="710" t="s">
        <v>88</v>
      </c>
      <c r="D84" s="710" t="s">
        <v>138</v>
      </c>
      <c r="E84" s="710"/>
      <c r="F84" s="30"/>
      <c r="I84" s="490" t="s">
        <v>22</v>
      </c>
    </row>
    <row r="85" spans="1:9" ht="15" customHeight="1">
      <c r="A85" t="s">
        <v>1374</v>
      </c>
      <c r="B85" t="s">
        <v>1375</v>
      </c>
      <c r="C85" s="710" t="s">
        <v>148</v>
      </c>
      <c r="D85" s="710" t="s">
        <v>138</v>
      </c>
      <c r="E85" s="710"/>
      <c r="F85" s="30"/>
      <c r="I85" s="490" t="s">
        <v>665</v>
      </c>
    </row>
    <row r="86" spans="1:9" ht="15" customHeight="1">
      <c r="A86" t="s">
        <v>1376</v>
      </c>
      <c r="B86" t="s">
        <v>1377</v>
      </c>
      <c r="C86" s="710" t="s">
        <v>1163</v>
      </c>
      <c r="D86" s="710" t="s">
        <v>138</v>
      </c>
      <c r="E86" s="710"/>
      <c r="F86" s="30"/>
      <c r="I86" s="490" t="s">
        <v>71</v>
      </c>
    </row>
    <row r="87" spans="1:9" ht="15" customHeight="1">
      <c r="A87" t="s">
        <v>1378</v>
      </c>
      <c r="B87" t="s">
        <v>1379</v>
      </c>
      <c r="C87" s="710" t="s">
        <v>157</v>
      </c>
      <c r="D87" s="710" t="s">
        <v>138</v>
      </c>
      <c r="E87" s="710"/>
      <c r="F87" s="30"/>
      <c r="I87" s="490" t="str">
        <f>Print_Mois!C95</f>
        <v>Non Certifié</v>
      </c>
    </row>
    <row r="88" spans="1:9" ht="15" customHeight="1">
      <c r="A88" t="s">
        <v>1380</v>
      </c>
      <c r="B88" t="s">
        <v>1381</v>
      </c>
      <c r="C88" s="710" t="s">
        <v>172</v>
      </c>
      <c r="D88" s="710" t="s">
        <v>138</v>
      </c>
      <c r="E88" s="710"/>
      <c r="F88" s="30"/>
      <c r="I88" s="490"/>
    </row>
    <row r="89" spans="1:9" ht="15" customHeight="1">
      <c r="A89" t="s">
        <v>1382</v>
      </c>
      <c r="B89" t="s">
        <v>1383</v>
      </c>
      <c r="C89" s="710" t="s">
        <v>176</v>
      </c>
      <c r="D89" s="710" t="s">
        <v>138</v>
      </c>
      <c r="E89" s="710"/>
      <c r="F89" s="30"/>
      <c r="I89" s="490"/>
    </row>
    <row r="90" spans="1:9" ht="15" customHeight="1">
      <c r="A90" t="s">
        <v>1386</v>
      </c>
      <c r="B90" t="s">
        <v>1387</v>
      </c>
      <c r="C90" s="710" t="s">
        <v>88</v>
      </c>
      <c r="D90" s="710" t="s">
        <v>133</v>
      </c>
      <c r="E90" s="710"/>
      <c r="F90" s="30"/>
      <c r="I90" s="490" t="str">
        <f>Print_Mois!C373</f>
        <v>P/A Garantie</v>
      </c>
    </row>
    <row r="91" spans="1:9" ht="15" customHeight="1">
      <c r="A91" t="s">
        <v>1388</v>
      </c>
      <c r="B91" t="s">
        <v>1389</v>
      </c>
      <c r="C91" s="710" t="s">
        <v>148</v>
      </c>
      <c r="D91" s="710" t="s">
        <v>133</v>
      </c>
      <c r="E91" s="710"/>
      <c r="F91" s="30"/>
      <c r="I91" s="490" t="str">
        <f>Print_Mois!V530</f>
        <v>Papeterie</v>
      </c>
    </row>
    <row r="92" spans="1:9" ht="15" customHeight="1">
      <c r="A92" t="s">
        <v>1390</v>
      </c>
      <c r="B92" t="s">
        <v>1391</v>
      </c>
      <c r="C92" s="710" t="s">
        <v>1163</v>
      </c>
      <c r="D92" s="710" t="s">
        <v>133</v>
      </c>
      <c r="E92" s="710"/>
      <c r="F92" s="30"/>
      <c r="I92" s="490"/>
    </row>
    <row r="93" spans="1:9" ht="15" customHeight="1">
      <c r="A93" t="s">
        <v>1392</v>
      </c>
      <c r="B93" t="s">
        <v>1393</v>
      </c>
      <c r="C93" s="710" t="s">
        <v>157</v>
      </c>
      <c r="D93" s="710" t="s">
        <v>133</v>
      </c>
      <c r="E93" s="710"/>
      <c r="F93" s="30"/>
      <c r="I93" s="490" t="str">
        <f>Print_Mois!C372</f>
        <v>Pièces Ro Carrosserie</v>
      </c>
    </row>
    <row r="94" spans="1:9" ht="15" customHeight="1">
      <c r="A94" t="s">
        <v>1394</v>
      </c>
      <c r="B94" t="s">
        <v>1395</v>
      </c>
      <c r="C94" s="710" t="s">
        <v>172</v>
      </c>
      <c r="D94" s="710" t="s">
        <v>133</v>
      </c>
      <c r="E94" s="710"/>
      <c r="F94" s="30"/>
      <c r="I94" s="490"/>
    </row>
    <row r="95" spans="1:9" ht="15" customHeight="1">
      <c r="A95" t="s">
        <v>1396</v>
      </c>
      <c r="B95" t="s">
        <v>1397</v>
      </c>
      <c r="C95" s="710" t="s">
        <v>176</v>
      </c>
      <c r="D95" s="710" t="s">
        <v>133</v>
      </c>
      <c r="E95" s="710"/>
      <c r="F95" s="30"/>
      <c r="I95" s="490" t="str">
        <f>Print_Mois!C371</f>
        <v>Pièces Ro Clients</v>
      </c>
    </row>
    <row r="96" spans="1:9" ht="15" customHeight="1">
      <c r="A96" t="s">
        <v>1400</v>
      </c>
      <c r="B96" t="s">
        <v>1401</v>
      </c>
      <c r="C96" s="710" t="s">
        <v>88</v>
      </c>
      <c r="D96" s="710" t="s">
        <v>131</v>
      </c>
      <c r="E96" s="710"/>
      <c r="F96" s="30"/>
      <c r="I96" s="490" t="s">
        <v>24</v>
      </c>
    </row>
    <row r="97" spans="1:9" ht="15" customHeight="1">
      <c r="A97" t="s">
        <v>1402</v>
      </c>
      <c r="B97" t="s">
        <v>1403</v>
      </c>
      <c r="C97" s="710" t="s">
        <v>148</v>
      </c>
      <c r="D97" s="710" t="s">
        <v>131</v>
      </c>
      <c r="E97" s="710"/>
      <c r="F97" s="30"/>
      <c r="I97" s="490" t="str">
        <f>Print_Mois!V558</f>
        <v>Programme Excellence</v>
      </c>
    </row>
    <row r="98" spans="1:9" ht="15" customHeight="1">
      <c r="A98" t="s">
        <v>1404</v>
      </c>
      <c r="B98" t="s">
        <v>1405</v>
      </c>
      <c r="C98" s="710" t="s">
        <v>1163</v>
      </c>
      <c r="D98" s="710" t="s">
        <v>131</v>
      </c>
      <c r="E98" s="710"/>
      <c r="F98" s="30"/>
      <c r="I98" s="490" t="s">
        <v>37</v>
      </c>
    </row>
    <row r="99" spans="1:9" ht="15" customHeight="1">
      <c r="A99" t="s">
        <v>1406</v>
      </c>
      <c r="B99" t="s">
        <v>1407</v>
      </c>
      <c r="C99" s="710" t="s">
        <v>157</v>
      </c>
      <c r="D99" s="710" t="s">
        <v>131</v>
      </c>
      <c r="E99" s="710"/>
      <c r="F99" s="30"/>
      <c r="I99" s="490"/>
    </row>
    <row r="100" spans="1:9" ht="15" customHeight="1">
      <c r="A100" t="s">
        <v>1408</v>
      </c>
      <c r="B100" t="s">
        <v>1409</v>
      </c>
      <c r="C100" s="710" t="s">
        <v>172</v>
      </c>
      <c r="D100" s="710" t="s">
        <v>131</v>
      </c>
      <c r="E100" s="710"/>
      <c r="F100" s="30"/>
      <c r="I100" s="490" t="str">
        <f>Print_Mois!V559</f>
        <v>Programme neuf 2</v>
      </c>
    </row>
    <row r="101" spans="1:9" ht="15" customHeight="1">
      <c r="A101" t="s">
        <v>1410</v>
      </c>
      <c r="B101" t="s">
        <v>1411</v>
      </c>
      <c r="C101" s="710" t="s">
        <v>176</v>
      </c>
      <c r="D101" s="710" t="s">
        <v>131</v>
      </c>
      <c r="E101" s="710"/>
      <c r="F101" s="30"/>
      <c r="I101" s="490" t="str">
        <f>Print_Mois!V560</f>
        <v>Programme neuf 3</v>
      </c>
    </row>
    <row r="102" spans="1:9" ht="15" customHeight="1">
      <c r="A102" s="937" t="s">
        <v>1412</v>
      </c>
      <c r="B102" s="937" t="s">
        <v>1413</v>
      </c>
      <c r="C102" s="938" t="s">
        <v>157</v>
      </c>
      <c r="D102" s="938" t="s">
        <v>131</v>
      </c>
      <c r="E102" s="938"/>
      <c r="F102" s="30"/>
      <c r="I102" s="490" t="s">
        <v>112</v>
      </c>
    </row>
    <row r="103" spans="1:9" ht="15" customHeight="1">
      <c r="A103" t="s">
        <v>1416</v>
      </c>
      <c r="B103" t="s">
        <v>1417</v>
      </c>
      <c r="C103" s="710" t="s">
        <v>88</v>
      </c>
      <c r="D103" s="710" t="s">
        <v>112</v>
      </c>
      <c r="E103" s="710"/>
      <c r="F103" s="30"/>
      <c r="I103" s="490">
        <f>Print_Mois!C19</f>
        <v>0</v>
      </c>
    </row>
    <row r="104" spans="1:9" ht="15" customHeight="1">
      <c r="A104" t="s">
        <v>1418</v>
      </c>
      <c r="B104" t="s">
        <v>1417</v>
      </c>
      <c r="C104" s="710" t="s">
        <v>148</v>
      </c>
      <c r="D104" s="710" t="s">
        <v>112</v>
      </c>
      <c r="E104" s="710"/>
      <c r="F104" s="30"/>
      <c r="I104" s="490" t="s">
        <v>38</v>
      </c>
    </row>
    <row r="105" spans="1:9" ht="15" customHeight="1">
      <c r="A105" t="s">
        <v>1419</v>
      </c>
      <c r="B105" t="s">
        <v>1420</v>
      </c>
      <c r="C105" s="710" t="s">
        <v>1163</v>
      </c>
      <c r="D105" s="710" t="s">
        <v>112</v>
      </c>
      <c r="E105" s="710"/>
      <c r="F105" s="30"/>
      <c r="I105" s="490"/>
    </row>
    <row r="106" spans="1:9" ht="15" customHeight="1">
      <c r="A106" t="s">
        <v>1421</v>
      </c>
      <c r="B106" t="s">
        <v>1417</v>
      </c>
      <c r="C106" s="710" t="s">
        <v>157</v>
      </c>
      <c r="D106" s="710" t="s">
        <v>125</v>
      </c>
      <c r="E106" s="710"/>
      <c r="F106" s="30"/>
      <c r="I106" s="490" t="s">
        <v>34</v>
      </c>
    </row>
    <row r="107" spans="1:9" ht="15" customHeight="1">
      <c r="A107" t="s">
        <v>1422</v>
      </c>
      <c r="B107" t="s">
        <v>1417</v>
      </c>
      <c r="C107" s="710" t="s">
        <v>172</v>
      </c>
      <c r="D107" s="710" t="s">
        <v>125</v>
      </c>
      <c r="E107" s="710"/>
      <c r="F107" s="30"/>
      <c r="I107" s="490" t="s">
        <v>25</v>
      </c>
    </row>
    <row r="108" spans="1:9" ht="15" customHeight="1">
      <c r="A108" t="s">
        <v>1423</v>
      </c>
      <c r="B108" t="s">
        <v>1417</v>
      </c>
      <c r="C108" s="710" t="s">
        <v>176</v>
      </c>
      <c r="D108" s="710" t="s">
        <v>125</v>
      </c>
      <c r="E108" s="710"/>
      <c r="F108" s="30"/>
      <c r="I108" s="490" t="s">
        <v>25</v>
      </c>
    </row>
    <row r="109" spans="1:9" ht="15" customHeight="1">
      <c r="A109" t="s">
        <v>1424</v>
      </c>
      <c r="B109" t="s">
        <v>1425</v>
      </c>
      <c r="C109" s="710" t="s">
        <v>88</v>
      </c>
      <c r="D109" s="710" t="s">
        <v>112</v>
      </c>
      <c r="E109" s="710"/>
      <c r="F109" s="30"/>
      <c r="I109" s="490" t="s">
        <v>32</v>
      </c>
    </row>
    <row r="110" spans="1:9" ht="15" customHeight="1">
      <c r="A110" t="s">
        <v>1426</v>
      </c>
      <c r="B110" t="s">
        <v>1425</v>
      </c>
      <c r="C110" s="710" t="s">
        <v>148</v>
      </c>
      <c r="D110" s="710" t="s">
        <v>112</v>
      </c>
      <c r="E110" s="710"/>
      <c r="F110" s="30"/>
      <c r="I110" s="490" t="s">
        <v>30</v>
      </c>
    </row>
    <row r="111" spans="1:9" ht="15" customHeight="1">
      <c r="A111" t="s">
        <v>1427</v>
      </c>
      <c r="B111" t="s">
        <v>1425</v>
      </c>
      <c r="C111" s="710" t="s">
        <v>157</v>
      </c>
      <c r="D111" s="710" t="s">
        <v>125</v>
      </c>
      <c r="E111" s="710"/>
      <c r="F111" s="30"/>
      <c r="I111" s="490" t="s">
        <v>26</v>
      </c>
    </row>
    <row r="112" spans="1:9" ht="15" customHeight="1">
      <c r="A112" t="s">
        <v>1428</v>
      </c>
      <c r="B112" t="s">
        <v>1429</v>
      </c>
      <c r="C112" s="710" t="s">
        <v>172</v>
      </c>
      <c r="D112" s="710" t="s">
        <v>125</v>
      </c>
      <c r="E112" s="710"/>
      <c r="F112" s="30"/>
      <c r="I112" s="490" t="s">
        <v>185</v>
      </c>
    </row>
    <row r="113" spans="1:27" ht="15" customHeight="1">
      <c r="A113" t="s">
        <v>1430</v>
      </c>
      <c r="B113" t="s">
        <v>1425</v>
      </c>
      <c r="C113" s="710" t="s">
        <v>176</v>
      </c>
      <c r="D113" s="710" t="s">
        <v>125</v>
      </c>
      <c r="E113" s="710"/>
      <c r="F113" s="30"/>
      <c r="I113" s="490" t="s">
        <v>36</v>
      </c>
    </row>
    <row r="114" spans="1:27" ht="15" customHeight="1">
      <c r="A114" t="s">
        <v>1431</v>
      </c>
      <c r="B114" s="706" t="s">
        <v>1432</v>
      </c>
      <c r="C114" s="710" t="s">
        <v>1162</v>
      </c>
      <c r="D114" s="710" t="s">
        <v>125</v>
      </c>
      <c r="E114" s="710"/>
      <c r="F114" s="30"/>
      <c r="I114" s="490" t="str">
        <f>Print_Mois!V547</f>
        <v>Réparation équipement</v>
      </c>
    </row>
    <row r="115" spans="1:27" ht="15" customHeight="1">
      <c r="A115" t="s">
        <v>1437</v>
      </c>
      <c r="B115" t="s">
        <v>1438</v>
      </c>
      <c r="C115" s="710" t="s">
        <v>88</v>
      </c>
      <c r="D115" s="710" t="s">
        <v>112</v>
      </c>
      <c r="E115" s="710"/>
      <c r="F115" s="30"/>
      <c r="I115" s="490" t="str">
        <f>Print_Mois!C24</f>
        <v>Total F&amp;I</v>
      </c>
    </row>
    <row r="116" spans="1:27" ht="15" customHeight="1">
      <c r="A116" t="s">
        <v>1439</v>
      </c>
      <c r="B116" t="s">
        <v>1440</v>
      </c>
      <c r="C116" s="710" t="s">
        <v>148</v>
      </c>
      <c r="D116" s="710" t="s">
        <v>112</v>
      </c>
      <c r="E116" s="710"/>
      <c r="F116" s="30"/>
      <c r="I116" s="490" t="str">
        <f>Print_Mois!C21</f>
        <v>Rev. Finances</v>
      </c>
    </row>
    <row r="117" spans="1:27" ht="15" customHeight="1">
      <c r="A117" t="s">
        <v>1441</v>
      </c>
      <c r="B117" t="s">
        <v>1442</v>
      </c>
      <c r="C117" s="710" t="s">
        <v>1163</v>
      </c>
      <c r="D117" s="710" t="s">
        <v>112</v>
      </c>
      <c r="E117" s="710"/>
      <c r="F117" s="30"/>
      <c r="I117" s="490" t="str">
        <f>Print_Mois!C22</f>
        <v>Rev. Protections</v>
      </c>
    </row>
    <row r="118" spans="1:27" ht="15" customHeight="1">
      <c r="A118" t="s">
        <v>1443</v>
      </c>
      <c r="B118" t="s">
        <v>1444</v>
      </c>
      <c r="C118" s="710" t="s">
        <v>157</v>
      </c>
      <c r="D118" s="710" t="s">
        <v>125</v>
      </c>
      <c r="E118" s="710"/>
      <c r="F118" s="30"/>
      <c r="I118" s="490" t="str">
        <f>Print_Mois!V556</f>
        <v>Revenus autres</v>
      </c>
    </row>
    <row r="119" spans="1:27" ht="15" customHeight="1">
      <c r="A119" t="s">
        <v>1445</v>
      </c>
      <c r="B119" t="s">
        <v>1446</v>
      </c>
      <c r="C119" s="710" t="s">
        <v>172</v>
      </c>
      <c r="D119" s="710" t="s">
        <v>125</v>
      </c>
      <c r="E119" s="710"/>
      <c r="F119" s="30"/>
      <c r="I119" s="490" t="s">
        <v>49</v>
      </c>
    </row>
    <row r="120" spans="1:27" ht="15" customHeight="1">
      <c r="A120" t="s">
        <v>1447</v>
      </c>
      <c r="B120" t="s">
        <v>1448</v>
      </c>
      <c r="C120" s="710" t="s">
        <v>176</v>
      </c>
      <c r="D120" s="710" t="s">
        <v>125</v>
      </c>
      <c r="E120" s="710"/>
      <c r="F120" s="30"/>
      <c r="I120" s="490" t="str">
        <f>Print_Mois!V510</f>
        <v>Salaires autres</v>
      </c>
    </row>
    <row r="121" spans="1:27" ht="15" customHeight="1">
      <c r="A121" t="s">
        <v>1451</v>
      </c>
      <c r="B121" t="s">
        <v>1452</v>
      </c>
      <c r="C121" s="710" t="s">
        <v>88</v>
      </c>
      <c r="D121" s="710" t="s">
        <v>112</v>
      </c>
      <c r="E121" s="710"/>
      <c r="F121" s="30"/>
      <c r="I121" s="490" t="str">
        <f>Print_Mois!C43</f>
        <v>Salaires commis</v>
      </c>
    </row>
    <row r="122" spans="1:27" ht="15" customHeight="1">
      <c r="A122" t="s">
        <v>1453</v>
      </c>
      <c r="B122" t="s">
        <v>1454</v>
      </c>
      <c r="C122" s="710" t="s">
        <v>148</v>
      </c>
      <c r="D122" s="710" t="s">
        <v>112</v>
      </c>
      <c r="E122" s="710"/>
      <c r="F122" s="30"/>
      <c r="I122" s="490" t="str">
        <f>Print_Mois!V509</f>
        <v>Salaires commis</v>
      </c>
    </row>
    <row r="123" spans="1:27" ht="15" customHeight="1">
      <c r="A123" t="s">
        <v>1455</v>
      </c>
      <c r="B123" t="s">
        <v>1456</v>
      </c>
      <c r="C123" s="710" t="s">
        <v>157</v>
      </c>
      <c r="D123" s="710" t="s">
        <v>125</v>
      </c>
      <c r="E123" s="710"/>
      <c r="F123" s="30"/>
      <c r="I123" s="490" t="str">
        <f>Print_Mois!V515</f>
        <v>Salaires en absences</v>
      </c>
    </row>
    <row r="124" spans="1:27" ht="15" customHeight="1">
      <c r="A124" t="s">
        <v>1457</v>
      </c>
      <c r="B124" t="s">
        <v>1458</v>
      </c>
      <c r="C124" s="710" t="s">
        <v>172</v>
      </c>
      <c r="D124" s="710" t="s">
        <v>125</v>
      </c>
      <c r="E124" s="710"/>
      <c r="F124" s="30"/>
      <c r="I124" s="490" t="str">
        <f>Print_Mois!V507</f>
        <v>Salaires propriétaire</v>
      </c>
    </row>
    <row r="125" spans="1:27" ht="15" customHeight="1">
      <c r="A125" t="s">
        <v>1459</v>
      </c>
      <c r="B125" s="706" t="s">
        <v>1460</v>
      </c>
      <c r="C125" s="710" t="s">
        <v>176</v>
      </c>
      <c r="D125" s="710" t="s">
        <v>125</v>
      </c>
      <c r="E125" s="710"/>
      <c r="F125" s="30"/>
      <c r="I125" s="490" t="str">
        <f>Print_Mois!V511</f>
        <v>Salaires spécialistes</v>
      </c>
    </row>
    <row r="126" spans="1:27" ht="15" customHeight="1">
      <c r="A126" t="s">
        <v>1461</v>
      </c>
      <c r="B126" t="s">
        <v>1462</v>
      </c>
      <c r="C126" s="710" t="s">
        <v>157</v>
      </c>
      <c r="D126" s="710" t="s">
        <v>126</v>
      </c>
      <c r="E126" s="710"/>
      <c r="F126" s="30"/>
      <c r="I126" s="490" t="str">
        <f>Print_Mois!C34</f>
        <v>Service gratuit 1</v>
      </c>
    </row>
    <row r="127" spans="1:27" ht="15" customHeight="1">
      <c r="A127" t="s">
        <v>1463</v>
      </c>
      <c r="B127" t="s">
        <v>1464</v>
      </c>
      <c r="C127" s="710" t="s">
        <v>172</v>
      </c>
      <c r="D127" s="710" t="s">
        <v>126</v>
      </c>
      <c r="E127" s="710"/>
      <c r="F127" s="30"/>
      <c r="I127" s="490" t="str">
        <f>Print_Mois!V522</f>
        <v>Service gratuit 2</v>
      </c>
    </row>
    <row r="128" spans="1:27" ht="15" customHeight="1">
      <c r="A128" t="s">
        <v>1465</v>
      </c>
      <c r="B128" t="s">
        <v>1466</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1469</v>
      </c>
      <c r="B129" t="s">
        <v>1470</v>
      </c>
      <c r="C129" s="710" t="s">
        <v>88</v>
      </c>
      <c r="D129" s="710" t="s">
        <v>128</v>
      </c>
      <c r="E129" s="710"/>
      <c r="F129" s="30"/>
      <c r="I129" s="490" t="str">
        <f>Print_Mois!C262</f>
        <v>Sous-traitement</v>
      </c>
    </row>
    <row r="130" spans="1:9" ht="15" customHeight="1">
      <c r="A130" t="s">
        <v>1471</v>
      </c>
      <c r="B130" t="s">
        <v>1472</v>
      </c>
      <c r="C130" s="710" t="s">
        <v>148</v>
      </c>
      <c r="D130" s="710" t="s">
        <v>128</v>
      </c>
      <c r="E130" s="710"/>
      <c r="F130" s="30"/>
      <c r="I130" s="490" t="s">
        <v>125</v>
      </c>
    </row>
    <row r="131" spans="1:9" ht="15" customHeight="1">
      <c r="A131" t="s">
        <v>1473</v>
      </c>
      <c r="B131" t="s">
        <v>1474</v>
      </c>
      <c r="C131" s="710" t="s">
        <v>1163</v>
      </c>
      <c r="D131" s="710" t="s">
        <v>128</v>
      </c>
      <c r="E131" s="710"/>
      <c r="F131" s="30"/>
      <c r="I131" s="490" t="s">
        <v>95</v>
      </c>
    </row>
    <row r="132" spans="1:9" ht="15" customHeight="1">
      <c r="A132" t="s">
        <v>1475</v>
      </c>
      <c r="B132" t="s">
        <v>1476</v>
      </c>
      <c r="C132" s="710" t="s">
        <v>157</v>
      </c>
      <c r="D132" s="710" t="s">
        <v>128</v>
      </c>
      <c r="E132" s="710"/>
      <c r="F132" s="30"/>
      <c r="I132" s="490" t="s">
        <v>202</v>
      </c>
    </row>
    <row r="133" spans="1:9" ht="15" customHeight="1">
      <c r="A133" t="s">
        <v>1477</v>
      </c>
      <c r="B133" t="s">
        <v>1478</v>
      </c>
      <c r="C133" s="710" t="s">
        <v>172</v>
      </c>
      <c r="D133" s="710" t="s">
        <v>128</v>
      </c>
      <c r="E133" s="710"/>
      <c r="F133" s="30"/>
      <c r="I133" s="490" t="s">
        <v>203</v>
      </c>
    </row>
    <row r="134" spans="1:9" ht="15" customHeight="1">
      <c r="A134" t="s">
        <v>1479</v>
      </c>
      <c r="B134" t="s">
        <v>1480</v>
      </c>
      <c r="C134" s="710" t="s">
        <v>176</v>
      </c>
      <c r="D134" s="710" t="s">
        <v>128</v>
      </c>
      <c r="E134" s="710"/>
      <c r="F134" s="30"/>
      <c r="I134" s="490" t="str">
        <f>Print_Mois!V543</f>
        <v>Taxe sur le capital</v>
      </c>
    </row>
    <row r="135" spans="1:9" ht="15" customHeight="1">
      <c r="A135" t="s">
        <v>1481</v>
      </c>
      <c r="B135" s="706" t="s">
        <v>1482</v>
      </c>
      <c r="C135" s="710" t="s">
        <v>1162</v>
      </c>
      <c r="D135" s="710" t="s">
        <v>128</v>
      </c>
      <c r="E135" s="710"/>
      <c r="F135" s="30"/>
      <c r="I135" s="490" t="s">
        <v>31</v>
      </c>
    </row>
    <row r="136" spans="1:9" ht="15" customHeight="1">
      <c r="A136" t="s">
        <v>1487</v>
      </c>
      <c r="B136" t="s">
        <v>1488</v>
      </c>
      <c r="C136" s="710" t="s">
        <v>88</v>
      </c>
      <c r="D136" s="710" t="s">
        <v>130</v>
      </c>
      <c r="E136" s="710"/>
      <c r="F136" s="30"/>
      <c r="I136" s="490" t="s">
        <v>132</v>
      </c>
    </row>
    <row r="137" spans="1:9" ht="15" customHeight="1">
      <c r="A137" t="s">
        <v>1489</v>
      </c>
      <c r="B137" t="s">
        <v>1490</v>
      </c>
      <c r="C137" s="710" t="s">
        <v>148</v>
      </c>
      <c r="D137" s="710" t="s">
        <v>130</v>
      </c>
      <c r="E137" s="710"/>
      <c r="F137" s="30"/>
      <c r="I137" s="490" t="str">
        <f>Print_Mois!C101</f>
        <v>Ventes au Gros</v>
      </c>
    </row>
    <row r="138" spans="1:9" ht="15" customHeight="1">
      <c r="A138" t="s">
        <v>1491</v>
      </c>
      <c r="B138" t="s">
        <v>1492</v>
      </c>
      <c r="C138" s="710" t="s">
        <v>1163</v>
      </c>
      <c r="D138" s="710" t="s">
        <v>130</v>
      </c>
      <c r="E138" s="710"/>
      <c r="F138" s="30"/>
      <c r="I138" s="490"/>
    </row>
    <row r="139" spans="1:9" ht="15" customHeight="1">
      <c r="A139" t="s">
        <v>1493</v>
      </c>
      <c r="B139" t="s">
        <v>1494</v>
      </c>
      <c r="C139" s="710" t="s">
        <v>157</v>
      </c>
      <c r="D139" s="710" t="s">
        <v>130</v>
      </c>
      <c r="E139" s="710"/>
      <c r="F139" s="30"/>
      <c r="I139" s="490" t="str">
        <f>Print_Mois!C376</f>
        <v>Ventes de Gros</v>
      </c>
    </row>
    <row r="140" spans="1:9" ht="15" customHeight="1">
      <c r="A140" t="s">
        <v>1495</v>
      </c>
      <c r="B140" t="s">
        <v>1496</v>
      </c>
      <c r="C140" s="710" t="s">
        <v>172</v>
      </c>
      <c r="D140" s="710" t="s">
        <v>130</v>
      </c>
      <c r="E140" s="710"/>
      <c r="F140" s="30"/>
      <c r="I140" s="490" t="s">
        <v>182</v>
      </c>
    </row>
    <row r="141" spans="1:9" ht="15" customHeight="1">
      <c r="A141" t="s">
        <v>1497</v>
      </c>
      <c r="B141" t="s">
        <v>1498</v>
      </c>
      <c r="C141" s="710" t="s">
        <v>176</v>
      </c>
      <c r="D141" s="710" t="s">
        <v>130</v>
      </c>
      <c r="E141" s="710"/>
      <c r="F141" s="30"/>
      <c r="I141" s="490" t="str">
        <f>Print_Mois!C374</f>
        <v>Ventes Internes</v>
      </c>
    </row>
    <row r="142" spans="1:9" ht="15" customHeight="1">
      <c r="A142" t="s">
        <v>1499</v>
      </c>
      <c r="B142" t="s">
        <v>1500</v>
      </c>
      <c r="C142" s="710" t="s">
        <v>1162</v>
      </c>
      <c r="D142" s="710" t="s">
        <v>130</v>
      </c>
      <c r="E142" s="710"/>
      <c r="F142" s="30"/>
      <c r="I142" s="490"/>
    </row>
    <row r="143" spans="1:9" ht="15" customHeight="1">
      <c r="A143" s="937" t="s">
        <v>1505</v>
      </c>
      <c r="B143" s="937" t="s">
        <v>1506</v>
      </c>
      <c r="C143" s="938" t="s">
        <v>88</v>
      </c>
      <c r="D143" s="938" t="s">
        <v>129</v>
      </c>
      <c r="E143" s="938"/>
      <c r="F143" s="30"/>
      <c r="I143" s="490"/>
    </row>
    <row r="144" spans="1:9" ht="15" customHeight="1">
      <c r="A144" t="s">
        <v>1507</v>
      </c>
      <c r="B144" t="s">
        <v>1508</v>
      </c>
      <c r="C144" s="710" t="s">
        <v>88</v>
      </c>
      <c r="D144" s="710" t="s">
        <v>129</v>
      </c>
      <c r="E144" s="710"/>
      <c r="F144" s="30"/>
    </row>
    <row r="145" spans="1:9" ht="15" customHeight="1">
      <c r="A145" t="s">
        <v>1509</v>
      </c>
      <c r="B145" t="s">
        <v>1510</v>
      </c>
      <c r="C145" s="710" t="s">
        <v>88</v>
      </c>
      <c r="D145" s="710" t="s">
        <v>129</v>
      </c>
      <c r="E145" s="710"/>
      <c r="F145" s="30"/>
    </row>
    <row r="146" spans="1:9" ht="15" customHeight="1">
      <c r="A146" t="s">
        <v>1511</v>
      </c>
      <c r="B146" t="s">
        <v>1512</v>
      </c>
      <c r="C146" s="710" t="s">
        <v>148</v>
      </c>
      <c r="D146" s="710" t="s">
        <v>129</v>
      </c>
      <c r="E146" s="710"/>
      <c r="F146" s="30"/>
    </row>
    <row r="147" spans="1:9" ht="15" customHeight="1">
      <c r="A147" t="s">
        <v>1513</v>
      </c>
      <c r="B147" t="s">
        <v>1514</v>
      </c>
      <c r="C147" s="710" t="s">
        <v>148</v>
      </c>
      <c r="D147" s="710" t="s">
        <v>129</v>
      </c>
      <c r="E147" s="710"/>
      <c r="F147" s="30"/>
    </row>
    <row r="148" spans="1:9" ht="15" customHeight="1">
      <c r="A148" t="s">
        <v>1515</v>
      </c>
      <c r="B148" t="s">
        <v>1516</v>
      </c>
      <c r="C148" s="710" t="s">
        <v>1163</v>
      </c>
      <c r="D148" s="710" t="s">
        <v>129</v>
      </c>
      <c r="E148" s="710"/>
      <c r="F148" s="3"/>
    </row>
    <row r="149" spans="1:9" ht="15" customHeight="1">
      <c r="A149" t="s">
        <v>1517</v>
      </c>
      <c r="B149" t="s">
        <v>1518</v>
      </c>
      <c r="C149" s="710" t="s">
        <v>1163</v>
      </c>
      <c r="D149" s="710" t="s">
        <v>129</v>
      </c>
      <c r="E149" s="710"/>
      <c r="F149" s="3"/>
    </row>
    <row r="150" spans="1:9" ht="15" customHeight="1">
      <c r="A150" t="s">
        <v>1519</v>
      </c>
      <c r="B150" t="s">
        <v>1520</v>
      </c>
      <c r="C150" s="710" t="s">
        <v>157</v>
      </c>
      <c r="D150" s="710" t="s">
        <v>129</v>
      </c>
      <c r="E150" s="710"/>
      <c r="F150" s="3"/>
    </row>
    <row r="151" spans="1:9" ht="15" customHeight="1">
      <c r="A151" t="s">
        <v>1521</v>
      </c>
      <c r="B151" t="s">
        <v>1522</v>
      </c>
      <c r="C151" s="710" t="s">
        <v>157</v>
      </c>
      <c r="D151" s="710" t="s">
        <v>129</v>
      </c>
      <c r="E151" s="710"/>
      <c r="F151" s="3"/>
    </row>
    <row r="152" spans="1:9" ht="15" customHeight="1">
      <c r="A152" t="s">
        <v>1523</v>
      </c>
      <c r="B152" t="s">
        <v>1524</v>
      </c>
      <c r="C152" s="710" t="s">
        <v>172</v>
      </c>
      <c r="D152" s="710" t="s">
        <v>129</v>
      </c>
      <c r="E152" s="710"/>
      <c r="F152" s="3"/>
    </row>
    <row r="153" spans="1:9" ht="15" customHeight="1">
      <c r="A153" t="s">
        <v>1525</v>
      </c>
      <c r="B153" t="s">
        <v>1526</v>
      </c>
      <c r="C153" s="710" t="s">
        <v>172</v>
      </c>
      <c r="D153" s="710" t="s">
        <v>129</v>
      </c>
      <c r="E153" s="710"/>
      <c r="F153" s="3"/>
    </row>
    <row r="154" spans="1:9" ht="15" customHeight="1">
      <c r="A154" t="s">
        <v>1527</v>
      </c>
      <c r="B154" t="s">
        <v>1528</v>
      </c>
      <c r="C154" s="710" t="s">
        <v>176</v>
      </c>
      <c r="D154" s="710" t="s">
        <v>129</v>
      </c>
      <c r="E154" s="710"/>
      <c r="F154" s="3"/>
    </row>
    <row r="155" spans="1:9" ht="15" customHeight="1">
      <c r="A155" t="s">
        <v>1529</v>
      </c>
      <c r="B155" t="s">
        <v>1530</v>
      </c>
      <c r="C155" s="710" t="s">
        <v>176</v>
      </c>
      <c r="D155" s="710" t="s">
        <v>129</v>
      </c>
      <c r="E155" s="710"/>
      <c r="F155" s="3"/>
    </row>
    <row r="156" spans="1:9" ht="15" customHeight="1">
      <c r="A156" t="s">
        <v>1533</v>
      </c>
      <c r="B156" t="s">
        <v>1534</v>
      </c>
      <c r="C156" s="710" t="s">
        <v>88</v>
      </c>
      <c r="D156" s="710" t="s">
        <v>136</v>
      </c>
      <c r="E156" s="710"/>
      <c r="F156" s="3"/>
    </row>
    <row r="157" spans="1:9" ht="15" customHeight="1">
      <c r="A157" t="s">
        <v>1535</v>
      </c>
      <c r="B157" t="s">
        <v>1536</v>
      </c>
      <c r="C157" s="710" t="s">
        <v>148</v>
      </c>
      <c r="D157" s="710" t="s">
        <v>136</v>
      </c>
      <c r="E157" s="710"/>
      <c r="F157" s="3"/>
    </row>
    <row r="158" spans="1:9" ht="15" customHeight="1">
      <c r="A158" t="s">
        <v>1537</v>
      </c>
      <c r="B158" t="s">
        <v>1538</v>
      </c>
      <c r="C158" s="710" t="s">
        <v>157</v>
      </c>
      <c r="D158" s="710" t="s">
        <v>136</v>
      </c>
      <c r="E158" s="710"/>
      <c r="F158" s="3"/>
    </row>
    <row r="159" spans="1:9" ht="15" customHeight="1">
      <c r="A159" t="s">
        <v>1539</v>
      </c>
      <c r="B159" t="s">
        <v>1540</v>
      </c>
      <c r="C159" s="710" t="s">
        <v>172</v>
      </c>
      <c r="D159" s="710" t="s">
        <v>136</v>
      </c>
      <c r="E159" s="710"/>
      <c r="F159" s="3"/>
    </row>
    <row r="160" spans="1:9" ht="15" customHeight="1">
      <c r="A160" t="s">
        <v>1543</v>
      </c>
      <c r="B160" t="s">
        <v>1544</v>
      </c>
      <c r="C160" s="710" t="s">
        <v>176</v>
      </c>
      <c r="D160" s="710" t="s">
        <v>136</v>
      </c>
      <c r="E160" s="710"/>
      <c r="F160" s="3"/>
      <c r="I160" s="3"/>
    </row>
    <row r="161" spans="1:6" ht="15" customHeight="1">
      <c r="A161" t="s">
        <v>1547</v>
      </c>
      <c r="B161" t="s">
        <v>1548</v>
      </c>
      <c r="C161" s="710" t="s">
        <v>88</v>
      </c>
      <c r="D161" s="710" t="s">
        <v>207</v>
      </c>
      <c r="E161" s="710"/>
      <c r="F161" s="3"/>
    </row>
    <row r="162" spans="1:6" ht="15" customHeight="1">
      <c r="A162" t="s">
        <v>1549</v>
      </c>
      <c r="B162" t="s">
        <v>1550</v>
      </c>
      <c r="C162" s="710" t="s">
        <v>148</v>
      </c>
      <c r="D162" s="710" t="s">
        <v>207</v>
      </c>
      <c r="E162" s="710"/>
      <c r="F162" s="3"/>
    </row>
    <row r="163" spans="1:6" ht="15" customHeight="1">
      <c r="A163" t="s">
        <v>1551</v>
      </c>
      <c r="B163" t="s">
        <v>1552</v>
      </c>
      <c r="C163" s="710" t="s">
        <v>1163</v>
      </c>
      <c r="D163" s="710" t="s">
        <v>207</v>
      </c>
      <c r="E163" s="710"/>
      <c r="F163" s="3"/>
    </row>
    <row r="164" spans="1:6" ht="15" customHeight="1">
      <c r="A164" t="s">
        <v>1553</v>
      </c>
      <c r="B164" t="s">
        <v>1554</v>
      </c>
      <c r="C164" s="710" t="s">
        <v>157</v>
      </c>
      <c r="D164" s="710" t="s">
        <v>207</v>
      </c>
      <c r="E164" s="710"/>
      <c r="F164" s="3"/>
    </row>
    <row r="165" spans="1:6" ht="15" customHeight="1">
      <c r="A165" t="s">
        <v>1555</v>
      </c>
      <c r="B165" t="s">
        <v>1556</v>
      </c>
      <c r="C165" s="710" t="s">
        <v>172</v>
      </c>
      <c r="D165" s="710" t="s">
        <v>207</v>
      </c>
      <c r="E165" s="710"/>
      <c r="F165" s="3"/>
    </row>
    <row r="166" spans="1:6" ht="15" customHeight="1">
      <c r="A166" t="s">
        <v>1557</v>
      </c>
      <c r="B166" t="s">
        <v>1558</v>
      </c>
      <c r="C166" s="710" t="s">
        <v>176</v>
      </c>
      <c r="D166" s="710" t="s">
        <v>207</v>
      </c>
      <c r="E166" s="710"/>
      <c r="F166" s="3"/>
    </row>
    <row r="167" spans="1:6" ht="15" customHeight="1">
      <c r="A167" t="s">
        <v>1561</v>
      </c>
      <c r="B167" t="s">
        <v>1562</v>
      </c>
      <c r="C167" s="710" t="s">
        <v>88</v>
      </c>
      <c r="D167" s="710" t="s">
        <v>134</v>
      </c>
      <c r="E167" s="710"/>
      <c r="F167" s="3"/>
    </row>
    <row r="168" spans="1:6" ht="15" customHeight="1">
      <c r="A168" t="s">
        <v>1563</v>
      </c>
      <c r="B168" t="s">
        <v>1564</v>
      </c>
      <c r="C168" s="710" t="s">
        <v>148</v>
      </c>
      <c r="D168" s="710" t="s">
        <v>134</v>
      </c>
      <c r="E168" s="710"/>
      <c r="F168" s="3"/>
    </row>
    <row r="169" spans="1:6" ht="15" customHeight="1">
      <c r="A169" t="s">
        <v>1565</v>
      </c>
      <c r="B169" t="s">
        <v>1566</v>
      </c>
      <c r="C169" s="710" t="s">
        <v>1163</v>
      </c>
      <c r="D169" s="710" t="s">
        <v>134</v>
      </c>
      <c r="E169" s="710"/>
      <c r="F169" s="3"/>
    </row>
    <row r="170" spans="1:6" ht="15" customHeight="1">
      <c r="A170" t="s">
        <v>1567</v>
      </c>
      <c r="B170" t="s">
        <v>1568</v>
      </c>
      <c r="C170" s="710" t="s">
        <v>157</v>
      </c>
      <c r="D170" s="710" t="s">
        <v>134</v>
      </c>
      <c r="E170" s="710"/>
      <c r="F170" s="3"/>
    </row>
    <row r="171" spans="1:6" ht="15" customHeight="1">
      <c r="A171" t="s">
        <v>1569</v>
      </c>
      <c r="B171" t="s">
        <v>1570</v>
      </c>
      <c r="C171" s="710" t="s">
        <v>172</v>
      </c>
      <c r="D171" s="710" t="s">
        <v>134</v>
      </c>
      <c r="E171" s="710"/>
      <c r="F171" s="3"/>
    </row>
    <row r="172" spans="1:6" ht="15" customHeight="1">
      <c r="A172" t="s">
        <v>1571</v>
      </c>
      <c r="B172" t="s">
        <v>1572</v>
      </c>
      <c r="C172" s="710" t="s">
        <v>176</v>
      </c>
      <c r="D172" s="710" t="s">
        <v>134</v>
      </c>
      <c r="E172" s="710"/>
      <c r="F172" s="3"/>
    </row>
    <row r="173" spans="1:6" ht="15" customHeight="1">
      <c r="A173" t="s">
        <v>1575</v>
      </c>
      <c r="B173" t="s">
        <v>1576</v>
      </c>
      <c r="C173" s="710" t="s">
        <v>88</v>
      </c>
      <c r="D173" s="710" t="s">
        <v>137</v>
      </c>
      <c r="E173" s="710"/>
      <c r="F173" s="3"/>
    </row>
    <row r="174" spans="1:6" ht="15" customHeight="1">
      <c r="A174" t="s">
        <v>1577</v>
      </c>
      <c r="B174" t="s">
        <v>1578</v>
      </c>
      <c r="C174" s="710" t="s">
        <v>148</v>
      </c>
      <c r="D174" s="710" t="s">
        <v>137</v>
      </c>
      <c r="E174" s="710"/>
      <c r="F174" s="3"/>
    </row>
    <row r="175" spans="1:6" ht="15" customHeight="1">
      <c r="A175" t="s">
        <v>1579</v>
      </c>
      <c r="B175" t="s">
        <v>1580</v>
      </c>
      <c r="C175" s="710" t="s">
        <v>1163</v>
      </c>
      <c r="D175" s="710" t="s">
        <v>137</v>
      </c>
      <c r="E175" s="710"/>
      <c r="F175" s="3"/>
    </row>
    <row r="176" spans="1:6" ht="15" customHeight="1">
      <c r="A176" t="s">
        <v>1581</v>
      </c>
      <c r="B176" t="s">
        <v>1582</v>
      </c>
      <c r="C176" s="710" t="s">
        <v>157</v>
      </c>
      <c r="D176" s="710" t="s">
        <v>137</v>
      </c>
      <c r="E176" s="710"/>
      <c r="F176" s="3"/>
    </row>
    <row r="177" spans="1:6" ht="15" customHeight="1">
      <c r="A177" t="s">
        <v>1583</v>
      </c>
      <c r="B177" t="s">
        <v>1584</v>
      </c>
      <c r="C177" s="710" t="s">
        <v>172</v>
      </c>
      <c r="D177" s="710" t="s">
        <v>137</v>
      </c>
      <c r="E177" s="710"/>
      <c r="F177" s="3"/>
    </row>
    <row r="178" spans="1:6" ht="15" customHeight="1">
      <c r="A178" t="s">
        <v>1585</v>
      </c>
      <c r="B178" t="s">
        <v>1586</v>
      </c>
      <c r="C178" s="710" t="s">
        <v>176</v>
      </c>
      <c r="D178" s="710" t="s">
        <v>137</v>
      </c>
      <c r="E178" s="710"/>
      <c r="F178" s="3"/>
    </row>
    <row r="179" spans="1:6" ht="15" customHeight="1">
      <c r="A179" t="s">
        <v>1589</v>
      </c>
      <c r="B179" t="s">
        <v>1590</v>
      </c>
      <c r="C179" s="710" t="s">
        <v>88</v>
      </c>
      <c r="D179" s="710" t="s">
        <v>113</v>
      </c>
      <c r="E179" s="710"/>
      <c r="F179" s="3"/>
    </row>
    <row r="180" spans="1:6" ht="15" customHeight="1">
      <c r="A180" t="s">
        <v>1591</v>
      </c>
      <c r="B180" t="s">
        <v>1592</v>
      </c>
      <c r="C180" s="710" t="s">
        <v>148</v>
      </c>
      <c r="D180" s="710" t="s">
        <v>113</v>
      </c>
      <c r="E180" s="710"/>
      <c r="F180" s="3"/>
    </row>
    <row r="181" spans="1:6" ht="15" customHeight="1">
      <c r="A181" t="s">
        <v>1593</v>
      </c>
      <c r="B181" t="s">
        <v>1594</v>
      </c>
      <c r="C181" s="710" t="s">
        <v>1163</v>
      </c>
      <c r="D181" s="710" t="s">
        <v>113</v>
      </c>
      <c r="E181" s="710"/>
      <c r="F181" s="3"/>
    </row>
    <row r="182" spans="1:6" ht="15" customHeight="1">
      <c r="A182" s="937" t="s">
        <v>1595</v>
      </c>
      <c r="B182" s="937" t="s">
        <v>1596</v>
      </c>
      <c r="C182" s="938" t="s">
        <v>157</v>
      </c>
      <c r="D182" s="938" t="s">
        <v>136</v>
      </c>
      <c r="E182" s="938"/>
      <c r="F182" s="3" t="s">
        <v>3136</v>
      </c>
    </row>
    <row r="183" spans="1:6" ht="15" customHeight="1">
      <c r="A183" t="s">
        <v>1601</v>
      </c>
      <c r="B183" t="s">
        <v>1602</v>
      </c>
      <c r="C183" s="710" t="s">
        <v>88</v>
      </c>
      <c r="D183" s="710" t="s">
        <v>136</v>
      </c>
      <c r="E183" s="710"/>
      <c r="F183" s="3"/>
    </row>
    <row r="184" spans="1:6" ht="15" customHeight="1">
      <c r="A184" t="s">
        <v>1603</v>
      </c>
      <c r="B184" t="s">
        <v>1604</v>
      </c>
      <c r="C184" s="710" t="s">
        <v>148</v>
      </c>
      <c r="D184" s="710" t="s">
        <v>136</v>
      </c>
      <c r="E184" s="710"/>
      <c r="F184" s="3"/>
    </row>
    <row r="185" spans="1:6" ht="15" customHeight="1">
      <c r="A185" t="s">
        <v>1605</v>
      </c>
      <c r="B185" t="s">
        <v>1606</v>
      </c>
      <c r="C185" s="710" t="s">
        <v>1163</v>
      </c>
      <c r="D185" s="710" t="s">
        <v>136</v>
      </c>
      <c r="E185" s="710"/>
      <c r="F185" s="3"/>
    </row>
    <row r="186" spans="1:6" ht="15" customHeight="1">
      <c r="A186" t="s">
        <v>1607</v>
      </c>
      <c r="B186" t="s">
        <v>1608</v>
      </c>
      <c r="C186" s="710" t="s">
        <v>157</v>
      </c>
      <c r="D186" s="710" t="s">
        <v>136</v>
      </c>
      <c r="E186" s="710"/>
      <c r="F186" s="3"/>
    </row>
    <row r="187" spans="1:6" ht="15" customHeight="1">
      <c r="A187" t="s">
        <v>1609</v>
      </c>
      <c r="B187" t="s">
        <v>1610</v>
      </c>
      <c r="C187" s="710" t="s">
        <v>172</v>
      </c>
      <c r="D187" s="710" t="s">
        <v>136</v>
      </c>
      <c r="E187" s="710"/>
      <c r="F187" s="3"/>
    </row>
    <row r="188" spans="1:6" ht="15" customHeight="1">
      <c r="A188" t="s">
        <v>1611</v>
      </c>
      <c r="B188" t="s">
        <v>1612</v>
      </c>
      <c r="C188" s="710" t="s">
        <v>176</v>
      </c>
      <c r="D188" s="710" t="s">
        <v>136</v>
      </c>
      <c r="E188" s="710"/>
      <c r="F188" s="3"/>
    </row>
    <row r="189" spans="1:6" ht="15" customHeight="1">
      <c r="A189" t="s">
        <v>1613</v>
      </c>
      <c r="B189" s="706" t="s">
        <v>3138</v>
      </c>
      <c r="C189" s="710" t="s">
        <v>1162</v>
      </c>
      <c r="D189" s="710" t="s">
        <v>136</v>
      </c>
      <c r="E189" s="710"/>
      <c r="F189" s="3"/>
    </row>
    <row r="190" spans="1:6" ht="15" customHeight="1">
      <c r="A190" s="937" t="s">
        <v>3137</v>
      </c>
      <c r="B190" s="937" t="s">
        <v>1614</v>
      </c>
      <c r="C190" s="938"/>
      <c r="D190" s="938"/>
      <c r="E190" s="938"/>
      <c r="F190" s="3"/>
    </row>
    <row r="191" spans="1:6" ht="15" customHeight="1">
      <c r="A191" t="s">
        <v>1618</v>
      </c>
      <c r="B191" t="s">
        <v>1619</v>
      </c>
      <c r="C191" s="710" t="s">
        <v>88</v>
      </c>
      <c r="D191" s="710" t="s">
        <v>3134</v>
      </c>
      <c r="E191" s="710"/>
      <c r="F191" s="3"/>
    </row>
    <row r="192" spans="1:6" ht="15" customHeight="1">
      <c r="A192" t="s">
        <v>1620</v>
      </c>
      <c r="B192" t="s">
        <v>1621</v>
      </c>
      <c r="C192" s="710" t="s">
        <v>148</v>
      </c>
      <c r="D192" s="710" t="s">
        <v>3134</v>
      </c>
      <c r="E192" s="710"/>
      <c r="F192" s="3"/>
    </row>
    <row r="193" spans="1:7" ht="15" customHeight="1">
      <c r="A193" t="s">
        <v>1622</v>
      </c>
      <c r="B193" t="s">
        <v>1623</v>
      </c>
      <c r="C193" s="710" t="s">
        <v>1163</v>
      </c>
      <c r="D193" s="710" t="s">
        <v>3134</v>
      </c>
      <c r="E193" s="710"/>
      <c r="F193" s="3"/>
    </row>
    <row r="194" spans="1:7" ht="15" customHeight="1">
      <c r="A194" s="937" t="s">
        <v>1626</v>
      </c>
      <c r="B194" s="937" t="s">
        <v>1627</v>
      </c>
      <c r="C194" s="938" t="s">
        <v>88</v>
      </c>
      <c r="D194" s="938" t="s">
        <v>136</v>
      </c>
      <c r="E194" s="938"/>
      <c r="F194" s="3"/>
    </row>
    <row r="195" spans="1:7" ht="15" customHeight="1">
      <c r="A195" s="937" t="s">
        <v>1628</v>
      </c>
      <c r="B195" s="937" t="s">
        <v>1629</v>
      </c>
      <c r="C195" s="938" t="s">
        <v>148</v>
      </c>
      <c r="D195" s="938" t="s">
        <v>136</v>
      </c>
      <c r="E195" s="938"/>
      <c r="F195" s="3"/>
    </row>
    <row r="196" spans="1:7" ht="15" customHeight="1">
      <c r="A196" s="937" t="s">
        <v>1630</v>
      </c>
      <c r="B196" s="937" t="s">
        <v>1631</v>
      </c>
      <c r="C196" s="938" t="s">
        <v>157</v>
      </c>
      <c r="D196" s="938" t="s">
        <v>136</v>
      </c>
      <c r="E196" s="938"/>
      <c r="F196" s="3"/>
    </row>
    <row r="197" spans="1:7" ht="15" customHeight="1">
      <c r="A197" s="937" t="s">
        <v>1632</v>
      </c>
      <c r="B197" s="937" t="s">
        <v>1631</v>
      </c>
      <c r="C197" s="938" t="s">
        <v>172</v>
      </c>
      <c r="D197" s="938" t="s">
        <v>136</v>
      </c>
      <c r="E197" s="938"/>
      <c r="F197" s="3"/>
    </row>
    <row r="198" spans="1:7" ht="15" customHeight="1">
      <c r="A198" s="937" t="s">
        <v>1633</v>
      </c>
      <c r="B198" s="937" t="s">
        <v>1634</v>
      </c>
      <c r="C198" s="938" t="s">
        <v>176</v>
      </c>
      <c r="D198" s="938" t="s">
        <v>136</v>
      </c>
      <c r="E198" s="938"/>
      <c r="F198" s="4"/>
    </row>
    <row r="199" spans="1:7" ht="15" customHeight="1">
      <c r="A199" t="s">
        <v>1637</v>
      </c>
      <c r="B199" t="s">
        <v>1638</v>
      </c>
      <c r="C199" s="710" t="s">
        <v>88</v>
      </c>
      <c r="D199" s="710" t="s">
        <v>201</v>
      </c>
      <c r="E199" s="901"/>
      <c r="F199" s="3"/>
    </row>
    <row r="200" spans="1:7" ht="15" customHeight="1">
      <c r="A200" t="s">
        <v>1639</v>
      </c>
      <c r="B200" t="s">
        <v>1640</v>
      </c>
      <c r="C200" s="710" t="s">
        <v>148</v>
      </c>
      <c r="D200" s="710" t="s">
        <v>201</v>
      </c>
      <c r="E200" s="901"/>
      <c r="F200" s="3"/>
    </row>
    <row r="201" spans="1:7" ht="15" customHeight="1">
      <c r="A201" t="s">
        <v>1641</v>
      </c>
      <c r="B201" t="s">
        <v>1642</v>
      </c>
      <c r="C201" s="710" t="s">
        <v>1163</v>
      </c>
      <c r="D201" s="710" t="s">
        <v>201</v>
      </c>
      <c r="E201" s="901"/>
      <c r="F201" s="3"/>
    </row>
    <row r="202" spans="1:7" ht="15" customHeight="1">
      <c r="A202" t="s">
        <v>1643</v>
      </c>
      <c r="B202" t="s">
        <v>1644</v>
      </c>
      <c r="C202" s="710" t="s">
        <v>157</v>
      </c>
      <c r="D202" s="710" t="s">
        <v>201</v>
      </c>
      <c r="E202" s="901"/>
      <c r="F202" s="3"/>
    </row>
    <row r="203" spans="1:7" ht="15" customHeight="1">
      <c r="A203" t="s">
        <v>1645</v>
      </c>
      <c r="B203" t="s">
        <v>1646</v>
      </c>
      <c r="C203" s="710" t="s">
        <v>172</v>
      </c>
      <c r="D203" s="710" t="s">
        <v>201</v>
      </c>
      <c r="E203" s="901"/>
      <c r="F203" s="3"/>
    </row>
    <row r="204" spans="1:7" ht="15" customHeight="1">
      <c r="A204" t="s">
        <v>1647</v>
      </c>
      <c r="B204" t="s">
        <v>1648</v>
      </c>
      <c r="C204" s="710" t="s">
        <v>176</v>
      </c>
      <c r="D204" s="710" t="s">
        <v>201</v>
      </c>
      <c r="E204" s="901"/>
      <c r="F204" s="3"/>
    </row>
    <row r="205" spans="1:7" ht="15" customHeight="1">
      <c r="A205" t="s">
        <v>1651</v>
      </c>
      <c r="B205" t="s">
        <v>1652</v>
      </c>
      <c r="C205" s="710" t="s">
        <v>88</v>
      </c>
      <c r="D205" s="710" t="s">
        <v>201</v>
      </c>
      <c r="E205" s="901"/>
      <c r="F205" s="3"/>
      <c r="G205" s="756" t="s">
        <v>1081</v>
      </c>
    </row>
    <row r="206" spans="1:7" ht="15" customHeight="1">
      <c r="A206" t="s">
        <v>1653</v>
      </c>
      <c r="B206" t="s">
        <v>1654</v>
      </c>
      <c r="C206" s="710" t="s">
        <v>148</v>
      </c>
      <c r="D206" s="710" t="s">
        <v>201</v>
      </c>
      <c r="E206" s="901"/>
      <c r="F206" s="3"/>
    </row>
    <row r="207" spans="1:7" ht="15" customHeight="1">
      <c r="A207" t="s">
        <v>1655</v>
      </c>
      <c r="B207" t="s">
        <v>1656</v>
      </c>
      <c r="C207" s="710" t="s">
        <v>1163</v>
      </c>
      <c r="D207" s="710" t="s">
        <v>201</v>
      </c>
      <c r="E207" s="901"/>
      <c r="F207" s="3"/>
    </row>
    <row r="208" spans="1:7" ht="15" customHeight="1">
      <c r="A208" t="s">
        <v>1657</v>
      </c>
      <c r="B208" t="s">
        <v>1658</v>
      </c>
      <c r="C208" s="710" t="s">
        <v>157</v>
      </c>
      <c r="D208" s="710" t="s">
        <v>201</v>
      </c>
      <c r="E208" s="901"/>
      <c r="F208" s="3"/>
    </row>
    <row r="209" spans="1:6" ht="15" customHeight="1">
      <c r="A209" t="s">
        <v>1659</v>
      </c>
      <c r="B209" t="s">
        <v>1660</v>
      </c>
      <c r="C209" s="710" t="s">
        <v>172</v>
      </c>
      <c r="D209" s="710" t="s">
        <v>201</v>
      </c>
      <c r="E209" s="901"/>
      <c r="F209" s="3"/>
    </row>
    <row r="210" spans="1:6" ht="15" customHeight="1">
      <c r="A210" t="s">
        <v>1661</v>
      </c>
      <c r="B210" t="s">
        <v>1662</v>
      </c>
      <c r="C210" s="710" t="s">
        <v>176</v>
      </c>
      <c r="D210" s="710" t="s">
        <v>201</v>
      </c>
      <c r="E210" s="901"/>
      <c r="F210" s="3"/>
    </row>
    <row r="211" spans="1:6" ht="15" customHeight="1">
      <c r="A211" t="s">
        <v>1665</v>
      </c>
      <c r="B211" t="s">
        <v>1666</v>
      </c>
      <c r="C211" s="710" t="s">
        <v>88</v>
      </c>
      <c r="D211" s="710" t="s">
        <v>130</v>
      </c>
      <c r="E211" s="901"/>
      <c r="F211" s="3"/>
    </row>
    <row r="212" spans="1:6" ht="15" customHeight="1">
      <c r="A212" t="s">
        <v>1667</v>
      </c>
      <c r="B212" t="s">
        <v>1668</v>
      </c>
      <c r="C212" s="710" t="s">
        <v>148</v>
      </c>
      <c r="D212" s="710" t="s">
        <v>130</v>
      </c>
      <c r="E212" s="901"/>
      <c r="F212" s="4"/>
    </row>
    <row r="213" spans="1:6" ht="15" customHeight="1">
      <c r="A213" t="s">
        <v>1669</v>
      </c>
      <c r="B213" t="s">
        <v>1670</v>
      </c>
      <c r="C213" s="710" t="s">
        <v>1163</v>
      </c>
      <c r="D213" s="710" t="s">
        <v>130</v>
      </c>
      <c r="E213" s="901"/>
      <c r="F213" s="3"/>
    </row>
    <row r="214" spans="1:6" ht="15" customHeight="1">
      <c r="A214" t="s">
        <v>1671</v>
      </c>
      <c r="B214" t="s">
        <v>1672</v>
      </c>
      <c r="C214" s="710" t="s">
        <v>157</v>
      </c>
      <c r="D214" s="710" t="s">
        <v>130</v>
      </c>
      <c r="E214" s="901"/>
      <c r="F214" s="3"/>
    </row>
    <row r="215" spans="1:6" ht="15" customHeight="1">
      <c r="A215" t="s">
        <v>1673</v>
      </c>
      <c r="B215" t="s">
        <v>1674</v>
      </c>
      <c r="C215" s="710" t="s">
        <v>172</v>
      </c>
      <c r="D215" s="710" t="s">
        <v>130</v>
      </c>
      <c r="E215" s="901"/>
      <c r="F215" s="3"/>
    </row>
    <row r="216" spans="1:6" ht="15" customHeight="1">
      <c r="A216" t="s">
        <v>1675</v>
      </c>
      <c r="B216" t="s">
        <v>1676</v>
      </c>
      <c r="C216" s="710" t="s">
        <v>176</v>
      </c>
      <c r="D216" s="710" t="s">
        <v>130</v>
      </c>
      <c r="E216" s="901"/>
      <c r="F216" s="3"/>
    </row>
    <row r="217" spans="1:6" ht="15" customHeight="1">
      <c r="A217" t="s">
        <v>1679</v>
      </c>
      <c r="B217" t="s">
        <v>1680</v>
      </c>
      <c r="C217" s="710" t="s">
        <v>88</v>
      </c>
      <c r="D217" s="710" t="s">
        <v>217</v>
      </c>
      <c r="E217" s="901"/>
      <c r="F217" s="3"/>
    </row>
    <row r="218" spans="1:6" ht="15" customHeight="1">
      <c r="A218" t="s">
        <v>1681</v>
      </c>
      <c r="B218" t="s">
        <v>1682</v>
      </c>
      <c r="C218" s="710" t="s">
        <v>148</v>
      </c>
      <c r="D218" s="710" t="s">
        <v>217</v>
      </c>
      <c r="E218" s="901"/>
      <c r="F218" s="3"/>
    </row>
    <row r="219" spans="1:6" ht="15" customHeight="1">
      <c r="A219" t="s">
        <v>1683</v>
      </c>
      <c r="B219" t="s">
        <v>1684</v>
      </c>
      <c r="C219" s="710" t="s">
        <v>157</v>
      </c>
      <c r="D219" s="710" t="s">
        <v>217</v>
      </c>
      <c r="E219" s="901"/>
      <c r="F219" s="3"/>
    </row>
    <row r="220" spans="1:6" ht="15" customHeight="1">
      <c r="A220" t="s">
        <v>1685</v>
      </c>
      <c r="B220" t="s">
        <v>1686</v>
      </c>
      <c r="C220" s="710" t="s">
        <v>172</v>
      </c>
      <c r="D220" s="710" t="s">
        <v>217</v>
      </c>
      <c r="E220" s="901"/>
      <c r="F220" s="3"/>
    </row>
    <row r="221" spans="1:6" ht="15" customHeight="1">
      <c r="A221" t="s">
        <v>1687</v>
      </c>
      <c r="B221" t="s">
        <v>1688</v>
      </c>
      <c r="C221" s="710" t="s">
        <v>176</v>
      </c>
      <c r="D221" s="710" t="s">
        <v>217</v>
      </c>
      <c r="E221" s="901"/>
      <c r="F221" s="3"/>
    </row>
    <row r="222" spans="1:6" ht="15" customHeight="1">
      <c r="A222" t="s">
        <v>1691</v>
      </c>
      <c r="B222" t="s">
        <v>1692</v>
      </c>
      <c r="C222" s="710" t="s">
        <v>88</v>
      </c>
      <c r="D222" s="710" t="s">
        <v>202</v>
      </c>
      <c r="E222" s="901"/>
      <c r="F222" s="3"/>
    </row>
    <row r="223" spans="1:6" ht="15" customHeight="1">
      <c r="A223" t="s">
        <v>1693</v>
      </c>
      <c r="B223" t="s">
        <v>1694</v>
      </c>
      <c r="C223" s="710" t="s">
        <v>148</v>
      </c>
      <c r="D223" s="710" t="s">
        <v>202</v>
      </c>
      <c r="E223" s="901"/>
      <c r="F223" s="3"/>
    </row>
    <row r="224" spans="1:6" ht="15" customHeight="1">
      <c r="A224" t="s">
        <v>1695</v>
      </c>
      <c r="B224" t="s">
        <v>1696</v>
      </c>
      <c r="C224" s="710" t="s">
        <v>157</v>
      </c>
      <c r="D224" s="710" t="s">
        <v>202</v>
      </c>
      <c r="E224" s="901"/>
      <c r="F224" s="3"/>
    </row>
    <row r="225" spans="1:6" ht="15" customHeight="1">
      <c r="A225" t="s">
        <v>1697</v>
      </c>
      <c r="B225" t="s">
        <v>1698</v>
      </c>
      <c r="C225" s="710" t="s">
        <v>172</v>
      </c>
      <c r="D225" s="710" t="s">
        <v>202</v>
      </c>
      <c r="E225" s="901"/>
      <c r="F225" s="3"/>
    </row>
    <row r="226" spans="1:6" ht="15" customHeight="1">
      <c r="A226" t="s">
        <v>1699</v>
      </c>
      <c r="B226" t="s">
        <v>1700</v>
      </c>
      <c r="C226" s="710" t="s">
        <v>176</v>
      </c>
      <c r="D226" s="710" t="s">
        <v>202</v>
      </c>
      <c r="E226" s="901"/>
      <c r="F226" s="3"/>
    </row>
    <row r="227" spans="1:6" ht="15" customHeight="1">
      <c r="A227" t="s">
        <v>1703</v>
      </c>
      <c r="B227" t="s">
        <v>1704</v>
      </c>
      <c r="C227" s="710" t="s">
        <v>88</v>
      </c>
      <c r="D227" s="710" t="s">
        <v>205</v>
      </c>
      <c r="E227" s="901"/>
      <c r="F227" s="3"/>
    </row>
    <row r="228" spans="1:6" ht="15" customHeight="1">
      <c r="A228" t="s">
        <v>1705</v>
      </c>
      <c r="B228" t="s">
        <v>1706</v>
      </c>
      <c r="C228" s="710" t="s">
        <v>148</v>
      </c>
      <c r="D228" s="710" t="s">
        <v>205</v>
      </c>
      <c r="E228" s="901"/>
      <c r="F228" s="3"/>
    </row>
    <row r="229" spans="1:6" ht="15" customHeight="1">
      <c r="A229" t="s">
        <v>1707</v>
      </c>
      <c r="B229" t="s">
        <v>1708</v>
      </c>
      <c r="C229" s="710" t="s">
        <v>157</v>
      </c>
      <c r="D229" s="710" t="s">
        <v>205</v>
      </c>
      <c r="E229" s="901"/>
      <c r="F229" s="3"/>
    </row>
    <row r="230" spans="1:6" ht="15" customHeight="1">
      <c r="A230" t="s">
        <v>1709</v>
      </c>
      <c r="B230" t="s">
        <v>1710</v>
      </c>
      <c r="C230" s="710" t="s">
        <v>172</v>
      </c>
      <c r="D230" s="710" t="s">
        <v>205</v>
      </c>
      <c r="E230" s="901"/>
      <c r="F230" s="3"/>
    </row>
    <row r="231" spans="1:6" ht="15" customHeight="1">
      <c r="A231" t="s">
        <v>1711</v>
      </c>
      <c r="B231" t="s">
        <v>1712</v>
      </c>
      <c r="C231" s="710" t="s">
        <v>176</v>
      </c>
      <c r="D231" s="710" t="s">
        <v>205</v>
      </c>
      <c r="E231" s="901"/>
      <c r="F231" s="3"/>
    </row>
    <row r="232" spans="1:6" ht="15" customHeight="1">
      <c r="A232" t="s">
        <v>1715</v>
      </c>
      <c r="B232" t="s">
        <v>1716</v>
      </c>
      <c r="C232" s="710" t="s">
        <v>88</v>
      </c>
      <c r="D232" s="710" t="s">
        <v>206</v>
      </c>
      <c r="E232" s="901"/>
      <c r="F232" s="3"/>
    </row>
    <row r="233" spans="1:6" ht="15" customHeight="1">
      <c r="A233" t="s">
        <v>1717</v>
      </c>
      <c r="B233" t="s">
        <v>1718</v>
      </c>
      <c r="C233" s="710" t="s">
        <v>148</v>
      </c>
      <c r="D233" s="710" t="s">
        <v>206</v>
      </c>
      <c r="E233" s="901"/>
      <c r="F233" s="3"/>
    </row>
    <row r="234" spans="1:6" ht="15" customHeight="1">
      <c r="A234" t="s">
        <v>1719</v>
      </c>
      <c r="B234" t="s">
        <v>1720</v>
      </c>
      <c r="C234" s="710" t="s">
        <v>157</v>
      </c>
      <c r="D234" s="710" t="s">
        <v>206</v>
      </c>
      <c r="E234" s="901"/>
      <c r="F234" s="3"/>
    </row>
    <row r="235" spans="1:6" ht="15" customHeight="1">
      <c r="A235" t="s">
        <v>1721</v>
      </c>
      <c r="B235" t="s">
        <v>1722</v>
      </c>
      <c r="C235" s="710" t="s">
        <v>172</v>
      </c>
      <c r="D235" s="710" t="s">
        <v>206</v>
      </c>
      <c r="E235" s="901"/>
      <c r="F235" s="3"/>
    </row>
    <row r="236" spans="1:6" ht="15" customHeight="1">
      <c r="A236" t="s">
        <v>1723</v>
      </c>
      <c r="B236" t="s">
        <v>1724</v>
      </c>
      <c r="C236" s="710" t="s">
        <v>176</v>
      </c>
      <c r="D236" s="710" t="s">
        <v>206</v>
      </c>
      <c r="E236" s="901"/>
      <c r="F236" s="3"/>
    </row>
    <row r="237" spans="1:6" ht="15" customHeight="1">
      <c r="A237" s="937" t="s">
        <v>1727</v>
      </c>
      <c r="B237" s="937" t="s">
        <v>1728</v>
      </c>
      <c r="C237" s="938"/>
      <c r="D237" s="938"/>
      <c r="E237" s="939"/>
      <c r="F237" s="3"/>
    </row>
    <row r="238" spans="1:6" ht="15" customHeight="1">
      <c r="A238" s="937" t="s">
        <v>1729</v>
      </c>
      <c r="B238" s="937" t="s">
        <v>1730</v>
      </c>
      <c r="C238" s="938"/>
      <c r="D238" s="938"/>
      <c r="E238" s="939"/>
      <c r="F238" s="3"/>
    </row>
    <row r="239" spans="1:6" ht="15" customHeight="1">
      <c r="A239" s="937" t="s">
        <v>1731</v>
      </c>
      <c r="B239" s="937" t="s">
        <v>1732</v>
      </c>
      <c r="C239" s="938"/>
      <c r="D239" s="938"/>
      <c r="E239" s="939"/>
      <c r="F239" s="3"/>
    </row>
    <row r="240" spans="1:6" ht="15" customHeight="1">
      <c r="A240" s="937" t="s">
        <v>1733</v>
      </c>
      <c r="B240" s="937" t="s">
        <v>1734</v>
      </c>
      <c r="C240" s="938"/>
      <c r="D240" s="938"/>
      <c r="E240" s="939"/>
      <c r="F240" s="3"/>
    </row>
    <row r="241" spans="1:6" ht="15" customHeight="1">
      <c r="A241" s="937" t="s">
        <v>1735</v>
      </c>
      <c r="B241" s="937" t="s">
        <v>1736</v>
      </c>
      <c r="C241" s="938"/>
      <c r="D241" s="938"/>
      <c r="E241" s="939"/>
      <c r="F241" s="3"/>
    </row>
    <row r="242" spans="1:6" ht="15" customHeight="1">
      <c r="A242" t="s">
        <v>1739</v>
      </c>
      <c r="B242" t="s">
        <v>1740</v>
      </c>
      <c r="C242" s="710" t="s">
        <v>88</v>
      </c>
      <c r="D242" s="710" t="s">
        <v>203</v>
      </c>
      <c r="E242" s="901"/>
      <c r="F242" s="3"/>
    </row>
    <row r="243" spans="1:6" ht="15" customHeight="1">
      <c r="A243" t="s">
        <v>1741</v>
      </c>
      <c r="B243" t="s">
        <v>1742</v>
      </c>
      <c r="C243" s="710" t="s">
        <v>148</v>
      </c>
      <c r="D243" s="710" t="s">
        <v>203</v>
      </c>
      <c r="E243" s="901"/>
      <c r="F243" s="3"/>
    </row>
    <row r="244" spans="1:6" ht="15" customHeight="1">
      <c r="A244" t="s">
        <v>1743</v>
      </c>
      <c r="B244" t="s">
        <v>1744</v>
      </c>
      <c r="C244" s="710" t="s">
        <v>1163</v>
      </c>
      <c r="D244" s="710" t="s">
        <v>203</v>
      </c>
      <c r="E244" s="901"/>
      <c r="F244" s="3"/>
    </row>
    <row r="245" spans="1:6" ht="15" customHeight="1">
      <c r="A245" t="s">
        <v>1745</v>
      </c>
      <c r="B245" t="s">
        <v>1746</v>
      </c>
      <c r="C245" s="710" t="s">
        <v>157</v>
      </c>
      <c r="D245" s="710" t="s">
        <v>203</v>
      </c>
      <c r="E245" s="901"/>
      <c r="F245" s="3"/>
    </row>
    <row r="246" spans="1:6" ht="15" customHeight="1">
      <c r="A246" t="s">
        <v>1747</v>
      </c>
      <c r="B246" t="s">
        <v>1748</v>
      </c>
      <c r="C246" s="710" t="s">
        <v>172</v>
      </c>
      <c r="D246" s="710" t="s">
        <v>203</v>
      </c>
      <c r="E246" s="901"/>
      <c r="F246" s="3"/>
    </row>
    <row r="247" spans="1:6" ht="15" customHeight="1">
      <c r="A247" t="s">
        <v>1749</v>
      </c>
      <c r="B247" t="s">
        <v>1750</v>
      </c>
      <c r="C247" s="710" t="s">
        <v>176</v>
      </c>
      <c r="D247" s="710" t="s">
        <v>203</v>
      </c>
      <c r="E247" s="901"/>
      <c r="F247" s="3"/>
    </row>
    <row r="248" spans="1:6" ht="15" customHeight="1">
      <c r="A248" t="s">
        <v>1753</v>
      </c>
      <c r="B248" t="s">
        <v>1754</v>
      </c>
      <c r="C248" s="710" t="s">
        <v>88</v>
      </c>
      <c r="D248" s="710" t="s">
        <v>208</v>
      </c>
      <c r="E248" s="901"/>
      <c r="F248" s="3"/>
    </row>
    <row r="249" spans="1:6" ht="15" customHeight="1">
      <c r="A249" t="s">
        <v>1755</v>
      </c>
      <c r="B249" t="s">
        <v>1756</v>
      </c>
      <c r="C249" s="710" t="s">
        <v>148</v>
      </c>
      <c r="D249" s="710" t="s">
        <v>208</v>
      </c>
      <c r="E249" s="901"/>
      <c r="F249" s="3"/>
    </row>
    <row r="250" spans="1:6" ht="15" customHeight="1">
      <c r="A250" t="s">
        <v>1757</v>
      </c>
      <c r="B250" t="s">
        <v>1758</v>
      </c>
      <c r="C250" s="710" t="s">
        <v>157</v>
      </c>
      <c r="D250" s="710" t="s">
        <v>208</v>
      </c>
      <c r="E250" s="901"/>
      <c r="F250" s="3"/>
    </row>
    <row r="251" spans="1:6" ht="15" customHeight="1">
      <c r="A251" t="s">
        <v>1759</v>
      </c>
      <c r="B251" t="s">
        <v>1760</v>
      </c>
      <c r="C251" s="710" t="s">
        <v>172</v>
      </c>
      <c r="D251" s="710" t="s">
        <v>208</v>
      </c>
      <c r="E251" s="901"/>
      <c r="F251" s="3"/>
    </row>
    <row r="252" spans="1:6" ht="15" customHeight="1">
      <c r="A252" t="s">
        <v>1761</v>
      </c>
      <c r="B252" t="s">
        <v>1762</v>
      </c>
      <c r="C252" s="710" t="s">
        <v>176</v>
      </c>
      <c r="D252" s="710" t="s">
        <v>208</v>
      </c>
      <c r="E252" s="901"/>
      <c r="F252" s="3"/>
    </row>
    <row r="253" spans="1:6" ht="15" customHeight="1">
      <c r="A253" t="s">
        <v>1765</v>
      </c>
      <c r="B253" t="s">
        <v>1766</v>
      </c>
      <c r="C253" s="710" t="s">
        <v>88</v>
      </c>
      <c r="D253" s="710" t="s">
        <v>217</v>
      </c>
      <c r="E253" s="901"/>
      <c r="F253" s="3"/>
    </row>
    <row r="254" spans="1:6" ht="15" customHeight="1">
      <c r="A254" t="s">
        <v>1767</v>
      </c>
      <c r="B254" t="s">
        <v>1768</v>
      </c>
      <c r="C254" s="710" t="s">
        <v>148</v>
      </c>
      <c r="D254" s="710" t="s">
        <v>217</v>
      </c>
      <c r="E254" s="901"/>
      <c r="F254" s="3"/>
    </row>
    <row r="255" spans="1:6" ht="15" customHeight="1">
      <c r="A255" t="s">
        <v>1769</v>
      </c>
      <c r="B255" t="s">
        <v>1770</v>
      </c>
      <c r="C255" s="710" t="s">
        <v>157</v>
      </c>
      <c r="D255" s="710" t="s">
        <v>217</v>
      </c>
      <c r="E255" s="901"/>
      <c r="F255" s="3"/>
    </row>
    <row r="256" spans="1:6" ht="15" customHeight="1">
      <c r="A256" t="s">
        <v>1771</v>
      </c>
      <c r="B256" t="s">
        <v>1772</v>
      </c>
      <c r="C256" s="710" t="s">
        <v>172</v>
      </c>
      <c r="D256" s="710" t="s">
        <v>217</v>
      </c>
      <c r="E256" s="901"/>
      <c r="F256" s="3"/>
    </row>
    <row r="257" spans="1:6" ht="15" customHeight="1">
      <c r="A257" t="s">
        <v>1773</v>
      </c>
      <c r="B257" t="s">
        <v>1774</v>
      </c>
      <c r="C257" s="710" t="s">
        <v>176</v>
      </c>
      <c r="D257" s="710" t="s">
        <v>217</v>
      </c>
      <c r="E257" s="901"/>
      <c r="F257" s="3"/>
    </row>
    <row r="258" spans="1:6" ht="15" customHeight="1">
      <c r="A258" t="s">
        <v>1777</v>
      </c>
      <c r="B258" t="s">
        <v>1778</v>
      </c>
      <c r="C258" s="710" t="s">
        <v>88</v>
      </c>
      <c r="D258" s="710" t="s">
        <v>209</v>
      </c>
      <c r="E258" s="901"/>
      <c r="F258" s="3"/>
    </row>
    <row r="259" spans="1:6" ht="15" customHeight="1">
      <c r="A259" t="s">
        <v>1779</v>
      </c>
      <c r="B259" t="s">
        <v>1780</v>
      </c>
      <c r="C259" s="710" t="s">
        <v>148</v>
      </c>
      <c r="D259" s="710" t="s">
        <v>209</v>
      </c>
      <c r="E259" s="901"/>
      <c r="F259" s="3"/>
    </row>
    <row r="260" spans="1:6" ht="15" customHeight="1">
      <c r="A260" t="s">
        <v>1781</v>
      </c>
      <c r="B260" t="s">
        <v>1782</v>
      </c>
      <c r="C260" s="710" t="s">
        <v>157</v>
      </c>
      <c r="D260" s="710" t="s">
        <v>209</v>
      </c>
      <c r="E260" s="901"/>
      <c r="F260" s="3"/>
    </row>
    <row r="261" spans="1:6" ht="15" customHeight="1">
      <c r="A261" t="s">
        <v>1783</v>
      </c>
      <c r="B261" t="s">
        <v>1784</v>
      </c>
      <c r="C261" s="710" t="s">
        <v>172</v>
      </c>
      <c r="D261" s="710" t="s">
        <v>209</v>
      </c>
      <c r="E261" s="901"/>
      <c r="F261" s="3"/>
    </row>
    <row r="262" spans="1:6" ht="15" customHeight="1">
      <c r="A262" t="s">
        <v>1785</v>
      </c>
      <c r="B262" t="s">
        <v>1786</v>
      </c>
      <c r="C262" s="710" t="s">
        <v>176</v>
      </c>
      <c r="D262" s="710" t="s">
        <v>209</v>
      </c>
      <c r="E262" s="901"/>
      <c r="F262" s="3"/>
    </row>
    <row r="263" spans="1:6" ht="15" customHeight="1">
      <c r="A263" t="s">
        <v>1790</v>
      </c>
      <c r="B263" t="s">
        <v>1140</v>
      </c>
      <c r="C263" s="710"/>
      <c r="D263" s="710"/>
      <c r="E263" s="901"/>
      <c r="F263" s="3"/>
    </row>
    <row r="264" spans="1:6" ht="15" customHeight="1">
      <c r="A264" t="s">
        <v>1791</v>
      </c>
      <c r="B264" t="s">
        <v>644</v>
      </c>
      <c r="C264" s="710" t="s">
        <v>652</v>
      </c>
      <c r="D264" s="710" t="s">
        <v>21</v>
      </c>
      <c r="E264" s="901"/>
      <c r="F264" s="3"/>
    </row>
    <row r="265" spans="1:6" ht="15" customHeight="1">
      <c r="A265" t="s">
        <v>1792</v>
      </c>
      <c r="B265" t="s">
        <v>1793</v>
      </c>
      <c r="C265" s="710" t="s">
        <v>652</v>
      </c>
      <c r="D265" s="710" t="s">
        <v>49</v>
      </c>
      <c r="E265" s="901"/>
      <c r="F265" s="3"/>
    </row>
    <row r="266" spans="1:6" ht="15" customHeight="1">
      <c r="A266" t="s">
        <v>1794</v>
      </c>
      <c r="B266" t="s">
        <v>1795</v>
      </c>
      <c r="C266" s="710" t="s">
        <v>652</v>
      </c>
      <c r="D266" s="710" t="s">
        <v>21</v>
      </c>
      <c r="E266" s="901"/>
      <c r="F266" s="3"/>
    </row>
    <row r="267" spans="1:6" ht="15.6" customHeight="1">
      <c r="A267" t="s">
        <v>1798</v>
      </c>
      <c r="B267" t="s">
        <v>1138</v>
      </c>
      <c r="C267" s="710" t="s">
        <v>652</v>
      </c>
      <c r="D267" s="710" t="s">
        <v>21</v>
      </c>
      <c r="E267" s="901"/>
      <c r="F267" s="3"/>
    </row>
    <row r="268" spans="1:6" ht="15" customHeight="1">
      <c r="A268" t="s">
        <v>1801</v>
      </c>
      <c r="B268" t="s">
        <v>1802</v>
      </c>
      <c r="C268" s="710"/>
      <c r="D268" s="710"/>
      <c r="E268" s="901"/>
      <c r="F268" s="3"/>
    </row>
    <row r="269" spans="1:6" ht="15" customHeight="1">
      <c r="A269" t="s">
        <v>1804</v>
      </c>
      <c r="B269" t="s">
        <v>1805</v>
      </c>
      <c r="C269" s="710" t="s">
        <v>652</v>
      </c>
      <c r="D269" s="710" t="s">
        <v>21</v>
      </c>
      <c r="E269" s="901"/>
      <c r="F269" s="3"/>
    </row>
    <row r="270" spans="1:6" ht="15" customHeight="1">
      <c r="A270" t="s">
        <v>1808</v>
      </c>
      <c r="B270" t="s">
        <v>1809</v>
      </c>
      <c r="C270" s="710"/>
      <c r="D270" s="710"/>
      <c r="E270" s="901"/>
      <c r="F270" s="3"/>
    </row>
    <row r="271" spans="1:6" ht="15" customHeight="1">
      <c r="A271" t="s">
        <v>1810</v>
      </c>
      <c r="B271" t="s">
        <v>1811</v>
      </c>
      <c r="C271" s="710" t="s">
        <v>652</v>
      </c>
      <c r="D271" s="710" t="s">
        <v>25</v>
      </c>
      <c r="E271" s="901"/>
      <c r="F271" s="3"/>
    </row>
    <row r="272" spans="1:6" ht="15" customHeight="1">
      <c r="A272" t="s">
        <v>1815</v>
      </c>
      <c r="B272" t="s">
        <v>1816</v>
      </c>
      <c r="C272" s="710" t="s">
        <v>652</v>
      </c>
      <c r="D272" s="710" t="s">
        <v>26</v>
      </c>
      <c r="E272" s="901"/>
      <c r="F272" s="3"/>
    </row>
    <row r="273" spans="1:6" ht="15" customHeight="1">
      <c r="A273" t="s">
        <v>1817</v>
      </c>
      <c r="B273" t="s">
        <v>1818</v>
      </c>
      <c r="C273" s="710"/>
      <c r="D273" s="710"/>
      <c r="E273" s="901"/>
      <c r="F273" s="3"/>
    </row>
    <row r="274" spans="1:6" ht="15" customHeight="1">
      <c r="A274" t="s">
        <v>1819</v>
      </c>
      <c r="B274" t="s">
        <v>1820</v>
      </c>
      <c r="C274" s="710" t="s">
        <v>652</v>
      </c>
      <c r="D274" s="710" t="s">
        <v>30</v>
      </c>
      <c r="E274" s="901"/>
      <c r="F274" s="3"/>
    </row>
    <row r="275" spans="1:6" ht="15" customHeight="1">
      <c r="A275" t="s">
        <v>1821</v>
      </c>
      <c r="B275" t="s">
        <v>1822</v>
      </c>
      <c r="C275" s="710" t="s">
        <v>652</v>
      </c>
      <c r="D275" s="710" t="s">
        <v>26</v>
      </c>
      <c r="E275" s="901"/>
      <c r="F275" s="3"/>
    </row>
    <row r="276" spans="1:6" ht="15" customHeight="1">
      <c r="A276" t="s">
        <v>1823</v>
      </c>
      <c r="B276" t="s">
        <v>1824</v>
      </c>
      <c r="C276" s="710" t="s">
        <v>652</v>
      </c>
      <c r="D276" s="710" t="s">
        <v>34</v>
      </c>
      <c r="E276" s="901"/>
      <c r="F276" s="3"/>
    </row>
    <row r="277" spans="1:6" ht="15" customHeight="1">
      <c r="A277" t="s">
        <v>1825</v>
      </c>
      <c r="B277" t="s">
        <v>1826</v>
      </c>
      <c r="C277" s="710" t="s">
        <v>652</v>
      </c>
      <c r="D277" s="710" t="s">
        <v>26</v>
      </c>
      <c r="E277" s="901"/>
      <c r="F277" s="3"/>
    </row>
    <row r="278" spans="1:6" ht="15" customHeight="1">
      <c r="A278" t="s">
        <v>1827</v>
      </c>
      <c r="B278" t="s">
        <v>1828</v>
      </c>
      <c r="C278" s="710" t="s">
        <v>652</v>
      </c>
      <c r="D278" s="710" t="s">
        <v>31</v>
      </c>
      <c r="E278" s="901"/>
      <c r="F278" s="3"/>
    </row>
    <row r="279" spans="1:6" ht="15" customHeight="1">
      <c r="A279" t="s">
        <v>1829</v>
      </c>
      <c r="B279" t="s">
        <v>1830</v>
      </c>
      <c r="C279" s="710" t="s">
        <v>652</v>
      </c>
      <c r="D279" s="710" t="s">
        <v>31</v>
      </c>
      <c r="E279" s="901"/>
      <c r="F279" s="3"/>
    </row>
    <row r="280" spans="1:6" ht="15" customHeight="1">
      <c r="A280" t="s">
        <v>1831</v>
      </c>
      <c r="B280" t="s">
        <v>1832</v>
      </c>
      <c r="C280" s="710" t="s">
        <v>652</v>
      </c>
      <c r="D280" s="710" t="s">
        <v>38</v>
      </c>
      <c r="E280" s="901"/>
      <c r="F280" s="3"/>
    </row>
    <row r="281" spans="1:6" ht="15" customHeight="1">
      <c r="A281" t="s">
        <v>1833</v>
      </c>
      <c r="B281" t="s">
        <v>1834</v>
      </c>
      <c r="C281" s="710" t="s">
        <v>652</v>
      </c>
      <c r="D281" s="710" t="s">
        <v>26</v>
      </c>
      <c r="E281" s="901"/>
      <c r="F281" s="3"/>
    </row>
    <row r="282" spans="1:6" ht="15" customHeight="1">
      <c r="A282" t="s">
        <v>1835</v>
      </c>
      <c r="B282" t="s">
        <v>1836</v>
      </c>
      <c r="C282" s="710" t="s">
        <v>652</v>
      </c>
      <c r="D282" s="710" t="s">
        <v>26</v>
      </c>
      <c r="E282" s="901"/>
      <c r="F282" s="3"/>
    </row>
    <row r="283" spans="1:6" ht="15" customHeight="1">
      <c r="A283" t="s">
        <v>1838</v>
      </c>
      <c r="B283" t="s">
        <v>1839</v>
      </c>
      <c r="C283" s="710" t="s">
        <v>652</v>
      </c>
      <c r="D283" s="710" t="s">
        <v>26</v>
      </c>
      <c r="E283" s="901"/>
      <c r="F283" s="3"/>
    </row>
    <row r="284" spans="1:6" ht="15" customHeight="1">
      <c r="A284" t="s">
        <v>1840</v>
      </c>
      <c r="B284" t="s">
        <v>1841</v>
      </c>
      <c r="C284" s="710" t="s">
        <v>652</v>
      </c>
      <c r="D284" s="710" t="s">
        <v>26</v>
      </c>
      <c r="E284" s="901"/>
      <c r="F284" s="3"/>
    </row>
    <row r="285" spans="1:6" ht="15" customHeight="1">
      <c r="A285" t="s">
        <v>1844</v>
      </c>
      <c r="B285" t="s">
        <v>1845</v>
      </c>
      <c r="C285" s="710" t="s">
        <v>652</v>
      </c>
      <c r="D285" s="710" t="s">
        <v>26</v>
      </c>
      <c r="E285" s="901"/>
      <c r="F285" s="3"/>
    </row>
    <row r="286" spans="1:6" ht="15" customHeight="1">
      <c r="A286" t="s">
        <v>1846</v>
      </c>
      <c r="B286" t="s">
        <v>1847</v>
      </c>
      <c r="C286" s="710" t="s">
        <v>652</v>
      </c>
      <c r="D286" s="710" t="s">
        <v>26</v>
      </c>
      <c r="E286" s="901"/>
      <c r="F286" s="3"/>
    </row>
    <row r="287" spans="1:6" ht="15" customHeight="1">
      <c r="A287" t="s">
        <v>1848</v>
      </c>
      <c r="B287" t="s">
        <v>1849</v>
      </c>
      <c r="C287" s="710" t="s">
        <v>652</v>
      </c>
      <c r="D287" s="710" t="s">
        <v>26</v>
      </c>
      <c r="E287" s="901"/>
      <c r="F287" s="3"/>
    </row>
    <row r="288" spans="1:6" ht="15" customHeight="1">
      <c r="A288" t="s">
        <v>1850</v>
      </c>
      <c r="B288" t="s">
        <v>1851</v>
      </c>
      <c r="C288" s="710" t="s">
        <v>652</v>
      </c>
      <c r="D288" s="710" t="s">
        <v>26</v>
      </c>
      <c r="E288" s="901"/>
      <c r="F288" s="3"/>
    </row>
    <row r="289" spans="1:6" ht="15" customHeight="1">
      <c r="A289" t="s">
        <v>1856</v>
      </c>
      <c r="B289" t="s">
        <v>1857</v>
      </c>
      <c r="C289" s="710" t="s">
        <v>652</v>
      </c>
      <c r="D289" s="710" t="s">
        <v>36</v>
      </c>
      <c r="E289" s="901"/>
      <c r="F289" s="3"/>
    </row>
    <row r="290" spans="1:6" ht="15" customHeight="1">
      <c r="A290" t="s">
        <v>1858</v>
      </c>
      <c r="B290" t="s">
        <v>1859</v>
      </c>
      <c r="C290" s="710" t="s">
        <v>652</v>
      </c>
      <c r="D290" s="710" t="s">
        <v>36</v>
      </c>
      <c r="E290" s="710"/>
      <c r="F290" s="3"/>
    </row>
    <row r="291" spans="1:6" ht="15" customHeight="1">
      <c r="A291" t="s">
        <v>1860</v>
      </c>
      <c r="B291" t="s">
        <v>1861</v>
      </c>
      <c r="C291" s="710" t="s">
        <v>652</v>
      </c>
      <c r="D291" s="710" t="s">
        <v>36</v>
      </c>
      <c r="E291" s="710"/>
      <c r="F291" s="3"/>
    </row>
    <row r="292" spans="1:6" ht="15" customHeight="1">
      <c r="A292" t="s">
        <v>1862</v>
      </c>
      <c r="B292" t="s">
        <v>1863</v>
      </c>
      <c r="C292" s="710" t="s">
        <v>652</v>
      </c>
      <c r="D292" s="710" t="s">
        <v>36</v>
      </c>
      <c r="E292" s="710"/>
      <c r="F292" s="3"/>
    </row>
    <row r="293" spans="1:6" ht="15" customHeight="1">
      <c r="A293" t="s">
        <v>1864</v>
      </c>
      <c r="B293" t="s">
        <v>1865</v>
      </c>
      <c r="C293" s="710" t="s">
        <v>652</v>
      </c>
      <c r="D293" s="710" t="s">
        <v>26</v>
      </c>
      <c r="E293" s="710"/>
      <c r="F293" s="3"/>
    </row>
    <row r="294" spans="1:6" ht="15" customHeight="1">
      <c r="A294" t="s">
        <v>1866</v>
      </c>
      <c r="B294" t="s">
        <v>1867</v>
      </c>
      <c r="C294" s="710" t="s">
        <v>652</v>
      </c>
      <c r="D294" s="710" t="s">
        <v>26</v>
      </c>
      <c r="E294" s="710"/>
      <c r="F294" s="3"/>
    </row>
    <row r="295" spans="1:6" ht="15" customHeight="1">
      <c r="A295" t="s">
        <v>1868</v>
      </c>
      <c r="B295" t="s">
        <v>1869</v>
      </c>
      <c r="C295" s="710" t="s">
        <v>652</v>
      </c>
      <c r="D295" s="710" t="s">
        <v>26</v>
      </c>
      <c r="E295" s="710"/>
      <c r="F295" s="3"/>
    </row>
    <row r="296" spans="1:6" ht="15" customHeight="1">
      <c r="A296" t="s">
        <v>1870</v>
      </c>
      <c r="B296" t="s">
        <v>1871</v>
      </c>
      <c r="C296" s="710" t="s">
        <v>652</v>
      </c>
      <c r="D296" s="710" t="s">
        <v>26</v>
      </c>
      <c r="E296" s="710"/>
      <c r="F296" s="3"/>
    </row>
    <row r="297" spans="1:6" ht="15" customHeight="1">
      <c r="A297" t="s">
        <v>1872</v>
      </c>
      <c r="B297" t="s">
        <v>1873</v>
      </c>
      <c r="C297" s="710"/>
      <c r="D297" s="710"/>
      <c r="E297" s="710"/>
      <c r="F297" s="3"/>
    </row>
    <row r="298" spans="1:6" ht="15" customHeight="1">
      <c r="A298" t="s">
        <v>1874</v>
      </c>
      <c r="B298" t="s">
        <v>1875</v>
      </c>
      <c r="C298" s="710" t="s">
        <v>652</v>
      </c>
      <c r="D298" s="710" t="s">
        <v>26</v>
      </c>
      <c r="E298" s="710"/>
      <c r="F298" s="3"/>
    </row>
    <row r="299" spans="1:6" ht="15" customHeight="1">
      <c r="A299" t="s">
        <v>1876</v>
      </c>
      <c r="B299" t="s">
        <v>1877</v>
      </c>
      <c r="C299" s="710" t="s">
        <v>652</v>
      </c>
      <c r="D299" s="710" t="s">
        <v>36</v>
      </c>
      <c r="E299" s="710"/>
      <c r="F299" s="3"/>
    </row>
    <row r="300" spans="1:6" ht="15" customHeight="1">
      <c r="A300" t="s">
        <v>1880</v>
      </c>
      <c r="B300" t="s">
        <v>1881</v>
      </c>
      <c r="C300" s="710" t="s">
        <v>652</v>
      </c>
      <c r="D300" s="710" t="s">
        <v>26</v>
      </c>
      <c r="E300" s="710"/>
      <c r="F300" s="3"/>
    </row>
    <row r="301" spans="1:6" ht="15" customHeight="1">
      <c r="A301" t="s">
        <v>1878</v>
      </c>
      <c r="B301" t="s">
        <v>1879</v>
      </c>
      <c r="C301" s="710" t="s">
        <v>652</v>
      </c>
      <c r="D301" s="710" t="s">
        <v>36</v>
      </c>
      <c r="E301" s="710"/>
      <c r="F301" s="3"/>
    </row>
    <row r="302" spans="1:6" ht="15" customHeight="1">
      <c r="A302" t="s">
        <v>1882</v>
      </c>
      <c r="B302" t="s">
        <v>1883</v>
      </c>
      <c r="C302" s="710" t="s">
        <v>652</v>
      </c>
      <c r="D302" s="710" t="s">
        <v>36</v>
      </c>
      <c r="E302" s="710"/>
      <c r="F302" s="3"/>
    </row>
    <row r="303" spans="1:6" ht="15" customHeight="1">
      <c r="A303" t="s">
        <v>1884</v>
      </c>
      <c r="B303" t="s">
        <v>1885</v>
      </c>
      <c r="C303" s="710" t="s">
        <v>652</v>
      </c>
      <c r="D303" s="710" t="s">
        <v>36</v>
      </c>
      <c r="E303" s="710"/>
      <c r="F303" s="3"/>
    </row>
    <row r="304" spans="1:6" ht="15" customHeight="1">
      <c r="A304" t="s">
        <v>1886</v>
      </c>
      <c r="B304" t="s">
        <v>1887</v>
      </c>
      <c r="C304" s="710" t="s">
        <v>652</v>
      </c>
      <c r="D304" s="710" t="s">
        <v>36</v>
      </c>
      <c r="E304" s="710"/>
      <c r="F304" s="3"/>
    </row>
    <row r="305" spans="1:6" ht="15" customHeight="1">
      <c r="A305" t="s">
        <v>1888</v>
      </c>
      <c r="B305" t="s">
        <v>1889</v>
      </c>
      <c r="C305" s="710"/>
      <c r="D305" s="710"/>
      <c r="E305" s="710"/>
      <c r="F305" s="3"/>
    </row>
    <row r="306" spans="1:6" ht="15" customHeight="1">
      <c r="A306" t="s">
        <v>1890</v>
      </c>
      <c r="B306" t="s">
        <v>1891</v>
      </c>
      <c r="C306" s="710"/>
      <c r="D306" s="710"/>
      <c r="E306" s="710"/>
      <c r="F306" s="3"/>
    </row>
    <row r="307" spans="1:6" ht="15" customHeight="1">
      <c r="A307" t="s">
        <v>1892</v>
      </c>
      <c r="B307" t="s">
        <v>1893</v>
      </c>
      <c r="C307" s="710" t="s">
        <v>652</v>
      </c>
      <c r="D307" s="710" t="s">
        <v>36</v>
      </c>
      <c r="E307" s="710"/>
      <c r="F307" s="3"/>
    </row>
    <row r="308" spans="1:6" ht="15" customHeight="1">
      <c r="A308" t="s">
        <v>1896</v>
      </c>
      <c r="B308" t="s">
        <v>1897</v>
      </c>
      <c r="C308" s="710" t="s">
        <v>652</v>
      </c>
      <c r="D308" s="710" t="s">
        <v>36</v>
      </c>
      <c r="E308" s="710"/>
      <c r="F308" s="3"/>
    </row>
    <row r="309" spans="1:6" ht="15" customHeight="1">
      <c r="A309" t="s">
        <v>1898</v>
      </c>
      <c r="B309" t="s">
        <v>1899</v>
      </c>
      <c r="C309" s="710" t="s">
        <v>652</v>
      </c>
      <c r="D309" s="710" t="s">
        <v>36</v>
      </c>
      <c r="E309" s="710"/>
      <c r="F309" s="3"/>
    </row>
    <row r="310" spans="1:6" ht="15" customHeight="1">
      <c r="A310" t="s">
        <v>1900</v>
      </c>
      <c r="B310" t="s">
        <v>1901</v>
      </c>
      <c r="C310" s="710"/>
      <c r="D310" s="710"/>
      <c r="E310" s="710"/>
      <c r="F310" s="3"/>
    </row>
    <row r="311" spans="1:6" ht="15" customHeight="1">
      <c r="A311" t="s">
        <v>1902</v>
      </c>
      <c r="B311" t="s">
        <v>1903</v>
      </c>
      <c r="C311" s="710" t="s">
        <v>652</v>
      </c>
      <c r="D311" s="710" t="s">
        <v>36</v>
      </c>
      <c r="E311" s="710"/>
      <c r="F311" s="3"/>
    </row>
    <row r="312" spans="1:6" ht="15" customHeight="1">
      <c r="A312" s="937" t="s">
        <v>1904</v>
      </c>
      <c r="B312" s="937" t="s">
        <v>1905</v>
      </c>
      <c r="C312" s="938" t="s">
        <v>652</v>
      </c>
      <c r="D312" s="938" t="s">
        <v>26</v>
      </c>
      <c r="E312" s="938"/>
      <c r="F312" s="3"/>
    </row>
    <row r="313" spans="1:6" ht="15" customHeight="1">
      <c r="A313" s="937" t="s">
        <v>1906</v>
      </c>
      <c r="B313" s="937" t="s">
        <v>1907</v>
      </c>
      <c r="C313" s="938" t="s">
        <v>652</v>
      </c>
      <c r="D313" s="938" t="s">
        <v>26</v>
      </c>
      <c r="E313" s="938"/>
      <c r="F313" s="3"/>
    </row>
    <row r="314" spans="1:6" ht="15" customHeight="1">
      <c r="A314" t="s">
        <v>1910</v>
      </c>
      <c r="B314" t="s">
        <v>1911</v>
      </c>
      <c r="C314" s="710" t="s">
        <v>652</v>
      </c>
      <c r="D314" s="710" t="s">
        <v>21</v>
      </c>
      <c r="E314" s="710"/>
      <c r="F314" s="3"/>
    </row>
    <row r="315" spans="1:6" ht="15" customHeight="1">
      <c r="A315" t="s">
        <v>1912</v>
      </c>
      <c r="B315" t="s">
        <v>1913</v>
      </c>
      <c r="C315" s="710" t="s">
        <v>652</v>
      </c>
      <c r="D315" s="710" t="s">
        <v>21</v>
      </c>
      <c r="E315" s="710"/>
      <c r="F315" s="3"/>
    </row>
    <row r="316" spans="1:6" ht="15" customHeight="1">
      <c r="A316" t="s">
        <v>1914</v>
      </c>
      <c r="B316" t="s">
        <v>1915</v>
      </c>
      <c r="C316" s="710" t="s">
        <v>652</v>
      </c>
      <c r="D316" s="710" t="s">
        <v>21</v>
      </c>
      <c r="E316" s="710"/>
      <c r="F316" s="3"/>
    </row>
    <row r="317" spans="1:6" ht="15" customHeight="1">
      <c r="A317" t="s">
        <v>1916</v>
      </c>
      <c r="B317" t="s">
        <v>1917</v>
      </c>
      <c r="C317" s="710" t="s">
        <v>652</v>
      </c>
      <c r="D317" s="710" t="s">
        <v>21</v>
      </c>
      <c r="E317" s="710"/>
      <c r="F317" s="3"/>
    </row>
    <row r="318" spans="1:6" ht="15" customHeight="1">
      <c r="A318" t="s">
        <v>1918</v>
      </c>
      <c r="B318" t="s">
        <v>1919</v>
      </c>
      <c r="C318" s="710" t="s">
        <v>652</v>
      </c>
      <c r="D318" s="710" t="s">
        <v>21</v>
      </c>
      <c r="E318" s="710"/>
      <c r="F318" s="3"/>
    </row>
    <row r="319" spans="1:6" ht="15" customHeight="1">
      <c r="A319" t="s">
        <v>1920</v>
      </c>
      <c r="B319" t="s">
        <v>1921</v>
      </c>
      <c r="C319" s="710" t="s">
        <v>652</v>
      </c>
      <c r="D319" s="710" t="s">
        <v>21</v>
      </c>
      <c r="E319" s="710"/>
      <c r="F319" s="3"/>
    </row>
    <row r="320" spans="1:6" ht="15" customHeight="1">
      <c r="A320" t="s">
        <v>1924</v>
      </c>
      <c r="B320" t="s">
        <v>1925</v>
      </c>
      <c r="C320" s="710" t="s">
        <v>652</v>
      </c>
      <c r="D320" s="710" t="s">
        <v>42</v>
      </c>
      <c r="E320" s="710"/>
      <c r="F320" s="3"/>
    </row>
    <row r="321" spans="1:6" ht="15" customHeight="1">
      <c r="A321" t="s">
        <v>1928</v>
      </c>
      <c r="B321" t="s">
        <v>1929</v>
      </c>
      <c r="C321" s="710" t="s">
        <v>652</v>
      </c>
      <c r="D321" s="710" t="s">
        <v>42</v>
      </c>
      <c r="E321" s="710"/>
      <c r="F321" s="3"/>
    </row>
    <row r="322" spans="1:6" ht="15" customHeight="1">
      <c r="A322" t="s">
        <v>1930</v>
      </c>
      <c r="B322" t="s">
        <v>1931</v>
      </c>
      <c r="C322" s="710" t="s">
        <v>652</v>
      </c>
      <c r="D322" s="710" t="s">
        <v>44</v>
      </c>
      <c r="E322" s="710"/>
      <c r="F322" s="3"/>
    </row>
    <row r="323" spans="1:6" ht="15" customHeight="1">
      <c r="A323" t="s">
        <v>1934</v>
      </c>
      <c r="B323" t="s">
        <v>1935</v>
      </c>
      <c r="C323" s="710" t="s">
        <v>652</v>
      </c>
      <c r="D323" s="710" t="s">
        <v>44</v>
      </c>
      <c r="E323" s="710"/>
      <c r="F323" s="3"/>
    </row>
    <row r="324" spans="1:6" ht="15" customHeight="1">
      <c r="A324" t="s">
        <v>1936</v>
      </c>
      <c r="B324" t="s">
        <v>1937</v>
      </c>
      <c r="C324" s="710" t="s">
        <v>652</v>
      </c>
      <c r="D324" s="710" t="s">
        <v>44</v>
      </c>
      <c r="E324" s="710"/>
      <c r="F324" s="3"/>
    </row>
    <row r="325" spans="1:6" ht="15" customHeight="1">
      <c r="A325" t="s">
        <v>1940</v>
      </c>
      <c r="B325" t="s">
        <v>1941</v>
      </c>
      <c r="C325" s="710" t="s">
        <v>652</v>
      </c>
      <c r="D325" s="710" t="s">
        <v>46</v>
      </c>
      <c r="E325" s="710"/>
      <c r="F325" s="3"/>
    </row>
    <row r="326" spans="1:6" ht="15" customHeight="1">
      <c r="A326" t="s">
        <v>1942</v>
      </c>
      <c r="B326" t="s">
        <v>1943</v>
      </c>
      <c r="C326" s="710" t="s">
        <v>652</v>
      </c>
      <c r="D326" s="710" t="s">
        <v>46</v>
      </c>
      <c r="E326" s="710"/>
      <c r="F326" s="3"/>
    </row>
    <row r="327" spans="1:6" ht="15" customHeight="1">
      <c r="A327" t="s">
        <v>1946</v>
      </c>
      <c r="B327" t="s">
        <v>1947</v>
      </c>
      <c r="C327" s="710" t="s">
        <v>652</v>
      </c>
      <c r="D327" s="710" t="s">
        <v>46</v>
      </c>
      <c r="E327" s="710"/>
      <c r="F327" s="3"/>
    </row>
    <row r="328" spans="1:6" ht="15" customHeight="1">
      <c r="A328" t="s">
        <v>1948</v>
      </c>
      <c r="B328" t="s">
        <v>1949</v>
      </c>
      <c r="C328" s="710" t="s">
        <v>652</v>
      </c>
      <c r="D328" s="710" t="s">
        <v>46</v>
      </c>
      <c r="E328" s="710"/>
      <c r="F328" s="3"/>
    </row>
    <row r="329" spans="1:6" ht="15" customHeight="1">
      <c r="A329" t="s">
        <v>1950</v>
      </c>
      <c r="B329" t="s">
        <v>1951</v>
      </c>
      <c r="C329" s="710" t="s">
        <v>652</v>
      </c>
      <c r="D329" s="710" t="s">
        <v>46</v>
      </c>
      <c r="E329" s="710"/>
      <c r="F329" s="3"/>
    </row>
    <row r="330" spans="1:6" ht="15" customHeight="1">
      <c r="A330" t="s">
        <v>1952</v>
      </c>
      <c r="B330" t="s">
        <v>1953</v>
      </c>
      <c r="C330" s="710" t="s">
        <v>652</v>
      </c>
      <c r="D330" s="710" t="s">
        <v>46</v>
      </c>
      <c r="E330" s="710"/>
      <c r="F330" s="3"/>
    </row>
    <row r="331" spans="1:6" ht="15" customHeight="1">
      <c r="A331" t="s">
        <v>1954</v>
      </c>
      <c r="B331" t="s">
        <v>1955</v>
      </c>
      <c r="C331" s="710" t="s">
        <v>652</v>
      </c>
      <c r="D331" s="710" t="s">
        <v>46</v>
      </c>
      <c r="E331" s="710"/>
      <c r="F331" s="3"/>
    </row>
    <row r="332" spans="1:6" ht="15" customHeight="1">
      <c r="A332" t="s">
        <v>1956</v>
      </c>
      <c r="B332" t="s">
        <v>1957</v>
      </c>
      <c r="C332" s="710" t="s">
        <v>652</v>
      </c>
      <c r="D332" s="710" t="s">
        <v>54</v>
      </c>
      <c r="E332" s="710"/>
      <c r="F332" s="3"/>
    </row>
    <row r="333" spans="1:6" ht="15" customHeight="1">
      <c r="A333" t="s">
        <v>1958</v>
      </c>
      <c r="B333" t="s">
        <v>1959</v>
      </c>
      <c r="C333" s="710" t="s">
        <v>652</v>
      </c>
      <c r="D333" s="710" t="s">
        <v>54</v>
      </c>
      <c r="E333" s="710"/>
      <c r="F333" s="3"/>
    </row>
    <row r="334" spans="1:6" ht="15" customHeight="1">
      <c r="A334" t="s">
        <v>1960</v>
      </c>
      <c r="B334" t="s">
        <v>1961</v>
      </c>
      <c r="C334" s="710" t="s">
        <v>652</v>
      </c>
      <c r="D334" s="710" t="s">
        <v>54</v>
      </c>
      <c r="E334" s="710"/>
      <c r="F334" s="3"/>
    </row>
    <row r="335" spans="1:6" ht="15" customHeight="1">
      <c r="A335" t="s">
        <v>1962</v>
      </c>
      <c r="B335" t="s">
        <v>1963</v>
      </c>
      <c r="C335" s="710" t="s">
        <v>652</v>
      </c>
      <c r="D335" s="710" t="s">
        <v>52</v>
      </c>
      <c r="E335" s="710"/>
      <c r="F335" s="3"/>
    </row>
    <row r="336" spans="1:6" ht="15" customHeight="1">
      <c r="A336" t="s">
        <v>1964</v>
      </c>
      <c r="B336" t="s">
        <v>1965</v>
      </c>
      <c r="C336" s="710" t="s">
        <v>652</v>
      </c>
      <c r="D336" s="710" t="s">
        <v>52</v>
      </c>
      <c r="E336" s="710"/>
      <c r="F336" s="3"/>
    </row>
    <row r="337" spans="1:6" ht="15" customHeight="1">
      <c r="A337" t="s">
        <v>1966</v>
      </c>
      <c r="B337" t="s">
        <v>1967</v>
      </c>
      <c r="C337" s="710" t="s">
        <v>652</v>
      </c>
      <c r="D337" s="710" t="s">
        <v>52</v>
      </c>
      <c r="E337" s="710"/>
      <c r="F337" s="3"/>
    </row>
    <row r="338" spans="1:6" ht="15" customHeight="1">
      <c r="A338" t="s">
        <v>1968</v>
      </c>
      <c r="B338" t="s">
        <v>1969</v>
      </c>
      <c r="C338" s="710" t="s">
        <v>652</v>
      </c>
      <c r="D338" s="710" t="s">
        <v>52</v>
      </c>
      <c r="E338" s="710"/>
      <c r="F338" s="3"/>
    </row>
    <row r="339" spans="1:6" ht="15" customHeight="1">
      <c r="A339" t="s">
        <v>1970</v>
      </c>
      <c r="B339" t="s">
        <v>1971</v>
      </c>
      <c r="C339" s="710" t="s">
        <v>652</v>
      </c>
      <c r="D339" s="710" t="s">
        <v>38</v>
      </c>
      <c r="E339" s="710"/>
      <c r="F339" s="3"/>
    </row>
    <row r="340" spans="1:6" ht="15" customHeight="1">
      <c r="A340" t="s">
        <v>1974</v>
      </c>
      <c r="B340" t="s">
        <v>1975</v>
      </c>
      <c r="C340" s="710"/>
      <c r="D340" s="710"/>
      <c r="E340" s="710"/>
      <c r="F340" s="3"/>
    </row>
    <row r="341" spans="1:6" ht="15" customHeight="1">
      <c r="A341" s="937" t="s">
        <v>1976</v>
      </c>
      <c r="B341" s="937" t="s">
        <v>1977</v>
      </c>
      <c r="C341" s="938" t="s">
        <v>652</v>
      </c>
      <c r="D341" s="938" t="s">
        <v>21</v>
      </c>
      <c r="E341" s="938"/>
      <c r="F341" s="3"/>
    </row>
    <row r="342" spans="1:6" ht="15" customHeight="1">
      <c r="A342" t="s">
        <v>1978</v>
      </c>
      <c r="B342" t="s">
        <v>1979</v>
      </c>
      <c r="C342" s="710" t="s">
        <v>652</v>
      </c>
      <c r="D342" s="710" t="s">
        <v>28</v>
      </c>
      <c r="E342" s="710"/>
      <c r="F342" s="3"/>
    </row>
    <row r="343" spans="1:6" ht="15" customHeight="1">
      <c r="A343" t="s">
        <v>1980</v>
      </c>
      <c r="B343" t="s">
        <v>1981</v>
      </c>
      <c r="C343" s="710" t="s">
        <v>652</v>
      </c>
      <c r="D343" s="710" t="s">
        <v>28</v>
      </c>
      <c r="E343" s="710"/>
      <c r="F343" s="3"/>
    </row>
    <row r="344" spans="1:6" ht="15" customHeight="1">
      <c r="A344" t="s">
        <v>1982</v>
      </c>
      <c r="B344" t="s">
        <v>1983</v>
      </c>
      <c r="C344" s="710" t="s">
        <v>652</v>
      </c>
      <c r="D344" s="710" t="s">
        <v>28</v>
      </c>
      <c r="E344" s="710"/>
      <c r="F344" s="3"/>
    </row>
    <row r="345" spans="1:6" ht="15" customHeight="1">
      <c r="A345" t="s">
        <v>1984</v>
      </c>
      <c r="B345" t="s">
        <v>1985</v>
      </c>
      <c r="C345" s="710" t="s">
        <v>652</v>
      </c>
      <c r="D345" s="710" t="s">
        <v>56</v>
      </c>
      <c r="E345" s="710"/>
      <c r="F345" s="3"/>
    </row>
    <row r="346" spans="1:6" ht="14.4" customHeight="1">
      <c r="A346" t="s">
        <v>1986</v>
      </c>
      <c r="B346" t="s">
        <v>1987</v>
      </c>
      <c r="C346" s="710" t="s">
        <v>652</v>
      </c>
      <c r="D346" s="710" t="s">
        <v>32</v>
      </c>
      <c r="E346" s="710"/>
      <c r="F346" s="3"/>
    </row>
    <row r="347" spans="1:6" ht="15" customHeight="1">
      <c r="A347" t="s">
        <v>1994</v>
      </c>
      <c r="B347" t="s">
        <v>1995</v>
      </c>
      <c r="C347" s="710" t="s">
        <v>652</v>
      </c>
      <c r="D347" s="710" t="s">
        <v>38</v>
      </c>
      <c r="E347" s="710"/>
      <c r="F347" s="3"/>
    </row>
    <row r="348" spans="1:6" ht="15" customHeight="1">
      <c r="A348" t="s">
        <v>1996</v>
      </c>
      <c r="B348" t="s">
        <v>1997</v>
      </c>
      <c r="C348" s="710" t="s">
        <v>652</v>
      </c>
      <c r="D348" s="710" t="s">
        <v>56</v>
      </c>
      <c r="E348" s="710"/>
      <c r="F348" s="3"/>
    </row>
    <row r="349" spans="1:6" ht="15" customHeight="1">
      <c r="A349" t="s">
        <v>1998</v>
      </c>
      <c r="B349" t="s">
        <v>1999</v>
      </c>
      <c r="C349" s="710" t="s">
        <v>652</v>
      </c>
      <c r="D349" s="710" t="s">
        <v>56</v>
      </c>
      <c r="E349" s="710"/>
      <c r="F349" s="3"/>
    </row>
    <row r="350" spans="1:6" ht="15" customHeight="1">
      <c r="A350" t="s">
        <v>2000</v>
      </c>
      <c r="B350" t="s">
        <v>2001</v>
      </c>
      <c r="C350" s="710" t="s">
        <v>652</v>
      </c>
      <c r="D350" s="710" t="s">
        <v>56</v>
      </c>
      <c r="E350" s="710"/>
      <c r="F350" s="3"/>
    </row>
    <row r="351" spans="1:6" ht="15" customHeight="1">
      <c r="A351" t="s">
        <v>2002</v>
      </c>
      <c r="B351" t="s">
        <v>2003</v>
      </c>
      <c r="C351" s="710" t="s">
        <v>652</v>
      </c>
      <c r="D351" s="710" t="s">
        <v>56</v>
      </c>
      <c r="E351" s="710"/>
      <c r="F351" s="3"/>
    </row>
    <row r="352" spans="1:6" ht="15" customHeight="1">
      <c r="A352" t="s">
        <v>2006</v>
      </c>
      <c r="B352" t="s">
        <v>2007</v>
      </c>
      <c r="C352" s="710" t="s">
        <v>652</v>
      </c>
      <c r="D352" s="710" t="s">
        <v>56</v>
      </c>
      <c r="E352" s="710"/>
      <c r="F352" s="3"/>
    </row>
    <row r="353" spans="1:6" ht="15" customHeight="1">
      <c r="A353" t="s">
        <v>2008</v>
      </c>
      <c r="B353" t="s">
        <v>2009</v>
      </c>
      <c r="C353" s="710" t="s">
        <v>652</v>
      </c>
      <c r="D353" s="710" t="s">
        <v>56</v>
      </c>
      <c r="E353" s="710"/>
      <c r="F353" s="3"/>
    </row>
    <row r="354" spans="1:6" ht="15" customHeight="1">
      <c r="A354" t="s">
        <v>2010</v>
      </c>
      <c r="B354" t="s">
        <v>2011</v>
      </c>
      <c r="C354" s="710" t="s">
        <v>652</v>
      </c>
      <c r="D354" s="710" t="s">
        <v>56</v>
      </c>
      <c r="E354" s="710"/>
      <c r="F354" s="3"/>
    </row>
    <row r="355" spans="1:6" ht="15" customHeight="1">
      <c r="A355" t="s">
        <v>2012</v>
      </c>
      <c r="B355" t="s">
        <v>2013</v>
      </c>
      <c r="C355" s="710" t="s">
        <v>652</v>
      </c>
      <c r="D355" s="710" t="s">
        <v>56</v>
      </c>
      <c r="E355" s="710"/>
      <c r="F355" s="1"/>
    </row>
    <row r="356" spans="1:6" ht="15" customHeight="1">
      <c r="A356" t="s">
        <v>2014</v>
      </c>
      <c r="B356" t="s">
        <v>2015</v>
      </c>
      <c r="C356" s="710" t="s">
        <v>652</v>
      </c>
      <c r="D356" s="710" t="s">
        <v>56</v>
      </c>
      <c r="E356" s="710"/>
      <c r="F356" s="3"/>
    </row>
    <row r="357" spans="1:6" ht="15" customHeight="1">
      <c r="A357" t="s">
        <v>2016</v>
      </c>
      <c r="B357" t="s">
        <v>2017</v>
      </c>
      <c r="C357" s="710" t="s">
        <v>652</v>
      </c>
      <c r="D357" s="710" t="s">
        <v>56</v>
      </c>
      <c r="E357" s="710"/>
      <c r="F357" s="3"/>
    </row>
    <row r="358" spans="1:6" ht="15" customHeight="1">
      <c r="A358" t="s">
        <v>2020</v>
      </c>
      <c r="B358" t="s">
        <v>2021</v>
      </c>
      <c r="C358" s="710"/>
      <c r="D358" s="710"/>
      <c r="E358" s="710"/>
      <c r="F358" s="3"/>
    </row>
    <row r="359" spans="1:6" ht="15" customHeight="1">
      <c r="A359" t="s">
        <v>2022</v>
      </c>
      <c r="B359" t="s">
        <v>2023</v>
      </c>
      <c r="C359" s="710" t="s">
        <v>652</v>
      </c>
      <c r="D359" s="710" t="s">
        <v>70</v>
      </c>
      <c r="E359" s="710"/>
      <c r="F359" s="3"/>
    </row>
    <row r="360" spans="1:6" ht="15" customHeight="1">
      <c r="A360" t="s">
        <v>2024</v>
      </c>
      <c r="B360" t="s">
        <v>2025</v>
      </c>
      <c r="C360" s="710" t="s">
        <v>652</v>
      </c>
      <c r="D360" s="710" t="s">
        <v>70</v>
      </c>
      <c r="E360" s="710"/>
      <c r="F360" s="3"/>
    </row>
    <row r="361" spans="1:6" ht="15" customHeight="1">
      <c r="A361" t="s">
        <v>2026</v>
      </c>
      <c r="B361" t="s">
        <v>2027</v>
      </c>
      <c r="C361" s="710" t="s">
        <v>652</v>
      </c>
      <c r="D361" s="710" t="s">
        <v>70</v>
      </c>
      <c r="E361" s="710"/>
      <c r="F361" s="3"/>
    </row>
    <row r="362" spans="1:6" ht="15" customHeight="1">
      <c r="A362" t="s">
        <v>2028</v>
      </c>
      <c r="B362" t="s">
        <v>2029</v>
      </c>
      <c r="C362" s="710" t="s">
        <v>652</v>
      </c>
      <c r="D362" s="710" t="s">
        <v>71</v>
      </c>
      <c r="E362" s="710"/>
      <c r="F362" s="3"/>
    </row>
    <row r="363" spans="1:6" ht="15" customHeight="1">
      <c r="A363" t="s">
        <v>2030</v>
      </c>
      <c r="B363" t="s">
        <v>2031</v>
      </c>
      <c r="C363" s="710" t="s">
        <v>652</v>
      </c>
      <c r="D363" s="710" t="s">
        <v>70</v>
      </c>
      <c r="E363" s="710"/>
      <c r="F363" s="3"/>
    </row>
    <row r="364" spans="1:6" ht="15" customHeight="1">
      <c r="A364" t="s">
        <v>2032</v>
      </c>
      <c r="B364" t="s">
        <v>2033</v>
      </c>
      <c r="C364" s="710" t="s">
        <v>652</v>
      </c>
      <c r="D364" s="710" t="s">
        <v>66</v>
      </c>
      <c r="E364" s="710"/>
      <c r="F364" s="3"/>
    </row>
    <row r="365" spans="1:6" ht="15" customHeight="1">
      <c r="A365" t="s">
        <v>2034</v>
      </c>
      <c r="B365" t="s">
        <v>2035</v>
      </c>
      <c r="C365" s="710" t="s">
        <v>652</v>
      </c>
      <c r="D365" s="710" t="s">
        <v>72</v>
      </c>
      <c r="E365" s="710"/>
      <c r="F365" s="3"/>
    </row>
    <row r="366" spans="1:6" ht="15" customHeight="1">
      <c r="A366" t="s">
        <v>2036</v>
      </c>
      <c r="B366" t="s">
        <v>647</v>
      </c>
      <c r="C366" s="710" t="s">
        <v>652</v>
      </c>
      <c r="D366" s="710" t="s">
        <v>75</v>
      </c>
      <c r="E366" s="710"/>
      <c r="F366" s="3"/>
    </row>
    <row r="367" spans="1:6" ht="15" customHeight="1">
      <c r="A367" t="s">
        <v>2037</v>
      </c>
      <c r="B367" t="s">
        <v>2038</v>
      </c>
      <c r="C367" s="710"/>
      <c r="D367" s="710"/>
      <c r="E367" s="710"/>
      <c r="F367" s="3"/>
    </row>
    <row r="368" spans="1:6" ht="15" customHeight="1">
      <c r="A368" t="s">
        <v>2039</v>
      </c>
      <c r="B368" t="s">
        <v>2040</v>
      </c>
      <c r="C368" s="710" t="s">
        <v>652</v>
      </c>
      <c r="D368" s="710" t="s">
        <v>78</v>
      </c>
      <c r="E368" s="710"/>
      <c r="F368" s="3"/>
    </row>
    <row r="369" spans="1:6" ht="15" customHeight="1">
      <c r="A369" t="s">
        <v>2041</v>
      </c>
      <c r="B369" t="s">
        <v>2042</v>
      </c>
      <c r="C369" s="710" t="s">
        <v>652</v>
      </c>
      <c r="D369" s="710" t="s">
        <v>21</v>
      </c>
      <c r="E369" s="710"/>
      <c r="F369" s="3"/>
    </row>
    <row r="370" spans="1:6" ht="15" customHeight="1">
      <c r="A370" t="s">
        <v>2043</v>
      </c>
      <c r="B370" t="s">
        <v>2044</v>
      </c>
      <c r="C370" s="710" t="s">
        <v>652</v>
      </c>
      <c r="D370" s="710" t="s">
        <v>78</v>
      </c>
      <c r="E370" s="710"/>
      <c r="F370" s="3"/>
    </row>
    <row r="371" spans="1:6" ht="15" customHeight="1">
      <c r="A371" t="s">
        <v>2045</v>
      </c>
      <c r="B371" t="s">
        <v>2046</v>
      </c>
      <c r="C371" s="710" t="s">
        <v>652</v>
      </c>
      <c r="D371" s="710" t="s">
        <v>78</v>
      </c>
      <c r="E371" s="710"/>
      <c r="F371" s="3"/>
    </row>
    <row r="372" spans="1:6" ht="15" customHeight="1">
      <c r="A372" t="s">
        <v>2047</v>
      </c>
      <c r="B372" t="s">
        <v>2048</v>
      </c>
      <c r="C372" s="710" t="s">
        <v>652</v>
      </c>
      <c r="D372" s="710" t="s">
        <v>29</v>
      </c>
      <c r="E372" s="710"/>
      <c r="F372" s="3"/>
    </row>
    <row r="373" spans="1:6" ht="15" customHeight="1">
      <c r="A373" t="s">
        <v>2051</v>
      </c>
      <c r="B373" t="s">
        <v>2052</v>
      </c>
      <c r="C373" s="710" t="s">
        <v>652</v>
      </c>
      <c r="D373" s="710" t="s">
        <v>39</v>
      </c>
      <c r="E373" s="710"/>
      <c r="F373" s="3"/>
    </row>
    <row r="374" spans="1:6" ht="15" customHeight="1">
      <c r="A374" t="s">
        <v>2053</v>
      </c>
      <c r="B374" t="s">
        <v>2054</v>
      </c>
      <c r="C374" s="710" t="s">
        <v>652</v>
      </c>
      <c r="D374" s="710" t="s">
        <v>39</v>
      </c>
      <c r="E374" s="710"/>
      <c r="F374" s="3"/>
    </row>
    <row r="375" spans="1:6" ht="15" customHeight="1">
      <c r="A375" t="s">
        <v>2055</v>
      </c>
      <c r="B375" t="s">
        <v>2056</v>
      </c>
      <c r="C375" s="710" t="s">
        <v>652</v>
      </c>
      <c r="D375" s="710" t="s">
        <v>31</v>
      </c>
      <c r="E375" s="710"/>
      <c r="F375" s="3"/>
    </row>
    <row r="376" spans="1:6" ht="15" customHeight="1">
      <c r="A376" t="s">
        <v>2057</v>
      </c>
      <c r="B376" t="s">
        <v>2058</v>
      </c>
      <c r="C376" s="710" t="s">
        <v>652</v>
      </c>
      <c r="D376" s="710" t="s">
        <v>37</v>
      </c>
      <c r="E376" s="710"/>
      <c r="F376" s="3"/>
    </row>
    <row r="377" spans="1:6" ht="15" customHeight="1">
      <c r="A377" t="s">
        <v>2059</v>
      </c>
      <c r="B377" t="s">
        <v>2060</v>
      </c>
      <c r="C377" s="710" t="s">
        <v>652</v>
      </c>
      <c r="D377" s="710" t="s">
        <v>37</v>
      </c>
      <c r="E377" s="710"/>
      <c r="F377" s="3"/>
    </row>
    <row r="378" spans="1:6" ht="15" customHeight="1">
      <c r="A378" s="937" t="s">
        <v>2061</v>
      </c>
      <c r="B378" s="937" t="s">
        <v>2062</v>
      </c>
      <c r="C378" s="938" t="s">
        <v>652</v>
      </c>
      <c r="D378" s="938" t="s">
        <v>37</v>
      </c>
      <c r="E378" s="938"/>
      <c r="F378" s="3"/>
    </row>
    <row r="379" spans="1:6" ht="15" customHeight="1">
      <c r="A379" s="937" t="s">
        <v>2063</v>
      </c>
      <c r="B379" s="937" t="s">
        <v>2064</v>
      </c>
      <c r="C379" s="938" t="s">
        <v>652</v>
      </c>
      <c r="D379" s="938" t="s">
        <v>37</v>
      </c>
      <c r="E379" s="938"/>
      <c r="F379" s="3"/>
    </row>
    <row r="380" spans="1:6" ht="15" customHeight="1">
      <c r="A380" t="s">
        <v>2065</v>
      </c>
      <c r="B380" t="s">
        <v>2066</v>
      </c>
      <c r="C380" s="710"/>
      <c r="D380" s="710"/>
      <c r="E380" s="710"/>
      <c r="F380" s="3"/>
    </row>
    <row r="381" spans="1:6" ht="15" customHeight="1">
      <c r="A381" t="s">
        <v>2067</v>
      </c>
      <c r="B381" t="s">
        <v>2068</v>
      </c>
      <c r="C381" s="710" t="s">
        <v>652</v>
      </c>
      <c r="D381" s="710" t="s">
        <v>53</v>
      </c>
      <c r="E381" s="710"/>
      <c r="F381" s="3"/>
    </row>
    <row r="382" spans="1:6" ht="15" customHeight="1">
      <c r="A382" t="s">
        <v>2069</v>
      </c>
      <c r="B382" t="s">
        <v>2070</v>
      </c>
      <c r="C382" s="710" t="s">
        <v>652</v>
      </c>
      <c r="D382" s="710" t="s">
        <v>53</v>
      </c>
      <c r="E382" s="710"/>
      <c r="F382" s="3"/>
    </row>
    <row r="383" spans="1:6" ht="15" customHeight="1">
      <c r="A383" t="s">
        <v>2071</v>
      </c>
      <c r="B383" t="s">
        <v>2072</v>
      </c>
      <c r="C383" s="710" t="s">
        <v>652</v>
      </c>
      <c r="D383" s="710" t="s">
        <v>53</v>
      </c>
      <c r="E383" s="710"/>
      <c r="F383" s="3"/>
    </row>
    <row r="384" spans="1:6" ht="15" customHeight="1">
      <c r="A384" t="s">
        <v>2073</v>
      </c>
      <c r="B384" t="s">
        <v>2074</v>
      </c>
      <c r="C384" s="710" t="s">
        <v>652</v>
      </c>
      <c r="D384" s="710" t="s">
        <v>37</v>
      </c>
      <c r="E384" s="710"/>
      <c r="F384" s="3"/>
    </row>
    <row r="385" spans="1:6" ht="15" customHeight="1">
      <c r="A385" t="s">
        <v>2075</v>
      </c>
      <c r="B385" t="s">
        <v>2076</v>
      </c>
      <c r="C385" s="710" t="s">
        <v>652</v>
      </c>
      <c r="D385" s="710" t="s">
        <v>37</v>
      </c>
      <c r="E385" s="710"/>
      <c r="F385" s="3"/>
    </row>
    <row r="386" spans="1:6" ht="15" customHeight="1">
      <c r="A386" t="s">
        <v>2077</v>
      </c>
      <c r="B386" t="s">
        <v>2078</v>
      </c>
      <c r="C386" s="710" t="s">
        <v>652</v>
      </c>
      <c r="D386" s="710" t="s">
        <v>37</v>
      </c>
      <c r="E386" s="710"/>
      <c r="F386" s="3"/>
    </row>
    <row r="387" spans="1:6" ht="15" customHeight="1">
      <c r="A387" t="s">
        <v>2079</v>
      </c>
      <c r="B387" t="s">
        <v>2080</v>
      </c>
      <c r="C387" s="710" t="s">
        <v>652</v>
      </c>
      <c r="D387" s="710" t="s">
        <v>3143</v>
      </c>
      <c r="E387" s="710"/>
      <c r="F387" s="3"/>
    </row>
    <row r="388" spans="1:6" ht="15" customHeight="1">
      <c r="A388" t="s">
        <v>2083</v>
      </c>
      <c r="B388" t="s">
        <v>2082</v>
      </c>
      <c r="C388" s="710" t="s">
        <v>652</v>
      </c>
      <c r="D388" s="710" t="s">
        <v>35</v>
      </c>
      <c r="E388" s="710"/>
      <c r="F388" s="3"/>
    </row>
    <row r="389" spans="1:6" ht="15" customHeight="1">
      <c r="A389" t="s">
        <v>2086</v>
      </c>
      <c r="B389" t="s">
        <v>2087</v>
      </c>
      <c r="C389" s="710" t="s">
        <v>652</v>
      </c>
      <c r="D389" s="710" t="s">
        <v>43</v>
      </c>
      <c r="E389" s="710"/>
      <c r="F389" s="3"/>
    </row>
    <row r="390" spans="1:6" ht="15" customHeight="1">
      <c r="A390" t="s">
        <v>2088</v>
      </c>
      <c r="B390" t="s">
        <v>2089</v>
      </c>
      <c r="C390" s="710" t="s">
        <v>652</v>
      </c>
      <c r="D390" s="710" t="s">
        <v>45</v>
      </c>
      <c r="E390" s="710"/>
      <c r="F390" s="3"/>
    </row>
    <row r="391" spans="1:6" ht="15" customHeight="1">
      <c r="A391" t="s">
        <v>2092</v>
      </c>
      <c r="B391" t="s">
        <v>1144</v>
      </c>
      <c r="C391" s="710"/>
      <c r="D391" s="710"/>
      <c r="E391" s="710"/>
      <c r="F391" s="3"/>
    </row>
    <row r="392" spans="1:6" ht="15" customHeight="1">
      <c r="A392" t="s">
        <v>2095</v>
      </c>
      <c r="B392" t="s">
        <v>2096</v>
      </c>
      <c r="C392" s="710"/>
      <c r="D392" s="710"/>
      <c r="E392" s="710"/>
      <c r="F392" s="3"/>
    </row>
    <row r="393" spans="1:6" ht="15" customHeight="1">
      <c r="A393" t="s">
        <v>2097</v>
      </c>
      <c r="B393" t="s">
        <v>2098</v>
      </c>
      <c r="C393" s="710" t="s">
        <v>652</v>
      </c>
      <c r="D393" s="710" t="s">
        <v>51</v>
      </c>
      <c r="E393" s="710"/>
      <c r="F393" s="3"/>
    </row>
    <row r="394" spans="1:6" ht="15" customHeight="1">
      <c r="A394" t="s">
        <v>2099</v>
      </c>
      <c r="B394" t="s">
        <v>2100</v>
      </c>
      <c r="C394" s="710" t="s">
        <v>652</v>
      </c>
      <c r="D394" s="710" t="s">
        <v>49</v>
      </c>
      <c r="E394" s="710"/>
      <c r="F394" s="3"/>
    </row>
    <row r="395" spans="1:6" ht="15" customHeight="1">
      <c r="A395" t="s">
        <v>2101</v>
      </c>
      <c r="B395" t="s">
        <v>2102</v>
      </c>
      <c r="C395" s="710" t="s">
        <v>652</v>
      </c>
      <c r="D395" s="710" t="s">
        <v>49</v>
      </c>
      <c r="E395" s="710"/>
      <c r="F395" s="3"/>
    </row>
    <row r="396" spans="1:6" ht="15" customHeight="1">
      <c r="A396" t="s">
        <v>2103</v>
      </c>
      <c r="B396" t="s">
        <v>2104</v>
      </c>
      <c r="C396" s="710"/>
      <c r="D396" s="710"/>
      <c r="E396" s="710"/>
      <c r="F396" s="3"/>
    </row>
    <row r="397" spans="1:6" ht="15" customHeight="1">
      <c r="A397" t="s">
        <v>2107</v>
      </c>
      <c r="B397" t="s">
        <v>2108</v>
      </c>
      <c r="C397" s="710"/>
      <c r="D397" s="710"/>
      <c r="E397" s="710"/>
      <c r="F397" s="3"/>
    </row>
    <row r="398" spans="1:6" ht="15" customHeight="1">
      <c r="A398" t="s">
        <v>2111</v>
      </c>
      <c r="B398" t="s">
        <v>2112</v>
      </c>
      <c r="C398" s="710" t="s">
        <v>652</v>
      </c>
      <c r="D398" s="710" t="s">
        <v>56</v>
      </c>
      <c r="E398" s="710"/>
      <c r="F398" s="3"/>
    </row>
    <row r="399" spans="1:6" ht="15" customHeight="1">
      <c r="A399" t="s">
        <v>2113</v>
      </c>
      <c r="B399" t="s">
        <v>2114</v>
      </c>
      <c r="C399" s="710"/>
      <c r="D399" s="710"/>
      <c r="E399" s="710"/>
      <c r="F399" s="3"/>
    </row>
    <row r="400" spans="1:6" ht="15" customHeight="1">
      <c r="A400" t="s">
        <v>2115</v>
      </c>
      <c r="B400" t="s">
        <v>2116</v>
      </c>
      <c r="C400" s="710" t="s">
        <v>652</v>
      </c>
      <c r="D400" s="710" t="s">
        <v>56</v>
      </c>
      <c r="E400" s="710"/>
      <c r="F400" s="3"/>
    </row>
    <row r="401" spans="1:6" ht="15" customHeight="1">
      <c r="A401" t="s">
        <v>2117</v>
      </c>
      <c r="B401" t="s">
        <v>2118</v>
      </c>
      <c r="C401" s="710"/>
      <c r="D401" s="710"/>
      <c r="E401" s="710"/>
      <c r="F401" s="3"/>
    </row>
    <row r="402" spans="1:6" ht="15" customHeight="1">
      <c r="A402" t="s">
        <v>2121</v>
      </c>
      <c r="B402" t="s">
        <v>2122</v>
      </c>
      <c r="C402" s="710"/>
      <c r="D402" s="710"/>
      <c r="E402" s="710"/>
      <c r="F402" s="3"/>
    </row>
    <row r="403" spans="1:6" ht="15" customHeight="1">
      <c r="A403" t="s">
        <v>2123</v>
      </c>
      <c r="B403" t="s">
        <v>2124</v>
      </c>
      <c r="C403" s="710"/>
      <c r="D403" s="710"/>
      <c r="E403" s="710"/>
      <c r="F403" s="3"/>
    </row>
    <row r="404" spans="1:6" ht="15" customHeight="1">
      <c r="A404" t="s">
        <v>2125</v>
      </c>
      <c r="B404" t="s">
        <v>2126</v>
      </c>
      <c r="C404" s="710"/>
      <c r="D404" s="710"/>
      <c r="E404" s="710"/>
      <c r="F404" s="3"/>
    </row>
    <row r="405" spans="1:6" ht="15" customHeight="1">
      <c r="A405" t="s">
        <v>2127</v>
      </c>
      <c r="B405" t="s">
        <v>2128</v>
      </c>
      <c r="C405" s="710" t="s">
        <v>652</v>
      </c>
      <c r="D405" s="710" t="s">
        <v>51</v>
      </c>
      <c r="E405" s="710"/>
      <c r="F405" s="3"/>
    </row>
    <row r="406" spans="1:6" ht="15" customHeight="1">
      <c r="A406" t="s">
        <v>2129</v>
      </c>
      <c r="B406" t="s">
        <v>2130</v>
      </c>
      <c r="C406" s="710" t="s">
        <v>652</v>
      </c>
      <c r="D406" s="710" t="s">
        <v>31</v>
      </c>
      <c r="E406" s="710"/>
      <c r="F406" s="3"/>
    </row>
    <row r="407" spans="1:6" ht="15" customHeight="1">
      <c r="A407" t="s">
        <v>2131</v>
      </c>
      <c r="B407" t="s">
        <v>2132</v>
      </c>
      <c r="C407" s="710" t="s">
        <v>652</v>
      </c>
      <c r="D407" s="710" t="s">
        <v>31</v>
      </c>
      <c r="E407" s="710"/>
      <c r="F407" s="3"/>
    </row>
    <row r="408" spans="1:6" ht="15" customHeight="1">
      <c r="A408" t="s">
        <v>2133</v>
      </c>
      <c r="B408" t="s">
        <v>2134</v>
      </c>
      <c r="C408" s="710" t="s">
        <v>652</v>
      </c>
      <c r="D408" s="710" t="s">
        <v>31</v>
      </c>
      <c r="E408" s="710"/>
      <c r="F408" s="3"/>
    </row>
    <row r="409" spans="1:6" ht="15" customHeight="1">
      <c r="A409" t="s">
        <v>2135</v>
      </c>
      <c r="B409" t="s">
        <v>2136</v>
      </c>
      <c r="C409" s="710" t="s">
        <v>652</v>
      </c>
      <c r="D409" s="710" t="s">
        <v>31</v>
      </c>
      <c r="E409" s="710"/>
      <c r="F409" s="3"/>
    </row>
    <row r="410" spans="1:6" ht="15" customHeight="1">
      <c r="A410" t="s">
        <v>2137</v>
      </c>
      <c r="B410" t="s">
        <v>1154</v>
      </c>
      <c r="C410" s="710" t="s">
        <v>652</v>
      </c>
      <c r="D410" s="710" t="s">
        <v>33</v>
      </c>
      <c r="E410" s="710"/>
      <c r="F410" s="3"/>
    </row>
    <row r="411" spans="1:6" ht="15" customHeight="1">
      <c r="A411" t="s">
        <v>2138</v>
      </c>
      <c r="B411" t="s">
        <v>1147</v>
      </c>
      <c r="C411" s="710" t="s">
        <v>652</v>
      </c>
      <c r="D411" s="710" t="s">
        <v>49</v>
      </c>
      <c r="E411" s="710"/>
      <c r="F411" s="3"/>
    </row>
    <row r="412" spans="1:6" ht="15" customHeight="1">
      <c r="A412" t="s">
        <v>2139</v>
      </c>
      <c r="B412" t="s">
        <v>2140</v>
      </c>
      <c r="C412" s="710" t="s">
        <v>652</v>
      </c>
      <c r="D412" s="710" t="s">
        <v>49</v>
      </c>
      <c r="E412" s="710"/>
      <c r="F412" s="3"/>
    </row>
    <row r="413" spans="1:6" ht="15" customHeight="1">
      <c r="A413" t="s">
        <v>2141</v>
      </c>
      <c r="B413" t="s">
        <v>2142</v>
      </c>
      <c r="C413" s="710" t="s">
        <v>652</v>
      </c>
      <c r="D413" s="710" t="s">
        <v>37</v>
      </c>
      <c r="E413" s="710"/>
      <c r="F413" s="3"/>
    </row>
    <row r="414" spans="1:6" ht="15" customHeight="1">
      <c r="A414" t="s">
        <v>2143</v>
      </c>
      <c r="B414" t="s">
        <v>2144</v>
      </c>
      <c r="C414" s="710" t="s">
        <v>652</v>
      </c>
      <c r="D414" s="710" t="s">
        <v>37</v>
      </c>
      <c r="E414" s="710"/>
      <c r="F414" s="3"/>
    </row>
    <row r="415" spans="1:6" ht="15" customHeight="1">
      <c r="A415" t="s">
        <v>2145</v>
      </c>
      <c r="B415" t="s">
        <v>2146</v>
      </c>
      <c r="C415" s="710" t="s">
        <v>652</v>
      </c>
      <c r="D415" s="710" t="s">
        <v>37</v>
      </c>
      <c r="E415" s="710"/>
      <c r="F415" s="3"/>
    </row>
    <row r="416" spans="1:6" ht="15" customHeight="1">
      <c r="A416" t="s">
        <v>2147</v>
      </c>
      <c r="B416" t="s">
        <v>2148</v>
      </c>
      <c r="C416" s="710" t="s">
        <v>652</v>
      </c>
      <c r="D416" s="710" t="s">
        <v>37</v>
      </c>
      <c r="E416" s="710"/>
      <c r="F416" s="3"/>
    </row>
    <row r="417" spans="1:6" ht="15" customHeight="1">
      <c r="A417" t="s">
        <v>2149</v>
      </c>
      <c r="B417" t="s">
        <v>2150</v>
      </c>
      <c r="C417" s="710" t="s">
        <v>652</v>
      </c>
      <c r="D417" s="710" t="s">
        <v>37</v>
      </c>
      <c r="E417" s="710"/>
      <c r="F417" s="3"/>
    </row>
    <row r="418" spans="1:6" ht="15" customHeight="1">
      <c r="A418" t="s">
        <v>2151</v>
      </c>
      <c r="B418" t="s">
        <v>2152</v>
      </c>
      <c r="C418" s="710" t="s">
        <v>652</v>
      </c>
      <c r="D418" s="710" t="s">
        <v>39</v>
      </c>
      <c r="E418" s="710"/>
      <c r="F418" s="3"/>
    </row>
    <row r="419" spans="1:6" ht="15" customHeight="1">
      <c r="A419" t="s">
        <v>2153</v>
      </c>
      <c r="B419" t="s">
        <v>2154</v>
      </c>
      <c r="C419" s="710" t="s">
        <v>652</v>
      </c>
      <c r="D419" s="710" t="s">
        <v>53</v>
      </c>
      <c r="E419" s="710"/>
      <c r="F419" s="3"/>
    </row>
    <row r="420" spans="1:6" ht="15" customHeight="1">
      <c r="A420" t="s">
        <v>2155</v>
      </c>
      <c r="B420" t="s">
        <v>2156</v>
      </c>
      <c r="C420" s="710" t="s">
        <v>652</v>
      </c>
      <c r="D420" s="710" t="s">
        <v>49</v>
      </c>
      <c r="E420" s="710"/>
      <c r="F420" s="3"/>
    </row>
    <row r="421" spans="1:6" ht="15" customHeight="1">
      <c r="A421" t="s">
        <v>2157</v>
      </c>
      <c r="B421" t="s">
        <v>2158</v>
      </c>
      <c r="C421" s="710" t="s">
        <v>652</v>
      </c>
      <c r="D421" s="710" t="s">
        <v>53</v>
      </c>
      <c r="E421" s="710"/>
      <c r="F421" s="3"/>
    </row>
    <row r="422" spans="1:6" ht="15" customHeight="1">
      <c r="A422" t="s">
        <v>2159</v>
      </c>
      <c r="B422" t="s">
        <v>2160</v>
      </c>
      <c r="C422" s="710" t="s">
        <v>652</v>
      </c>
      <c r="D422" s="710" t="s">
        <v>53</v>
      </c>
      <c r="E422" s="710"/>
      <c r="F422" s="3"/>
    </row>
    <row r="423" spans="1:6" ht="15" customHeight="1">
      <c r="A423" t="s">
        <v>2161</v>
      </c>
      <c r="B423" t="s">
        <v>2162</v>
      </c>
      <c r="C423" s="710" t="s">
        <v>652</v>
      </c>
      <c r="D423" s="710" t="s">
        <v>53</v>
      </c>
      <c r="E423" s="710"/>
      <c r="F423" s="3"/>
    </row>
    <row r="424" spans="1:6" ht="15" customHeight="1">
      <c r="A424" t="s">
        <v>2163</v>
      </c>
      <c r="B424" t="s">
        <v>2164</v>
      </c>
      <c r="C424" s="710" t="s">
        <v>652</v>
      </c>
      <c r="D424" s="710" t="s">
        <v>53</v>
      </c>
      <c r="E424" s="710"/>
      <c r="F424" s="3"/>
    </row>
    <row r="425" spans="1:6" ht="15" customHeight="1">
      <c r="A425" t="s">
        <v>2165</v>
      </c>
      <c r="B425" t="s">
        <v>2166</v>
      </c>
      <c r="C425" s="710" t="s">
        <v>652</v>
      </c>
      <c r="D425" s="710" t="s">
        <v>39</v>
      </c>
      <c r="E425" s="710"/>
      <c r="F425" s="3"/>
    </row>
    <row r="426" spans="1:6" ht="15" customHeight="1">
      <c r="A426" t="s">
        <v>2167</v>
      </c>
      <c r="B426" t="s">
        <v>2168</v>
      </c>
      <c r="C426" s="710"/>
      <c r="D426" s="710"/>
      <c r="E426" s="710"/>
      <c r="F426" s="3"/>
    </row>
    <row r="427" spans="1:6" ht="15" customHeight="1">
      <c r="A427" t="s">
        <v>2169</v>
      </c>
      <c r="B427" t="s">
        <v>2170</v>
      </c>
      <c r="C427" s="710" t="s">
        <v>652</v>
      </c>
      <c r="D427" s="710" t="s">
        <v>53</v>
      </c>
      <c r="E427" s="710"/>
      <c r="F427" s="3"/>
    </row>
    <row r="428" spans="1:6" ht="15" customHeight="1">
      <c r="A428" t="s">
        <v>2171</v>
      </c>
      <c r="B428" t="s">
        <v>2172</v>
      </c>
      <c r="C428" s="710" t="s">
        <v>652</v>
      </c>
      <c r="D428" s="710" t="s">
        <v>53</v>
      </c>
      <c r="E428" s="710"/>
      <c r="F428" s="3"/>
    </row>
    <row r="429" spans="1:6" ht="15" customHeight="1">
      <c r="A429" t="s">
        <v>2173</v>
      </c>
      <c r="B429" t="s">
        <v>2174</v>
      </c>
      <c r="C429" s="710" t="s">
        <v>652</v>
      </c>
      <c r="D429" s="710" t="s">
        <v>53</v>
      </c>
      <c r="E429" s="710"/>
      <c r="F429" s="3"/>
    </row>
    <row r="430" spans="1:6" ht="15" customHeight="1">
      <c r="A430" t="s">
        <v>2175</v>
      </c>
      <c r="B430" t="s">
        <v>2176</v>
      </c>
      <c r="C430" s="710" t="s">
        <v>652</v>
      </c>
      <c r="D430" s="710" t="s">
        <v>53</v>
      </c>
      <c r="E430" s="710"/>
      <c r="F430" s="3"/>
    </row>
    <row r="431" spans="1:6" ht="15" customHeight="1">
      <c r="A431" t="s">
        <v>2177</v>
      </c>
      <c r="B431" t="s">
        <v>2178</v>
      </c>
      <c r="C431" s="710" t="s">
        <v>652</v>
      </c>
      <c r="D431" s="710" t="s">
        <v>53</v>
      </c>
      <c r="E431" s="710"/>
      <c r="F431" s="3"/>
    </row>
    <row r="432" spans="1:6" ht="15" customHeight="1">
      <c r="A432" t="s">
        <v>2179</v>
      </c>
      <c r="B432" t="s">
        <v>2180</v>
      </c>
      <c r="C432" s="710" t="s">
        <v>652</v>
      </c>
      <c r="D432" s="710" t="s">
        <v>53</v>
      </c>
      <c r="E432" s="710"/>
      <c r="F432" s="3"/>
    </row>
    <row r="433" spans="1:6" ht="15" customHeight="1">
      <c r="A433" t="s">
        <v>2181</v>
      </c>
      <c r="B433" t="s">
        <v>2182</v>
      </c>
      <c r="C433" s="710" t="s">
        <v>652</v>
      </c>
      <c r="D433" s="710" t="s">
        <v>53</v>
      </c>
      <c r="E433" s="710"/>
      <c r="F433" s="3"/>
    </row>
    <row r="434" spans="1:6" ht="15" customHeight="1">
      <c r="A434" t="s">
        <v>2183</v>
      </c>
      <c r="B434" t="s">
        <v>2184</v>
      </c>
      <c r="C434" s="710" t="s">
        <v>652</v>
      </c>
      <c r="D434" s="710" t="s">
        <v>53</v>
      </c>
      <c r="E434" s="710"/>
      <c r="F434" s="3"/>
    </row>
    <row r="435" spans="1:6" ht="15" customHeight="1">
      <c r="A435" t="s">
        <v>2187</v>
      </c>
      <c r="B435" t="s">
        <v>2188</v>
      </c>
      <c r="C435" s="710" t="s">
        <v>652</v>
      </c>
      <c r="D435" s="710" t="s">
        <v>61</v>
      </c>
      <c r="E435" s="710"/>
      <c r="F435" s="3"/>
    </row>
    <row r="436" spans="1:6" ht="15" customHeight="1">
      <c r="A436" t="s">
        <v>2189</v>
      </c>
      <c r="B436" t="s">
        <v>2190</v>
      </c>
      <c r="C436" s="710" t="s">
        <v>652</v>
      </c>
      <c r="D436" s="710" t="s">
        <v>22</v>
      </c>
      <c r="E436" s="710"/>
      <c r="F436" s="3"/>
    </row>
    <row r="437" spans="1:6" ht="15" customHeight="1">
      <c r="A437" t="s">
        <v>2191</v>
      </c>
      <c r="B437" t="s">
        <v>2192</v>
      </c>
      <c r="C437" s="710" t="s">
        <v>652</v>
      </c>
      <c r="D437" s="710" t="s">
        <v>56</v>
      </c>
      <c r="E437" s="710"/>
      <c r="F437" s="3"/>
    </row>
    <row r="438" spans="1:6" ht="15" customHeight="1">
      <c r="A438" t="s">
        <v>2193</v>
      </c>
      <c r="B438" t="s">
        <v>2194</v>
      </c>
      <c r="C438" s="710"/>
      <c r="D438" s="710"/>
      <c r="E438" s="710"/>
      <c r="F438" s="3"/>
    </row>
    <row r="439" spans="1:6" ht="15" customHeight="1">
      <c r="A439" t="s">
        <v>2195</v>
      </c>
      <c r="B439" t="s">
        <v>2196</v>
      </c>
      <c r="C439" s="710" t="s">
        <v>652</v>
      </c>
      <c r="D439" s="710" t="s">
        <v>70</v>
      </c>
      <c r="E439" s="710"/>
      <c r="F439" s="3"/>
    </row>
    <row r="440" spans="1:6" ht="15" customHeight="1">
      <c r="A440" t="s">
        <v>2197</v>
      </c>
      <c r="B440" t="s">
        <v>2198</v>
      </c>
      <c r="C440" s="710" t="s">
        <v>652</v>
      </c>
      <c r="D440" s="710" t="s">
        <v>70</v>
      </c>
      <c r="E440" s="710"/>
      <c r="F440" s="3"/>
    </row>
    <row r="441" spans="1:6" ht="15" customHeight="1">
      <c r="A441" t="s">
        <v>2199</v>
      </c>
      <c r="B441" t="s">
        <v>2200</v>
      </c>
      <c r="C441" s="710" t="s">
        <v>652</v>
      </c>
      <c r="D441" s="710" t="s">
        <v>70</v>
      </c>
      <c r="E441" s="710"/>
      <c r="F441" s="3"/>
    </row>
    <row r="442" spans="1:6" ht="15" customHeight="1">
      <c r="A442" t="s">
        <v>2201</v>
      </c>
      <c r="B442" t="s">
        <v>2202</v>
      </c>
      <c r="C442" s="710" t="s">
        <v>652</v>
      </c>
      <c r="D442" s="710" t="s">
        <v>71</v>
      </c>
      <c r="E442" s="710"/>
      <c r="F442" s="3"/>
    </row>
    <row r="443" spans="1:6" ht="15" customHeight="1">
      <c r="A443" t="s">
        <v>2203</v>
      </c>
      <c r="B443" t="s">
        <v>2204</v>
      </c>
      <c r="C443" s="710" t="s">
        <v>652</v>
      </c>
      <c r="D443" s="710" t="s">
        <v>70</v>
      </c>
      <c r="E443" s="710"/>
      <c r="F443" s="3"/>
    </row>
    <row r="444" spans="1:6" ht="15" customHeight="1">
      <c r="A444" t="s">
        <v>2205</v>
      </c>
      <c r="B444" t="s">
        <v>2206</v>
      </c>
      <c r="C444" s="710" t="s">
        <v>652</v>
      </c>
      <c r="D444" s="710" t="s">
        <v>66</v>
      </c>
      <c r="E444" s="710"/>
      <c r="F444" s="3"/>
    </row>
    <row r="445" spans="1:6" ht="15" customHeight="1">
      <c r="A445" t="s">
        <v>2207</v>
      </c>
      <c r="B445" t="s">
        <v>2208</v>
      </c>
      <c r="C445" s="710" t="s">
        <v>652</v>
      </c>
      <c r="D445" s="710" t="s">
        <v>72</v>
      </c>
      <c r="E445" s="710"/>
      <c r="F445" s="3"/>
    </row>
    <row r="446" spans="1:6" ht="15" customHeight="1">
      <c r="A446" t="s">
        <v>2209</v>
      </c>
      <c r="B446" t="s">
        <v>2210</v>
      </c>
      <c r="C446" s="710" t="s">
        <v>652</v>
      </c>
      <c r="D446" s="710" t="s">
        <v>75</v>
      </c>
      <c r="E446" s="710"/>
      <c r="F446" s="3"/>
    </row>
    <row r="447" spans="1:6" ht="15" customHeight="1">
      <c r="A447" t="s">
        <v>2211</v>
      </c>
      <c r="B447" t="s">
        <v>2212</v>
      </c>
      <c r="C447" s="710"/>
      <c r="D447" s="710"/>
      <c r="E447" s="710"/>
      <c r="F447" s="3"/>
    </row>
    <row r="448" spans="1:6" ht="15" customHeight="1">
      <c r="A448" t="s">
        <v>2213</v>
      </c>
      <c r="B448" t="s">
        <v>2214</v>
      </c>
      <c r="C448" s="710" t="s">
        <v>652</v>
      </c>
      <c r="D448" s="710" t="s">
        <v>80</v>
      </c>
      <c r="E448" s="710"/>
      <c r="F448" s="3"/>
    </row>
    <row r="449" spans="1:6" ht="15" customHeight="1">
      <c r="A449" t="s">
        <v>2215</v>
      </c>
      <c r="B449" t="s">
        <v>2216</v>
      </c>
      <c r="C449" s="710" t="s">
        <v>652</v>
      </c>
      <c r="D449" s="710" t="s">
        <v>80</v>
      </c>
      <c r="E449" s="710"/>
      <c r="F449" s="3"/>
    </row>
    <row r="450" spans="1:6" ht="15" customHeight="1">
      <c r="A450" t="s">
        <v>2217</v>
      </c>
      <c r="B450" t="s">
        <v>2218</v>
      </c>
      <c r="C450" s="710" t="s">
        <v>652</v>
      </c>
      <c r="D450" s="710" t="s">
        <v>80</v>
      </c>
      <c r="E450" s="710"/>
      <c r="F450" s="3"/>
    </row>
    <row r="451" spans="1:6" ht="15" customHeight="1">
      <c r="A451" t="s">
        <v>2219</v>
      </c>
      <c r="B451" t="s">
        <v>2220</v>
      </c>
      <c r="C451" s="710" t="s">
        <v>652</v>
      </c>
      <c r="D451" s="710" t="s">
        <v>80</v>
      </c>
      <c r="E451" s="710"/>
      <c r="F451" s="3"/>
    </row>
    <row r="452" spans="1:6" ht="15" customHeight="1">
      <c r="A452" t="s">
        <v>2221</v>
      </c>
      <c r="B452" t="s">
        <v>2222</v>
      </c>
      <c r="C452" s="710" t="s">
        <v>652</v>
      </c>
      <c r="D452" s="710" t="s">
        <v>80</v>
      </c>
      <c r="E452" s="710"/>
      <c r="F452" s="3"/>
    </row>
    <row r="453" spans="1:6" ht="15" customHeight="1">
      <c r="A453" t="s">
        <v>2223</v>
      </c>
      <c r="B453" t="s">
        <v>2224</v>
      </c>
      <c r="C453" s="710" t="s">
        <v>652</v>
      </c>
      <c r="D453" s="710" t="s">
        <v>80</v>
      </c>
      <c r="E453" s="710"/>
      <c r="F453" s="3"/>
    </row>
    <row r="454" spans="1:6" ht="15" customHeight="1">
      <c r="A454" t="s">
        <v>2225</v>
      </c>
      <c r="B454" t="s">
        <v>2226</v>
      </c>
      <c r="C454" s="710" t="s">
        <v>652</v>
      </c>
      <c r="D454" s="710" t="s">
        <v>80</v>
      </c>
      <c r="E454" s="710"/>
      <c r="F454" s="3"/>
    </row>
    <row r="455" spans="1:6" ht="15" customHeight="1">
      <c r="A455" t="s">
        <v>2227</v>
      </c>
      <c r="B455" t="s">
        <v>2228</v>
      </c>
      <c r="C455" s="710" t="s">
        <v>652</v>
      </c>
      <c r="D455" s="710" t="s">
        <v>82</v>
      </c>
      <c r="E455" s="710"/>
      <c r="F455" s="3"/>
    </row>
    <row r="456" spans="1:6" ht="15" customHeight="1">
      <c r="A456" t="s">
        <v>2229</v>
      </c>
      <c r="B456" t="s">
        <v>2230</v>
      </c>
      <c r="C456" s="710"/>
      <c r="D456" s="710"/>
      <c r="E456" s="710"/>
      <c r="F456" s="3"/>
    </row>
    <row r="457" spans="1:6" ht="15" customHeight="1">
      <c r="A457" t="s">
        <v>2233</v>
      </c>
      <c r="B457" t="s">
        <v>2234</v>
      </c>
      <c r="C457" s="710" t="s">
        <v>88</v>
      </c>
      <c r="D457" s="710" t="s">
        <v>93</v>
      </c>
      <c r="E457" s="710" t="s">
        <v>3131</v>
      </c>
      <c r="F457" s="3"/>
    </row>
    <row r="458" spans="1:6" ht="15" customHeight="1">
      <c r="A458" t="s">
        <v>2235</v>
      </c>
      <c r="B458" t="s">
        <v>2236</v>
      </c>
      <c r="C458" s="710" t="s">
        <v>88</v>
      </c>
      <c r="D458" s="710" t="s">
        <v>93</v>
      </c>
      <c r="E458" s="710" t="s">
        <v>3131</v>
      </c>
      <c r="F458" s="3"/>
    </row>
    <row r="459" spans="1:6" ht="15" customHeight="1">
      <c r="A459" t="s">
        <v>2237</v>
      </c>
      <c r="B459" t="s">
        <v>2238</v>
      </c>
      <c r="C459" s="710" t="s">
        <v>88</v>
      </c>
      <c r="D459" s="710" t="s">
        <v>93</v>
      </c>
      <c r="E459" s="710" t="s">
        <v>3131</v>
      </c>
      <c r="F459" s="3"/>
    </row>
    <row r="460" spans="1:6" ht="15" customHeight="1">
      <c r="A460" t="s">
        <v>2239</v>
      </c>
      <c r="B460" t="s">
        <v>2240</v>
      </c>
      <c r="C460" s="710" t="s">
        <v>88</v>
      </c>
      <c r="D460" s="710" t="s">
        <v>93</v>
      </c>
      <c r="E460" s="710" t="s">
        <v>3131</v>
      </c>
      <c r="F460" s="3"/>
    </row>
    <row r="461" spans="1:6" ht="15" customHeight="1">
      <c r="A461" t="s">
        <v>2247</v>
      </c>
      <c r="B461" t="s">
        <v>2248</v>
      </c>
      <c r="C461" s="710" t="s">
        <v>88</v>
      </c>
      <c r="D461" s="710" t="s">
        <v>93</v>
      </c>
      <c r="E461" s="710" t="s">
        <v>3131</v>
      </c>
      <c r="F461" s="3"/>
    </row>
    <row r="462" spans="1:6" ht="15" customHeight="1">
      <c r="A462" t="s">
        <v>2249</v>
      </c>
      <c r="B462" t="s">
        <v>2250</v>
      </c>
      <c r="C462" s="710" t="s">
        <v>88</v>
      </c>
      <c r="D462" s="710" t="s">
        <v>93</v>
      </c>
      <c r="E462" s="710" t="s">
        <v>3131</v>
      </c>
      <c r="F462" s="3"/>
    </row>
    <row r="463" spans="1:6" ht="15" customHeight="1">
      <c r="A463" t="s">
        <v>2253</v>
      </c>
      <c r="B463" t="s">
        <v>2254</v>
      </c>
      <c r="C463" s="710" t="s">
        <v>88</v>
      </c>
      <c r="D463" s="710" t="s">
        <v>93</v>
      </c>
      <c r="E463" s="710" t="s">
        <v>3131</v>
      </c>
      <c r="F463" s="3"/>
    </row>
    <row r="464" spans="1:6" ht="15" customHeight="1">
      <c r="A464" t="s">
        <v>2255</v>
      </c>
      <c r="B464" t="s">
        <v>2256</v>
      </c>
      <c r="C464" s="710" t="s">
        <v>88</v>
      </c>
      <c r="D464" s="710" t="s">
        <v>93</v>
      </c>
      <c r="E464" s="710" t="s">
        <v>3131</v>
      </c>
      <c r="F464" s="3"/>
    </row>
    <row r="465" spans="1:6" ht="15" customHeight="1">
      <c r="A465" t="s">
        <v>2261</v>
      </c>
      <c r="B465" t="s">
        <v>2262</v>
      </c>
      <c r="C465" s="710" t="s">
        <v>88</v>
      </c>
      <c r="D465" s="710" t="s">
        <v>3133</v>
      </c>
      <c r="E465" s="710" t="s">
        <v>3131</v>
      </c>
      <c r="F465" s="3"/>
    </row>
    <row r="466" spans="1:6" ht="15" customHeight="1">
      <c r="A466" t="s">
        <v>2269</v>
      </c>
      <c r="B466" t="s">
        <v>2270</v>
      </c>
      <c r="C466" s="710" t="s">
        <v>88</v>
      </c>
      <c r="D466" s="710" t="s">
        <v>93</v>
      </c>
      <c r="E466" s="710" t="s">
        <v>3131</v>
      </c>
      <c r="F466" s="3"/>
    </row>
    <row r="467" spans="1:6" ht="15" customHeight="1">
      <c r="A467" t="s">
        <v>2273</v>
      </c>
      <c r="B467" t="s">
        <v>2274</v>
      </c>
      <c r="C467" s="710" t="s">
        <v>88</v>
      </c>
      <c r="D467" s="710" t="s">
        <v>93</v>
      </c>
      <c r="E467" s="710" t="s">
        <v>3131</v>
      </c>
      <c r="F467" s="3"/>
    </row>
    <row r="468" spans="1:6" ht="15" customHeight="1">
      <c r="A468" t="s">
        <v>2275</v>
      </c>
      <c r="B468" t="s">
        <v>2276</v>
      </c>
      <c r="C468" s="710" t="s">
        <v>88</v>
      </c>
      <c r="D468" s="710" t="s">
        <v>93</v>
      </c>
      <c r="E468" s="710" t="s">
        <v>3131</v>
      </c>
      <c r="F468" s="3"/>
    </row>
    <row r="469" spans="1:6" ht="15" customHeight="1">
      <c r="A469" t="s">
        <v>2277</v>
      </c>
      <c r="B469" s="706" t="s">
        <v>2278</v>
      </c>
      <c r="C469" s="710"/>
      <c r="D469" s="710"/>
      <c r="E469" s="710"/>
      <c r="F469" s="3"/>
    </row>
    <row r="470" spans="1:6" ht="15" customHeight="1">
      <c r="A470" s="937" t="s">
        <v>2283</v>
      </c>
      <c r="B470" s="937" t="s">
        <v>2284</v>
      </c>
      <c r="C470" s="938"/>
      <c r="D470" s="938"/>
      <c r="E470" s="938"/>
      <c r="F470" s="3"/>
    </row>
    <row r="471" spans="1:6" ht="15" customHeight="1">
      <c r="A471" t="s">
        <v>2297</v>
      </c>
      <c r="B471" t="s">
        <v>2298</v>
      </c>
      <c r="C471" s="710" t="s">
        <v>88</v>
      </c>
      <c r="D471" s="710" t="s">
        <v>94</v>
      </c>
      <c r="E471" s="710" t="s">
        <v>3131</v>
      </c>
      <c r="F471" s="3"/>
    </row>
    <row r="472" spans="1:6" ht="15" customHeight="1">
      <c r="A472" t="s">
        <v>2299</v>
      </c>
      <c r="B472" t="s">
        <v>2300</v>
      </c>
      <c r="C472" s="710" t="s">
        <v>88</v>
      </c>
      <c r="D472" s="710" t="s">
        <v>3133</v>
      </c>
      <c r="E472" s="710" t="s">
        <v>3131</v>
      </c>
      <c r="F472" s="3"/>
    </row>
    <row r="473" spans="1:6" ht="15" customHeight="1">
      <c r="A473" t="s">
        <v>2303</v>
      </c>
      <c r="B473" t="s">
        <v>2304</v>
      </c>
      <c r="C473" s="710" t="s">
        <v>88</v>
      </c>
      <c r="D473" s="710" t="s">
        <v>94</v>
      </c>
      <c r="E473" s="710" t="s">
        <v>3131</v>
      </c>
      <c r="F473" s="3"/>
    </row>
    <row r="474" spans="1:6" ht="15" customHeight="1">
      <c r="A474" s="1045" t="s">
        <v>2305</v>
      </c>
      <c r="B474" s="1045" t="s">
        <v>2306</v>
      </c>
      <c r="C474" s="1046" t="s">
        <v>88</v>
      </c>
      <c r="D474" s="1046" t="s">
        <v>3133</v>
      </c>
      <c r="E474" s="1046" t="s">
        <v>3131</v>
      </c>
      <c r="F474" s="3"/>
    </row>
    <row r="475" spans="1:6" ht="15" customHeight="1">
      <c r="A475" t="s">
        <v>2311</v>
      </c>
      <c r="B475" t="s">
        <v>2312</v>
      </c>
      <c r="C475" s="710" t="s">
        <v>88</v>
      </c>
      <c r="D475" s="710" t="s">
        <v>94</v>
      </c>
      <c r="E475" s="710" t="s">
        <v>3131</v>
      </c>
      <c r="F475" s="3"/>
    </row>
    <row r="476" spans="1:6" ht="15" customHeight="1">
      <c r="A476" t="s">
        <v>2313</v>
      </c>
      <c r="B476" t="s">
        <v>2314</v>
      </c>
      <c r="C476" s="710" t="s">
        <v>88</v>
      </c>
      <c r="D476" s="710" t="s">
        <v>94</v>
      </c>
      <c r="E476" s="710" t="s">
        <v>3131</v>
      </c>
      <c r="F476" s="3"/>
    </row>
    <row r="477" spans="1:6" ht="15" customHeight="1">
      <c r="A477" t="s">
        <v>2315</v>
      </c>
      <c r="B477" t="s">
        <v>2316</v>
      </c>
      <c r="C477" s="710" t="s">
        <v>88</v>
      </c>
      <c r="D477" s="710" t="s">
        <v>94</v>
      </c>
      <c r="E477" s="710" t="s">
        <v>3131</v>
      </c>
      <c r="F477" s="3"/>
    </row>
    <row r="478" spans="1:6" ht="15" customHeight="1">
      <c r="A478" t="s">
        <v>2317</v>
      </c>
      <c r="B478" t="s">
        <v>2318</v>
      </c>
      <c r="C478" s="710" t="s">
        <v>88</v>
      </c>
      <c r="D478" s="710" t="s">
        <v>94</v>
      </c>
      <c r="E478" s="710" t="s">
        <v>3131</v>
      </c>
      <c r="F478" s="3"/>
    </row>
    <row r="479" spans="1:6" ht="15" customHeight="1">
      <c r="A479" t="s">
        <v>2321</v>
      </c>
      <c r="B479" t="s">
        <v>2322</v>
      </c>
      <c r="C479" s="710" t="s">
        <v>88</v>
      </c>
      <c r="D479" s="710" t="s">
        <v>94</v>
      </c>
      <c r="E479" s="710" t="s">
        <v>3131</v>
      </c>
      <c r="F479" s="3"/>
    </row>
    <row r="480" spans="1:6" ht="15" customHeight="1">
      <c r="A480" t="s">
        <v>2323</v>
      </c>
      <c r="B480" t="s">
        <v>2324</v>
      </c>
      <c r="C480" s="710" t="s">
        <v>88</v>
      </c>
      <c r="D480" s="710" t="s">
        <v>94</v>
      </c>
      <c r="E480" s="710" t="s">
        <v>3131</v>
      </c>
      <c r="F480" s="3"/>
    </row>
    <row r="481" spans="1:6" ht="15" customHeight="1">
      <c r="A481" t="s">
        <v>2325</v>
      </c>
      <c r="B481" t="s">
        <v>2326</v>
      </c>
      <c r="C481" s="710" t="s">
        <v>88</v>
      </c>
      <c r="D481" s="710" t="s">
        <v>94</v>
      </c>
      <c r="E481" s="710" t="s">
        <v>3131</v>
      </c>
      <c r="F481" s="3"/>
    </row>
    <row r="482" spans="1:6" ht="15" customHeight="1">
      <c r="A482" t="s">
        <v>2329</v>
      </c>
      <c r="B482" t="s">
        <v>2330</v>
      </c>
      <c r="C482" s="710" t="s">
        <v>88</v>
      </c>
      <c r="D482" s="710" t="s">
        <v>94</v>
      </c>
      <c r="E482" s="710" t="s">
        <v>3131</v>
      </c>
      <c r="F482" s="3"/>
    </row>
    <row r="483" spans="1:6" ht="15" customHeight="1">
      <c r="A483" t="s">
        <v>2331</v>
      </c>
      <c r="B483" t="s">
        <v>2332</v>
      </c>
      <c r="C483" s="710" t="s">
        <v>88</v>
      </c>
      <c r="D483" s="710" t="s">
        <v>94</v>
      </c>
      <c r="E483" s="710" t="s">
        <v>3131</v>
      </c>
      <c r="F483" s="3"/>
    </row>
    <row r="484" spans="1:6" ht="15" customHeight="1">
      <c r="A484" t="s">
        <v>2333</v>
      </c>
      <c r="B484" t="s">
        <v>2334</v>
      </c>
      <c r="C484" s="710" t="s">
        <v>88</v>
      </c>
      <c r="D484" s="710" t="s">
        <v>94</v>
      </c>
      <c r="E484" s="710" t="s">
        <v>3131</v>
      </c>
      <c r="F484" s="3"/>
    </row>
    <row r="485" spans="1:6" ht="15" customHeight="1">
      <c r="A485" t="s">
        <v>2335</v>
      </c>
      <c r="B485" t="s">
        <v>2336</v>
      </c>
      <c r="C485" s="710" t="s">
        <v>88</v>
      </c>
      <c r="D485" s="710" t="s">
        <v>3133</v>
      </c>
      <c r="E485" s="710" t="s">
        <v>3131</v>
      </c>
      <c r="F485" s="3"/>
    </row>
    <row r="486" spans="1:6" ht="15" customHeight="1">
      <c r="A486" t="s">
        <v>2337</v>
      </c>
      <c r="B486" t="s">
        <v>2338</v>
      </c>
      <c r="C486" s="710" t="s">
        <v>88</v>
      </c>
      <c r="D486" s="710" t="s">
        <v>94</v>
      </c>
      <c r="E486" s="710" t="s">
        <v>3131</v>
      </c>
      <c r="F486" s="3"/>
    </row>
    <row r="487" spans="1:6" ht="15" customHeight="1">
      <c r="A487" t="s">
        <v>2341</v>
      </c>
      <c r="B487" t="s">
        <v>2342</v>
      </c>
      <c r="C487" s="710" t="s">
        <v>88</v>
      </c>
      <c r="D487" s="710" t="s">
        <v>94</v>
      </c>
      <c r="E487" s="710" t="s">
        <v>3131</v>
      </c>
      <c r="F487" s="3"/>
    </row>
    <row r="488" spans="1:6" ht="15" customHeight="1">
      <c r="A488" t="s">
        <v>2343</v>
      </c>
      <c r="B488" t="s">
        <v>2344</v>
      </c>
      <c r="C488" s="710" t="s">
        <v>88</v>
      </c>
      <c r="D488" s="710" t="s">
        <v>94</v>
      </c>
      <c r="E488" s="710" t="s">
        <v>3131</v>
      </c>
      <c r="F488" s="3"/>
    </row>
    <row r="489" spans="1:6" ht="15" customHeight="1">
      <c r="A489" t="s">
        <v>2345</v>
      </c>
      <c r="B489" t="s">
        <v>2346</v>
      </c>
      <c r="C489" s="710" t="s">
        <v>88</v>
      </c>
      <c r="D489" s="710" t="s">
        <v>3133</v>
      </c>
      <c r="E489" s="710" t="s">
        <v>3131</v>
      </c>
      <c r="F489" s="3"/>
    </row>
    <row r="490" spans="1:6" ht="15" customHeight="1">
      <c r="A490" t="s">
        <v>2349</v>
      </c>
      <c r="B490" t="s">
        <v>2350</v>
      </c>
      <c r="C490" s="710" t="s">
        <v>88</v>
      </c>
      <c r="D490" s="710" t="s">
        <v>94</v>
      </c>
      <c r="E490" s="710" t="s">
        <v>3131</v>
      </c>
      <c r="F490" s="3"/>
    </row>
    <row r="491" spans="1:6" ht="15" customHeight="1">
      <c r="A491" t="s">
        <v>2351</v>
      </c>
      <c r="B491" t="s">
        <v>2352</v>
      </c>
      <c r="C491" s="710" t="s">
        <v>88</v>
      </c>
      <c r="D491" s="710" t="s">
        <v>94</v>
      </c>
      <c r="E491" s="710" t="s">
        <v>3131</v>
      </c>
      <c r="F491" s="3"/>
    </row>
    <row r="492" spans="1:6" ht="15" customHeight="1">
      <c r="A492" t="s">
        <v>2353</v>
      </c>
      <c r="B492" t="s">
        <v>2354</v>
      </c>
      <c r="C492" s="710" t="s">
        <v>88</v>
      </c>
      <c r="D492" s="710" t="s">
        <v>94</v>
      </c>
      <c r="E492" s="710" t="s">
        <v>3131</v>
      </c>
      <c r="F492" s="3"/>
    </row>
    <row r="493" spans="1:6" ht="15" customHeight="1">
      <c r="A493" t="s">
        <v>2355</v>
      </c>
      <c r="B493" t="s">
        <v>2356</v>
      </c>
      <c r="C493" s="710" t="s">
        <v>88</v>
      </c>
      <c r="D493" s="710" t="s">
        <v>94</v>
      </c>
      <c r="E493" s="710" t="s">
        <v>3131</v>
      </c>
      <c r="F493" s="3"/>
    </row>
    <row r="494" spans="1:6" ht="15" customHeight="1">
      <c r="A494" t="s">
        <v>2357</v>
      </c>
      <c r="B494" t="s">
        <v>2358</v>
      </c>
      <c r="C494" s="710" t="s">
        <v>88</v>
      </c>
      <c r="D494" s="710" t="s">
        <v>3133</v>
      </c>
      <c r="E494" s="710" t="s">
        <v>3131</v>
      </c>
      <c r="F494" s="3"/>
    </row>
    <row r="495" spans="1:6" ht="15" customHeight="1">
      <c r="A495" t="s">
        <v>2361</v>
      </c>
      <c r="B495" t="s">
        <v>2362</v>
      </c>
      <c r="C495" s="710" t="s">
        <v>88</v>
      </c>
      <c r="D495" s="710" t="s">
        <v>94</v>
      </c>
      <c r="E495" s="710" t="s">
        <v>3131</v>
      </c>
      <c r="F495" s="3"/>
    </row>
    <row r="496" spans="1:6" ht="15" customHeight="1">
      <c r="A496" t="s">
        <v>2363</v>
      </c>
      <c r="B496" t="s">
        <v>2364</v>
      </c>
      <c r="C496" s="710" t="s">
        <v>88</v>
      </c>
      <c r="D496" s="710" t="s">
        <v>3133</v>
      </c>
      <c r="E496" s="710" t="s">
        <v>3131</v>
      </c>
      <c r="F496" s="3"/>
    </row>
    <row r="497" spans="1:6" ht="15" customHeight="1">
      <c r="A497" t="s">
        <v>2367</v>
      </c>
      <c r="B497" t="s">
        <v>2368</v>
      </c>
      <c r="C497" s="710" t="s">
        <v>88</v>
      </c>
      <c r="D497" s="710" t="s">
        <v>94</v>
      </c>
      <c r="E497" s="710" t="s">
        <v>3131</v>
      </c>
      <c r="F497" s="3"/>
    </row>
    <row r="498" spans="1:6" ht="15" customHeight="1">
      <c r="A498" t="s">
        <v>2369</v>
      </c>
      <c r="B498" t="s">
        <v>2370</v>
      </c>
      <c r="C498" s="710" t="s">
        <v>88</v>
      </c>
      <c r="D498" s="710" t="s">
        <v>3133</v>
      </c>
      <c r="E498" s="710" t="s">
        <v>3131</v>
      </c>
      <c r="F498" s="3"/>
    </row>
    <row r="499" spans="1:6" ht="15" customHeight="1">
      <c r="A499" t="s">
        <v>2373</v>
      </c>
      <c r="B499" t="s">
        <v>2374</v>
      </c>
      <c r="C499" s="710" t="s">
        <v>88</v>
      </c>
      <c r="D499" s="710" t="s">
        <v>94</v>
      </c>
      <c r="E499" s="710" t="s">
        <v>3131</v>
      </c>
      <c r="F499" s="3"/>
    </row>
    <row r="500" spans="1:6" ht="15" customHeight="1">
      <c r="A500" t="s">
        <v>2375</v>
      </c>
      <c r="B500" t="s">
        <v>2376</v>
      </c>
      <c r="C500" s="710" t="s">
        <v>88</v>
      </c>
      <c r="D500" s="710" t="s">
        <v>94</v>
      </c>
      <c r="E500" s="710" t="s">
        <v>3131</v>
      </c>
      <c r="F500" s="3"/>
    </row>
    <row r="501" spans="1:6" ht="15" customHeight="1">
      <c r="A501" t="s">
        <v>2381</v>
      </c>
      <c r="B501" t="s">
        <v>2382</v>
      </c>
      <c r="C501" s="710" t="s">
        <v>88</v>
      </c>
      <c r="D501" s="710" t="s">
        <v>99</v>
      </c>
      <c r="E501" s="710" t="s">
        <v>3131</v>
      </c>
      <c r="F501" s="3"/>
    </row>
    <row r="502" spans="1:6" ht="15" customHeight="1">
      <c r="A502" t="s">
        <v>2383</v>
      </c>
      <c r="B502" t="s">
        <v>2384</v>
      </c>
      <c r="C502" s="710" t="s">
        <v>88</v>
      </c>
      <c r="D502" s="710" t="s">
        <v>99</v>
      </c>
      <c r="E502" s="710" t="s">
        <v>3131</v>
      </c>
      <c r="F502" s="3"/>
    </row>
    <row r="503" spans="1:6" ht="15" customHeight="1">
      <c r="A503" t="s">
        <v>2385</v>
      </c>
      <c r="B503" t="s">
        <v>2386</v>
      </c>
      <c r="C503" s="710" t="s">
        <v>88</v>
      </c>
      <c r="D503" s="710" t="s">
        <v>102</v>
      </c>
      <c r="E503" s="710" t="s">
        <v>3131</v>
      </c>
      <c r="F503" s="3"/>
    </row>
    <row r="504" spans="1:6" ht="15" customHeight="1">
      <c r="A504" t="s">
        <v>2387</v>
      </c>
      <c r="B504" t="s">
        <v>2388</v>
      </c>
      <c r="C504" s="710" t="s">
        <v>88</v>
      </c>
      <c r="D504" s="710" t="s">
        <v>102</v>
      </c>
      <c r="E504" s="710" t="s">
        <v>3131</v>
      </c>
      <c r="F504" s="3"/>
    </row>
    <row r="505" spans="1:6" ht="15" customHeight="1">
      <c r="A505" t="s">
        <v>2389</v>
      </c>
      <c r="B505" t="s">
        <v>2390</v>
      </c>
      <c r="C505" s="710" t="s">
        <v>88</v>
      </c>
      <c r="D505" s="710" t="s">
        <v>103</v>
      </c>
      <c r="E505" s="710" t="s">
        <v>3131</v>
      </c>
      <c r="F505" s="3"/>
    </row>
    <row r="506" spans="1:6" ht="15" customHeight="1">
      <c r="A506" t="s">
        <v>2391</v>
      </c>
      <c r="B506" t="s">
        <v>2392</v>
      </c>
      <c r="C506" s="710" t="s">
        <v>88</v>
      </c>
      <c r="D506" s="710" t="s">
        <v>103</v>
      </c>
      <c r="E506" s="710" t="s">
        <v>3131</v>
      </c>
      <c r="F506" s="3"/>
    </row>
    <row r="507" spans="1:6" ht="15" customHeight="1">
      <c r="A507" t="s">
        <v>2393</v>
      </c>
      <c r="B507" t="s">
        <v>2394</v>
      </c>
      <c r="C507" s="710" t="s">
        <v>88</v>
      </c>
      <c r="D507" s="710" t="s">
        <v>102</v>
      </c>
      <c r="E507" s="710" t="s">
        <v>3131</v>
      </c>
      <c r="F507" s="3"/>
    </row>
    <row r="508" spans="1:6" ht="15" customHeight="1">
      <c r="A508" t="s">
        <v>2395</v>
      </c>
      <c r="B508" t="s">
        <v>2396</v>
      </c>
      <c r="C508" s="710" t="s">
        <v>88</v>
      </c>
      <c r="D508" s="710" t="s">
        <v>103</v>
      </c>
      <c r="E508" s="710" t="s">
        <v>3131</v>
      </c>
      <c r="F508" s="3"/>
    </row>
    <row r="509" spans="1:6" ht="15" customHeight="1">
      <c r="A509" t="s">
        <v>2397</v>
      </c>
      <c r="B509" t="s">
        <v>2398</v>
      </c>
      <c r="C509" s="710" t="s">
        <v>148</v>
      </c>
      <c r="D509" s="710" t="s">
        <v>149</v>
      </c>
      <c r="E509" s="710" t="s">
        <v>3131</v>
      </c>
      <c r="F509" s="3"/>
    </row>
    <row r="510" spans="1:6" ht="15" customHeight="1">
      <c r="A510" t="s">
        <v>2399</v>
      </c>
      <c r="B510" t="s">
        <v>2400</v>
      </c>
      <c r="C510" s="710" t="s">
        <v>148</v>
      </c>
      <c r="D510" s="710" t="s">
        <v>150</v>
      </c>
      <c r="E510" s="710" t="s">
        <v>3131</v>
      </c>
      <c r="F510" s="3"/>
    </row>
    <row r="511" spans="1:6" ht="15" customHeight="1">
      <c r="A511" t="s">
        <v>2403</v>
      </c>
      <c r="B511" t="s">
        <v>2404</v>
      </c>
      <c r="C511" s="710"/>
      <c r="D511" s="710"/>
      <c r="E511" s="710"/>
      <c r="F511" s="3"/>
    </row>
    <row r="512" spans="1:6" ht="15" customHeight="1">
      <c r="A512" t="s">
        <v>2405</v>
      </c>
      <c r="B512" t="s">
        <v>2406</v>
      </c>
      <c r="C512" s="710"/>
      <c r="D512" s="710"/>
      <c r="E512" s="710"/>
      <c r="F512" s="3"/>
    </row>
    <row r="513" spans="1:6" ht="15" customHeight="1">
      <c r="A513" t="s">
        <v>2407</v>
      </c>
      <c r="B513" t="s">
        <v>2408</v>
      </c>
      <c r="C513" s="710"/>
      <c r="D513" s="710"/>
      <c r="E513" s="710"/>
      <c r="F513" s="3"/>
    </row>
    <row r="514" spans="1:6" ht="15" customHeight="1">
      <c r="A514" t="s">
        <v>2409</v>
      </c>
      <c r="B514" t="s">
        <v>2410</v>
      </c>
      <c r="C514" s="710" t="s">
        <v>148</v>
      </c>
      <c r="D514" s="710" t="s">
        <v>152</v>
      </c>
      <c r="E514" s="710" t="s">
        <v>3131</v>
      </c>
      <c r="F514" s="3"/>
    </row>
    <row r="515" spans="1:6" ht="15" customHeight="1">
      <c r="A515" t="s">
        <v>2411</v>
      </c>
      <c r="B515" t="s">
        <v>2412</v>
      </c>
      <c r="C515" s="710"/>
      <c r="D515" s="710"/>
      <c r="E515" s="710"/>
      <c r="F515" s="3"/>
    </row>
    <row r="516" spans="1:6" ht="15" customHeight="1">
      <c r="A516" s="937" t="s">
        <v>2413</v>
      </c>
      <c r="B516" s="937" t="s">
        <v>2414</v>
      </c>
      <c r="C516" s="938" t="s">
        <v>148</v>
      </c>
      <c r="D516" s="938" t="s">
        <v>152</v>
      </c>
      <c r="E516" s="938" t="s">
        <v>3131</v>
      </c>
      <c r="F516" s="3" t="s">
        <v>3132</v>
      </c>
    </row>
    <row r="517" spans="1:6" ht="15" customHeight="1">
      <c r="A517" t="s">
        <v>2415</v>
      </c>
      <c r="B517" t="s">
        <v>2416</v>
      </c>
      <c r="C517" s="710" t="s">
        <v>148</v>
      </c>
      <c r="D517" s="710" t="s">
        <v>150</v>
      </c>
      <c r="E517" s="710" t="s">
        <v>3131</v>
      </c>
      <c r="F517" s="3"/>
    </row>
    <row r="518" spans="1:6" ht="15" customHeight="1">
      <c r="A518" t="s">
        <v>2419</v>
      </c>
      <c r="B518" t="s">
        <v>2420</v>
      </c>
      <c r="C518" s="710"/>
      <c r="D518" s="710"/>
      <c r="E518" s="710"/>
      <c r="F518" s="3"/>
    </row>
    <row r="519" spans="1:6" ht="15" customHeight="1">
      <c r="A519" t="s">
        <v>2421</v>
      </c>
      <c r="B519" t="s">
        <v>2422</v>
      </c>
      <c r="C519" s="710"/>
      <c r="D519" s="710"/>
      <c r="E519" s="710"/>
      <c r="F519" s="3"/>
    </row>
    <row r="520" spans="1:6" ht="15" customHeight="1">
      <c r="A520" t="s">
        <v>2423</v>
      </c>
      <c r="B520" t="s">
        <v>2424</v>
      </c>
      <c r="C520" s="710"/>
      <c r="D520" s="710"/>
      <c r="E520" s="710"/>
      <c r="F520" s="3"/>
    </row>
    <row r="521" spans="1:6" ht="15" customHeight="1">
      <c r="A521" t="s">
        <v>2425</v>
      </c>
      <c r="B521" t="s">
        <v>2426</v>
      </c>
      <c r="C521" s="710" t="s">
        <v>148</v>
      </c>
      <c r="D521" s="710" t="s">
        <v>152</v>
      </c>
      <c r="E521" s="710" t="s">
        <v>3131</v>
      </c>
      <c r="F521" s="3"/>
    </row>
    <row r="522" spans="1:6" ht="15" customHeight="1">
      <c r="A522" t="s">
        <v>2427</v>
      </c>
      <c r="B522" t="s">
        <v>2428</v>
      </c>
      <c r="C522" s="710" t="s">
        <v>1163</v>
      </c>
      <c r="D522" s="710" t="s">
        <v>1167</v>
      </c>
      <c r="E522" s="710" t="s">
        <v>3131</v>
      </c>
      <c r="F522" s="3"/>
    </row>
    <row r="523" spans="1:6" ht="15" customHeight="1">
      <c r="A523" t="s">
        <v>2429</v>
      </c>
      <c r="B523" t="s">
        <v>2430</v>
      </c>
      <c r="C523" s="710"/>
      <c r="D523" s="710"/>
      <c r="E523" s="710"/>
      <c r="F523" s="3"/>
    </row>
    <row r="524" spans="1:6" ht="15" customHeight="1">
      <c r="A524" t="s">
        <v>2431</v>
      </c>
      <c r="B524" t="s">
        <v>2432</v>
      </c>
      <c r="C524" s="710" t="s">
        <v>148</v>
      </c>
      <c r="D524" s="710" t="s">
        <v>102</v>
      </c>
      <c r="E524" s="710" t="s">
        <v>3131</v>
      </c>
      <c r="F524" s="3"/>
    </row>
    <row r="525" spans="1:6" ht="15" customHeight="1">
      <c r="A525" t="s">
        <v>2433</v>
      </c>
      <c r="B525" s="706" t="s">
        <v>2434</v>
      </c>
      <c r="C525" s="710" t="s">
        <v>148</v>
      </c>
      <c r="D525" s="710" t="s">
        <v>102</v>
      </c>
      <c r="E525" s="710" t="s">
        <v>3131</v>
      </c>
      <c r="F525" s="3"/>
    </row>
    <row r="526" spans="1:6" ht="15" customHeight="1">
      <c r="A526" t="s">
        <v>2435</v>
      </c>
      <c r="B526" t="s">
        <v>2436</v>
      </c>
      <c r="C526" s="710" t="s">
        <v>148</v>
      </c>
      <c r="D526" s="710" t="s">
        <v>102</v>
      </c>
      <c r="E526" s="710" t="s">
        <v>3131</v>
      </c>
      <c r="F526" s="3"/>
    </row>
    <row r="527" spans="1:6" ht="15" customHeight="1">
      <c r="A527" s="941" t="s">
        <v>2437</v>
      </c>
      <c r="B527" s="941" t="s">
        <v>2438</v>
      </c>
      <c r="C527" s="710" t="s">
        <v>1163</v>
      </c>
      <c r="D527" s="710" t="s">
        <v>1165</v>
      </c>
      <c r="E527" s="710" t="s">
        <v>3131</v>
      </c>
      <c r="F527" s="3"/>
    </row>
    <row r="528" spans="1:6" ht="15" customHeight="1">
      <c r="A528" s="941" t="s">
        <v>2439</v>
      </c>
      <c r="B528" s="941" t="s">
        <v>2440</v>
      </c>
      <c r="C528" s="710" t="s">
        <v>1163</v>
      </c>
      <c r="D528" s="710" t="s">
        <v>1165</v>
      </c>
      <c r="E528" s="710" t="s">
        <v>3131</v>
      </c>
      <c r="F528" s="3"/>
    </row>
    <row r="529" spans="1:6" ht="15" customHeight="1">
      <c r="A529" t="s">
        <v>2441</v>
      </c>
      <c r="B529" t="s">
        <v>2442</v>
      </c>
      <c r="C529" s="710" t="s">
        <v>1163</v>
      </c>
      <c r="D529" s="710" t="s">
        <v>1165</v>
      </c>
      <c r="E529" s="710" t="s">
        <v>3131</v>
      </c>
      <c r="F529" s="3"/>
    </row>
    <row r="530" spans="1:6" ht="15" customHeight="1">
      <c r="A530" s="1045" t="s">
        <v>2443</v>
      </c>
      <c r="B530" s="1045" t="s">
        <v>2444</v>
      </c>
      <c r="C530" s="1046"/>
      <c r="D530" s="1046"/>
      <c r="E530" s="1046"/>
      <c r="F530" s="3"/>
    </row>
    <row r="531" spans="1:6" ht="15" customHeight="1">
      <c r="A531" t="s">
        <v>2445</v>
      </c>
      <c r="B531" t="s">
        <v>2446</v>
      </c>
      <c r="C531" s="710" t="s">
        <v>1163</v>
      </c>
      <c r="D531" s="710" t="s">
        <v>1166</v>
      </c>
      <c r="E531" s="710" t="s">
        <v>3131</v>
      </c>
      <c r="F531" s="3"/>
    </row>
    <row r="532" spans="1:6" ht="15" customHeight="1">
      <c r="A532" t="s">
        <v>2447</v>
      </c>
      <c r="B532" t="s">
        <v>2448</v>
      </c>
      <c r="C532" s="710" t="s">
        <v>157</v>
      </c>
      <c r="D532" s="710" t="s">
        <v>160</v>
      </c>
      <c r="E532" s="710" t="s">
        <v>3131</v>
      </c>
      <c r="F532" s="3"/>
    </row>
    <row r="533" spans="1:6" ht="15" customHeight="1">
      <c r="A533" s="937" t="s">
        <v>2453</v>
      </c>
      <c r="B533" s="937" t="s">
        <v>2454</v>
      </c>
      <c r="C533" s="938" t="s">
        <v>157</v>
      </c>
      <c r="D533" s="938" t="s">
        <v>160</v>
      </c>
      <c r="E533" s="938" t="s">
        <v>3131</v>
      </c>
      <c r="F533" s="3"/>
    </row>
    <row r="534" spans="1:6" ht="15" customHeight="1">
      <c r="A534" t="s">
        <v>2455</v>
      </c>
      <c r="B534" t="s">
        <v>2456</v>
      </c>
      <c r="C534" s="710" t="s">
        <v>1162</v>
      </c>
      <c r="D534" s="710" t="s">
        <v>1171</v>
      </c>
      <c r="E534" s="710" t="s">
        <v>3131</v>
      </c>
      <c r="F534" s="3"/>
    </row>
    <row r="535" spans="1:6" ht="15" customHeight="1">
      <c r="A535" t="s">
        <v>2457</v>
      </c>
      <c r="B535" t="s">
        <v>2458</v>
      </c>
      <c r="C535" s="710" t="s">
        <v>1162</v>
      </c>
      <c r="D535" s="710" t="s">
        <v>1169</v>
      </c>
      <c r="E535" s="710" t="s">
        <v>3131</v>
      </c>
      <c r="F535" s="3"/>
    </row>
    <row r="536" spans="1:6" ht="15" customHeight="1">
      <c r="A536" t="s">
        <v>2459</v>
      </c>
      <c r="B536" s="706" t="s">
        <v>2460</v>
      </c>
      <c r="C536" s="710" t="s">
        <v>1162</v>
      </c>
      <c r="D536" s="710" t="s">
        <v>1170</v>
      </c>
      <c r="E536" s="710" t="s">
        <v>3131</v>
      </c>
      <c r="F536" s="3"/>
    </row>
    <row r="537" spans="1:6" ht="15" customHeight="1">
      <c r="A537" t="s">
        <v>2461</v>
      </c>
      <c r="B537" t="s">
        <v>2462</v>
      </c>
      <c r="C537" s="710" t="s">
        <v>157</v>
      </c>
      <c r="D537" s="710" t="s">
        <v>162</v>
      </c>
      <c r="E537" s="710" t="s">
        <v>3131</v>
      </c>
      <c r="F537" s="3"/>
    </row>
    <row r="538" spans="1:6" ht="15" customHeight="1">
      <c r="A538" t="s">
        <v>2463</v>
      </c>
      <c r="B538" t="s">
        <v>2464</v>
      </c>
      <c r="C538" s="710" t="s">
        <v>157</v>
      </c>
      <c r="D538" s="710" t="s">
        <v>163</v>
      </c>
      <c r="E538" s="710" t="s">
        <v>3131</v>
      </c>
      <c r="F538" s="3"/>
    </row>
    <row r="539" spans="1:6" ht="15" customHeight="1">
      <c r="A539" t="s">
        <v>2465</v>
      </c>
      <c r="B539" t="s">
        <v>2466</v>
      </c>
      <c r="C539" s="710" t="s">
        <v>1162</v>
      </c>
      <c r="D539" s="710" t="s">
        <v>1169</v>
      </c>
      <c r="E539" s="710" t="s">
        <v>3131</v>
      </c>
      <c r="F539" s="3"/>
    </row>
    <row r="540" spans="1:6" ht="15" customHeight="1">
      <c r="A540" t="s">
        <v>2467</v>
      </c>
      <c r="B540" t="s">
        <v>2468</v>
      </c>
      <c r="C540" s="710" t="s">
        <v>157</v>
      </c>
      <c r="D540" s="710" t="s">
        <v>163</v>
      </c>
      <c r="E540" s="710" t="s">
        <v>3131</v>
      </c>
      <c r="F540" s="3"/>
    </row>
    <row r="541" spans="1:6" ht="15" customHeight="1">
      <c r="A541" t="s">
        <v>2471</v>
      </c>
      <c r="B541" t="s">
        <v>2472</v>
      </c>
      <c r="C541" s="710"/>
      <c r="D541" s="710"/>
      <c r="E541" s="710"/>
      <c r="F541" s="3"/>
    </row>
    <row r="542" spans="1:6" ht="15" customHeight="1">
      <c r="A542" t="s">
        <v>2473</v>
      </c>
      <c r="B542" t="s">
        <v>2474</v>
      </c>
      <c r="C542" s="710" t="s">
        <v>157</v>
      </c>
      <c r="D542" s="710" t="s">
        <v>168</v>
      </c>
      <c r="E542" s="710" t="s">
        <v>3131</v>
      </c>
      <c r="F542" s="3"/>
    </row>
    <row r="543" spans="1:6" ht="15" customHeight="1">
      <c r="A543" t="s">
        <v>2475</v>
      </c>
      <c r="B543" t="s">
        <v>3139</v>
      </c>
      <c r="C543" s="710" t="s">
        <v>1162</v>
      </c>
      <c r="D543" s="710" t="s">
        <v>1169</v>
      </c>
      <c r="E543" s="710" t="s">
        <v>3131</v>
      </c>
      <c r="F543" s="3"/>
    </row>
    <row r="544" spans="1:6" ht="15" customHeight="1">
      <c r="A544" t="s">
        <v>2479</v>
      </c>
      <c r="B544" t="s">
        <v>2480</v>
      </c>
      <c r="C544" s="710" t="s">
        <v>176</v>
      </c>
      <c r="D544" s="710" t="s">
        <v>178</v>
      </c>
      <c r="E544" s="710" t="s">
        <v>3131</v>
      </c>
      <c r="F544" s="3"/>
    </row>
    <row r="545" spans="1:6" ht="15" customHeight="1">
      <c r="A545" t="s">
        <v>2481</v>
      </c>
      <c r="B545" t="s">
        <v>2482</v>
      </c>
      <c r="C545" s="710" t="s">
        <v>176</v>
      </c>
      <c r="D545" s="710" t="s">
        <v>178</v>
      </c>
      <c r="E545" s="710" t="s">
        <v>3131</v>
      </c>
      <c r="F545" s="3"/>
    </row>
    <row r="546" spans="1:6" ht="15" customHeight="1">
      <c r="A546" t="s">
        <v>2483</v>
      </c>
      <c r="B546" t="s">
        <v>2484</v>
      </c>
      <c r="C546" s="710"/>
      <c r="D546" s="710"/>
      <c r="E546" s="710"/>
      <c r="F546" s="3"/>
    </row>
    <row r="547" spans="1:6" ht="15" customHeight="1">
      <c r="A547" t="s">
        <v>2485</v>
      </c>
      <c r="B547" t="s">
        <v>2486</v>
      </c>
      <c r="C547" s="710"/>
      <c r="D547" s="710"/>
      <c r="E547" s="710"/>
      <c r="F547" s="3"/>
    </row>
    <row r="548" spans="1:6" ht="15" customHeight="1">
      <c r="A548" t="s">
        <v>2487</v>
      </c>
      <c r="B548" t="s">
        <v>2488</v>
      </c>
      <c r="C548" s="710"/>
      <c r="D548" s="710"/>
      <c r="E548" s="710"/>
      <c r="F548" s="3"/>
    </row>
    <row r="549" spans="1:6" ht="15" customHeight="1">
      <c r="A549" t="s">
        <v>2491</v>
      </c>
      <c r="B549" t="s">
        <v>2492</v>
      </c>
      <c r="C549" s="710" t="s">
        <v>157</v>
      </c>
      <c r="D549" s="710" t="s">
        <v>168</v>
      </c>
      <c r="E549" s="710" t="s">
        <v>3131</v>
      </c>
      <c r="F549" s="3"/>
    </row>
    <row r="550" spans="1:6" ht="15" customHeight="1">
      <c r="A550" t="s">
        <v>2493</v>
      </c>
      <c r="B550" t="s">
        <v>2494</v>
      </c>
      <c r="C550" s="710" t="s">
        <v>172</v>
      </c>
      <c r="D550" s="710" t="s">
        <v>1174</v>
      </c>
      <c r="E550" s="710" t="s">
        <v>3131</v>
      </c>
      <c r="F550" s="3"/>
    </row>
    <row r="551" spans="1:6" ht="15" customHeight="1">
      <c r="A551" t="s">
        <v>2495</v>
      </c>
      <c r="B551" t="s">
        <v>2496</v>
      </c>
      <c r="C551" s="710" t="s">
        <v>172</v>
      </c>
      <c r="D551" s="710" t="s">
        <v>1173</v>
      </c>
      <c r="E551" s="710" t="s">
        <v>3131</v>
      </c>
      <c r="F551" s="3"/>
    </row>
    <row r="552" spans="1:6" ht="15" customHeight="1">
      <c r="A552" t="s">
        <v>2497</v>
      </c>
      <c r="B552" t="s">
        <v>2498</v>
      </c>
      <c r="C552" s="710" t="s">
        <v>172</v>
      </c>
      <c r="D552" s="710" t="s">
        <v>1174</v>
      </c>
      <c r="E552" s="710" t="s">
        <v>3131</v>
      </c>
      <c r="F552" s="3"/>
    </row>
    <row r="553" spans="1:6" ht="15" customHeight="1">
      <c r="A553" t="s">
        <v>2499</v>
      </c>
      <c r="B553" t="s">
        <v>2500</v>
      </c>
      <c r="C553" s="710" t="s">
        <v>172</v>
      </c>
      <c r="D553" s="710" t="s">
        <v>1173</v>
      </c>
      <c r="E553" s="710" t="s">
        <v>3131</v>
      </c>
      <c r="F553" s="3"/>
    </row>
    <row r="554" spans="1:6" ht="15" customHeight="1">
      <c r="A554" t="s">
        <v>2501</v>
      </c>
      <c r="B554" t="s">
        <v>2502</v>
      </c>
      <c r="C554" s="710" t="s">
        <v>172</v>
      </c>
      <c r="D554" s="710" t="s">
        <v>1174</v>
      </c>
      <c r="E554" s="710" t="s">
        <v>3131</v>
      </c>
      <c r="F554" s="3"/>
    </row>
    <row r="555" spans="1:6" ht="15" customHeight="1">
      <c r="A555" t="s">
        <v>2503</v>
      </c>
      <c r="B555" t="s">
        <v>2504</v>
      </c>
      <c r="C555" s="710" t="s">
        <v>172</v>
      </c>
      <c r="D555" s="710" t="s">
        <v>1173</v>
      </c>
      <c r="E555" s="710" t="s">
        <v>3131</v>
      </c>
      <c r="F555" s="3"/>
    </row>
    <row r="556" spans="1:6" ht="15" customHeight="1">
      <c r="A556" t="s">
        <v>2505</v>
      </c>
      <c r="B556" t="s">
        <v>2506</v>
      </c>
      <c r="C556" s="710" t="s">
        <v>172</v>
      </c>
      <c r="D556" s="710" t="s">
        <v>1173</v>
      </c>
      <c r="E556" s="710" t="s">
        <v>3131</v>
      </c>
      <c r="F556" s="3"/>
    </row>
    <row r="557" spans="1:6" ht="15" customHeight="1">
      <c r="A557" t="s">
        <v>2507</v>
      </c>
      <c r="B557" t="s">
        <v>2508</v>
      </c>
      <c r="C557" s="710" t="s">
        <v>172</v>
      </c>
      <c r="D557" s="710" t="s">
        <v>1172</v>
      </c>
      <c r="E557" s="710" t="s">
        <v>3131</v>
      </c>
      <c r="F557" s="3"/>
    </row>
    <row r="558" spans="1:6" ht="15" customHeight="1">
      <c r="A558" t="s">
        <v>2509</v>
      </c>
      <c r="B558" t="s">
        <v>2510</v>
      </c>
      <c r="C558" s="710" t="s">
        <v>172</v>
      </c>
      <c r="D558" s="710" t="s">
        <v>1172</v>
      </c>
      <c r="E558" s="710" t="s">
        <v>3131</v>
      </c>
      <c r="F558" s="3"/>
    </row>
    <row r="559" spans="1:6" ht="15" customHeight="1">
      <c r="A559" t="s">
        <v>2511</v>
      </c>
      <c r="B559" t="s">
        <v>2512</v>
      </c>
      <c r="C559" s="710" t="s">
        <v>172</v>
      </c>
      <c r="D559" s="710" t="s">
        <v>1172</v>
      </c>
      <c r="E559" s="710" t="s">
        <v>3131</v>
      </c>
      <c r="F559" s="3"/>
    </row>
    <row r="560" spans="1:6" ht="15" customHeight="1">
      <c r="A560" t="s">
        <v>2513</v>
      </c>
      <c r="B560" t="s">
        <v>2514</v>
      </c>
      <c r="C560" s="710" t="s">
        <v>172</v>
      </c>
      <c r="D560" s="710" t="s">
        <v>1172</v>
      </c>
      <c r="E560" s="710" t="s">
        <v>3131</v>
      </c>
      <c r="F560" s="3"/>
    </row>
    <row r="561" spans="1:6" ht="15" customHeight="1">
      <c r="A561" t="s">
        <v>2515</v>
      </c>
      <c r="B561" t="s">
        <v>2516</v>
      </c>
      <c r="C561" s="710" t="s">
        <v>172</v>
      </c>
      <c r="D561" s="710" t="s">
        <v>1175</v>
      </c>
      <c r="E561" s="710" t="s">
        <v>3131</v>
      </c>
      <c r="F561" s="3"/>
    </row>
    <row r="562" spans="1:6" ht="15" customHeight="1">
      <c r="A562" t="s">
        <v>2517</v>
      </c>
      <c r="B562" t="s">
        <v>2518</v>
      </c>
      <c r="C562" s="710" t="s">
        <v>172</v>
      </c>
      <c r="D562" s="710" t="s">
        <v>1174</v>
      </c>
      <c r="E562" s="710" t="s">
        <v>3131</v>
      </c>
      <c r="F562" s="3"/>
    </row>
    <row r="563" spans="1:6" ht="15" customHeight="1">
      <c r="A563" t="s">
        <v>2519</v>
      </c>
      <c r="B563" t="s">
        <v>2520</v>
      </c>
      <c r="C563" s="710" t="s">
        <v>172</v>
      </c>
      <c r="D563" s="710" t="s">
        <v>1172</v>
      </c>
      <c r="E563" s="710" t="s">
        <v>3131</v>
      </c>
      <c r="F563" s="3"/>
    </row>
    <row r="564" spans="1:6" ht="15" customHeight="1">
      <c r="A564" t="s">
        <v>2521</v>
      </c>
      <c r="B564" t="s">
        <v>2522</v>
      </c>
      <c r="C564" s="710" t="s">
        <v>172</v>
      </c>
      <c r="D564" s="710" t="s">
        <v>1173</v>
      </c>
      <c r="E564" s="710" t="s">
        <v>3131</v>
      </c>
      <c r="F564" s="3"/>
    </row>
    <row r="565" spans="1:6" ht="15" customHeight="1">
      <c r="A565" t="s">
        <v>2523</v>
      </c>
      <c r="B565" t="s">
        <v>2524</v>
      </c>
      <c r="C565" s="710" t="s">
        <v>172</v>
      </c>
      <c r="D565" s="710" t="s">
        <v>1174</v>
      </c>
      <c r="E565" s="710" t="s">
        <v>3131</v>
      </c>
      <c r="F565" s="3"/>
    </row>
    <row r="566" spans="1:6" ht="15" customHeight="1">
      <c r="A566" t="s">
        <v>2525</v>
      </c>
      <c r="B566" t="s">
        <v>2526</v>
      </c>
      <c r="C566" s="710" t="s">
        <v>172</v>
      </c>
      <c r="D566" s="710" t="s">
        <v>1172</v>
      </c>
      <c r="E566" s="710" t="s">
        <v>3131</v>
      </c>
      <c r="F566" s="3"/>
    </row>
    <row r="567" spans="1:6" ht="15" customHeight="1">
      <c r="A567" t="s">
        <v>2527</v>
      </c>
      <c r="B567" t="s">
        <v>2528</v>
      </c>
      <c r="C567" s="710" t="s">
        <v>172</v>
      </c>
      <c r="D567" s="710" t="s">
        <v>1173</v>
      </c>
      <c r="E567" s="710" t="s">
        <v>3131</v>
      </c>
      <c r="F567" s="3"/>
    </row>
    <row r="568" spans="1:6" ht="15" customHeight="1">
      <c r="A568" s="1045" t="s">
        <v>2529</v>
      </c>
      <c r="B568" s="1045" t="s">
        <v>2530</v>
      </c>
      <c r="C568" s="1046" t="s">
        <v>172</v>
      </c>
      <c r="D568" s="1046" t="s">
        <v>1174</v>
      </c>
      <c r="E568" s="1046" t="s">
        <v>3131</v>
      </c>
      <c r="F568" s="3"/>
    </row>
    <row r="569" spans="1:6" ht="15" customHeight="1">
      <c r="A569" t="s">
        <v>2531</v>
      </c>
      <c r="B569" t="s">
        <v>2532</v>
      </c>
      <c r="C569" s="710"/>
      <c r="D569" s="710"/>
      <c r="E569" s="710"/>
      <c r="F569" s="3"/>
    </row>
    <row r="570" spans="1:6" ht="15" customHeight="1">
      <c r="A570" t="s">
        <v>2533</v>
      </c>
      <c r="B570" t="s">
        <v>2534</v>
      </c>
      <c r="C570" s="710"/>
      <c r="D570" s="710"/>
      <c r="E570" s="710"/>
      <c r="F570" s="3"/>
    </row>
    <row r="571" spans="1:6" ht="15" customHeight="1">
      <c r="A571" t="s">
        <v>2535</v>
      </c>
      <c r="B571" t="s">
        <v>2536</v>
      </c>
      <c r="C571" s="710" t="s">
        <v>176</v>
      </c>
      <c r="D571" s="710" t="s">
        <v>179</v>
      </c>
      <c r="E571" s="710" t="s">
        <v>3131</v>
      </c>
      <c r="F571" s="3"/>
    </row>
    <row r="572" spans="1:6" ht="15" customHeight="1">
      <c r="A572" t="s">
        <v>2537</v>
      </c>
      <c r="B572" t="s">
        <v>2538</v>
      </c>
      <c r="C572" s="710"/>
      <c r="D572" s="710"/>
      <c r="E572" s="710"/>
      <c r="F572" s="3"/>
    </row>
    <row r="573" spans="1:6" ht="15" customHeight="1">
      <c r="A573" t="s">
        <v>2539</v>
      </c>
      <c r="B573" t="s">
        <v>2540</v>
      </c>
      <c r="C573" s="710"/>
      <c r="D573" s="710"/>
      <c r="E573" s="710"/>
      <c r="F573" s="3"/>
    </row>
    <row r="574" spans="1:6" ht="15" customHeight="1">
      <c r="A574" t="s">
        <v>2541</v>
      </c>
      <c r="B574" t="s">
        <v>2542</v>
      </c>
      <c r="C574" s="710" t="s">
        <v>172</v>
      </c>
      <c r="D574" s="710" t="s">
        <v>1174</v>
      </c>
      <c r="E574" s="710" t="s">
        <v>3131</v>
      </c>
      <c r="F574" s="3"/>
    </row>
    <row r="575" spans="1:6" ht="15" customHeight="1">
      <c r="A575" t="s">
        <v>2543</v>
      </c>
      <c r="B575" t="s">
        <v>2544</v>
      </c>
      <c r="C575" s="710" t="s">
        <v>172</v>
      </c>
      <c r="D575" s="710" t="s">
        <v>1172</v>
      </c>
      <c r="E575" s="710" t="s">
        <v>3131</v>
      </c>
      <c r="F575" s="3"/>
    </row>
    <row r="576" spans="1:6" ht="15" customHeight="1">
      <c r="A576" t="s">
        <v>2545</v>
      </c>
      <c r="B576" t="s">
        <v>2546</v>
      </c>
      <c r="C576" s="710" t="s">
        <v>172</v>
      </c>
      <c r="D576" s="710" t="s">
        <v>1173</v>
      </c>
      <c r="E576" s="710" t="s">
        <v>3131</v>
      </c>
      <c r="F576" s="3"/>
    </row>
    <row r="577" spans="1:6" ht="15" customHeight="1">
      <c r="A577" t="s">
        <v>2547</v>
      </c>
      <c r="B577" t="s">
        <v>2548</v>
      </c>
      <c r="C577" s="710" t="s">
        <v>172</v>
      </c>
      <c r="D577" s="710" t="s">
        <v>1174</v>
      </c>
      <c r="E577" s="710" t="s">
        <v>3131</v>
      </c>
      <c r="F577" s="3"/>
    </row>
    <row r="578" spans="1:6" ht="15" customHeight="1">
      <c r="A578" t="s">
        <v>2549</v>
      </c>
      <c r="B578" t="s">
        <v>2550</v>
      </c>
      <c r="C578" s="710" t="s">
        <v>172</v>
      </c>
      <c r="D578" s="710" t="s">
        <v>1172</v>
      </c>
      <c r="E578" s="710" t="s">
        <v>3131</v>
      </c>
      <c r="F578" s="3"/>
    </row>
    <row r="579" spans="1:6" ht="15" customHeight="1">
      <c r="A579" t="s">
        <v>2551</v>
      </c>
      <c r="B579" t="s">
        <v>2552</v>
      </c>
      <c r="C579" s="710" t="s">
        <v>172</v>
      </c>
      <c r="D579" s="710" t="s">
        <v>1173</v>
      </c>
      <c r="E579" s="710" t="s">
        <v>3131</v>
      </c>
      <c r="F579" s="3"/>
    </row>
    <row r="580" spans="1:6" ht="15" customHeight="1">
      <c r="A580" t="s">
        <v>2553</v>
      </c>
      <c r="B580" t="s">
        <v>2554</v>
      </c>
      <c r="C580" s="710" t="s">
        <v>176</v>
      </c>
      <c r="D580" s="710" t="s">
        <v>180</v>
      </c>
      <c r="E580" s="710" t="s">
        <v>3131</v>
      </c>
      <c r="F580" s="3"/>
    </row>
    <row r="581" spans="1:6" ht="15" customHeight="1">
      <c r="A581" t="s">
        <v>2555</v>
      </c>
      <c r="B581" t="s">
        <v>2556</v>
      </c>
      <c r="C581" s="710" t="s">
        <v>176</v>
      </c>
      <c r="D581" s="710" t="s">
        <v>180</v>
      </c>
      <c r="E581" s="710" t="s">
        <v>3131</v>
      </c>
      <c r="F581" s="3"/>
    </row>
    <row r="582" spans="1:6" ht="15" customHeight="1">
      <c r="A582" t="s">
        <v>2557</v>
      </c>
      <c r="B582" t="s">
        <v>2558</v>
      </c>
      <c r="C582" s="710" t="s">
        <v>176</v>
      </c>
      <c r="D582" s="710" t="s">
        <v>181</v>
      </c>
      <c r="E582" s="710" t="s">
        <v>3131</v>
      </c>
      <c r="F582" s="3"/>
    </row>
    <row r="583" spans="1:6" ht="15" customHeight="1">
      <c r="A583" t="s">
        <v>2559</v>
      </c>
      <c r="B583" t="s">
        <v>2560</v>
      </c>
      <c r="C583" s="710" t="s">
        <v>176</v>
      </c>
      <c r="D583" s="710" t="s">
        <v>181</v>
      </c>
      <c r="E583" s="710" t="s">
        <v>3131</v>
      </c>
      <c r="F583" s="3"/>
    </row>
    <row r="584" spans="1:6" ht="15" customHeight="1">
      <c r="A584" t="s">
        <v>2561</v>
      </c>
      <c r="B584" t="s">
        <v>2562</v>
      </c>
      <c r="C584" s="710" t="s">
        <v>176</v>
      </c>
      <c r="D584" s="710" t="s">
        <v>182</v>
      </c>
      <c r="E584" s="710" t="s">
        <v>3131</v>
      </c>
      <c r="F584" s="3"/>
    </row>
    <row r="585" spans="1:6" ht="15" customHeight="1">
      <c r="A585" t="s">
        <v>2563</v>
      </c>
      <c r="B585" t="s">
        <v>2564</v>
      </c>
      <c r="C585" s="710" t="s">
        <v>176</v>
      </c>
      <c r="D585" s="710" t="s">
        <v>183</v>
      </c>
      <c r="E585" s="710" t="s">
        <v>3131</v>
      </c>
      <c r="F585" s="3"/>
    </row>
    <row r="586" spans="1:6" ht="15" customHeight="1">
      <c r="A586" t="s">
        <v>2565</v>
      </c>
      <c r="B586" t="s">
        <v>2566</v>
      </c>
      <c r="C586" s="710"/>
      <c r="D586" s="710"/>
      <c r="E586" s="710"/>
      <c r="F586" s="3"/>
    </row>
    <row r="587" spans="1:6" ht="15" customHeight="1">
      <c r="A587" t="s">
        <v>2567</v>
      </c>
      <c r="B587" t="s">
        <v>2568</v>
      </c>
      <c r="C587" s="710"/>
      <c r="D587" s="710"/>
      <c r="E587" s="710"/>
      <c r="F587" s="3"/>
    </row>
    <row r="588" spans="1:6" ht="15" customHeight="1">
      <c r="A588" t="s">
        <v>2569</v>
      </c>
      <c r="B588" t="s">
        <v>2570</v>
      </c>
      <c r="C588" s="710" t="s">
        <v>176</v>
      </c>
      <c r="D588" s="710" t="s">
        <v>187</v>
      </c>
      <c r="E588" s="710" t="s">
        <v>3131</v>
      </c>
      <c r="F588" s="3"/>
    </row>
    <row r="589" spans="1:6" ht="15" customHeight="1">
      <c r="A589" t="s">
        <v>2571</v>
      </c>
      <c r="B589" t="s">
        <v>2572</v>
      </c>
      <c r="C589" s="710" t="s">
        <v>176</v>
      </c>
      <c r="D589" s="710" t="s">
        <v>188</v>
      </c>
      <c r="E589" s="710" t="s">
        <v>3131</v>
      </c>
      <c r="F589" s="3"/>
    </row>
    <row r="590" spans="1:6" ht="15" customHeight="1">
      <c r="A590" t="s">
        <v>2573</v>
      </c>
      <c r="B590" t="s">
        <v>2574</v>
      </c>
      <c r="C590" s="710" t="s">
        <v>157</v>
      </c>
      <c r="D590" s="710" t="s">
        <v>127</v>
      </c>
      <c r="E590" s="710"/>
      <c r="F590" s="3"/>
    </row>
    <row r="591" spans="1:6" ht="15" customHeight="1">
      <c r="A591" t="s">
        <v>2575</v>
      </c>
      <c r="B591" t="s">
        <v>2576</v>
      </c>
      <c r="C591" s="710" t="s">
        <v>172</v>
      </c>
      <c r="D591" s="710" t="s">
        <v>127</v>
      </c>
      <c r="E591" s="710"/>
      <c r="F591" s="3"/>
    </row>
    <row r="592" spans="1:6" ht="15" customHeight="1">
      <c r="A592" t="s">
        <v>2601</v>
      </c>
      <c r="B592" t="s">
        <v>2602</v>
      </c>
      <c r="C592" s="710"/>
      <c r="D592" s="710"/>
      <c r="E592" s="710"/>
      <c r="F592" s="3"/>
    </row>
    <row r="593" spans="1:6" ht="15" customHeight="1">
      <c r="A593" t="s">
        <v>2607</v>
      </c>
      <c r="B593" t="s">
        <v>2608</v>
      </c>
      <c r="C593" s="710"/>
      <c r="D593" s="710"/>
      <c r="E593" s="710"/>
      <c r="F593" s="3"/>
    </row>
    <row r="594" spans="1:6" ht="15" customHeight="1">
      <c r="A594" t="s">
        <v>2625</v>
      </c>
      <c r="B594" t="s">
        <v>2626</v>
      </c>
      <c r="C594" s="710" t="s">
        <v>88</v>
      </c>
      <c r="D594" s="710" t="s">
        <v>93</v>
      </c>
      <c r="E594" s="710"/>
      <c r="F594" s="3"/>
    </row>
    <row r="595" spans="1:6" ht="15" customHeight="1">
      <c r="A595" t="s">
        <v>2627</v>
      </c>
      <c r="B595" t="s">
        <v>2628</v>
      </c>
      <c r="C595" s="710" t="s">
        <v>88</v>
      </c>
      <c r="D595" s="710" t="s">
        <v>93</v>
      </c>
      <c r="E595" s="710"/>
      <c r="F595" s="3"/>
    </row>
    <row r="596" spans="1:6" ht="15" customHeight="1">
      <c r="A596" t="s">
        <v>2629</v>
      </c>
      <c r="B596" t="s">
        <v>2630</v>
      </c>
      <c r="C596" s="710" t="s">
        <v>88</v>
      </c>
      <c r="D596" s="710" t="s">
        <v>93</v>
      </c>
      <c r="E596" s="710"/>
      <c r="F596" s="3"/>
    </row>
    <row r="597" spans="1:6" ht="15" customHeight="1">
      <c r="A597" t="s">
        <v>2631</v>
      </c>
      <c r="B597" t="s">
        <v>2632</v>
      </c>
      <c r="C597" s="710" t="s">
        <v>88</v>
      </c>
      <c r="D597" s="710" t="s">
        <v>93</v>
      </c>
      <c r="E597" s="710"/>
      <c r="F597" s="3"/>
    </row>
    <row r="598" spans="1:6" ht="15" customHeight="1">
      <c r="A598" t="s">
        <v>2641</v>
      </c>
      <c r="B598" t="s">
        <v>2642</v>
      </c>
      <c r="C598" s="710" t="s">
        <v>88</v>
      </c>
      <c r="D598" s="710" t="s">
        <v>93</v>
      </c>
      <c r="E598" s="710"/>
      <c r="F598" s="3"/>
    </row>
    <row r="599" spans="1:6" ht="15" customHeight="1">
      <c r="A599" t="s">
        <v>2643</v>
      </c>
      <c r="B599" t="s">
        <v>2644</v>
      </c>
      <c r="C599" s="710" t="s">
        <v>88</v>
      </c>
      <c r="D599" s="710" t="s">
        <v>93</v>
      </c>
      <c r="E599" s="710"/>
      <c r="F599" s="3"/>
    </row>
    <row r="600" spans="1:6" ht="15" customHeight="1">
      <c r="A600" t="s">
        <v>2647</v>
      </c>
      <c r="B600" t="s">
        <v>2648</v>
      </c>
      <c r="C600" s="710" t="s">
        <v>88</v>
      </c>
      <c r="D600" s="710" t="s">
        <v>93</v>
      </c>
      <c r="E600" s="710"/>
      <c r="F600" s="3"/>
    </row>
    <row r="601" spans="1:6" ht="15" customHeight="1">
      <c r="A601" t="s">
        <v>2649</v>
      </c>
      <c r="B601" t="s">
        <v>2650</v>
      </c>
      <c r="C601" s="710" t="s">
        <v>88</v>
      </c>
      <c r="D601" s="710" t="s">
        <v>93</v>
      </c>
      <c r="E601" s="710"/>
      <c r="F601" s="3"/>
    </row>
    <row r="602" spans="1:6" ht="15" customHeight="1">
      <c r="A602" t="s">
        <v>2655</v>
      </c>
      <c r="B602" t="s">
        <v>2656</v>
      </c>
      <c r="C602" s="710" t="s">
        <v>88</v>
      </c>
      <c r="D602" s="710" t="s">
        <v>3133</v>
      </c>
      <c r="E602" s="710"/>
      <c r="F602" s="3"/>
    </row>
    <row r="603" spans="1:6" ht="15" customHeight="1">
      <c r="A603" t="s">
        <v>2663</v>
      </c>
      <c r="B603" t="s">
        <v>2664</v>
      </c>
      <c r="C603" s="710" t="s">
        <v>88</v>
      </c>
      <c r="D603" s="710" t="s">
        <v>93</v>
      </c>
      <c r="E603" s="710"/>
      <c r="F603" s="3"/>
    </row>
    <row r="604" spans="1:6" ht="15" customHeight="1">
      <c r="A604" t="s">
        <v>2667</v>
      </c>
      <c r="B604" t="s">
        <v>2668</v>
      </c>
      <c r="C604" s="710" t="s">
        <v>88</v>
      </c>
      <c r="D604" s="710" t="s">
        <v>93</v>
      </c>
      <c r="E604" s="710"/>
      <c r="F604" s="3"/>
    </row>
    <row r="605" spans="1:6" ht="15" customHeight="1">
      <c r="A605" t="s">
        <v>2669</v>
      </c>
      <c r="B605" t="s">
        <v>2670</v>
      </c>
      <c r="C605" s="710" t="s">
        <v>88</v>
      </c>
      <c r="D605" s="710" t="s">
        <v>93</v>
      </c>
      <c r="E605" s="710"/>
      <c r="F605" s="3"/>
    </row>
    <row r="606" spans="1:6" ht="15" customHeight="1">
      <c r="A606" t="s">
        <v>2671</v>
      </c>
      <c r="B606" t="s">
        <v>2672</v>
      </c>
      <c r="C606" s="710"/>
      <c r="D606" s="710"/>
      <c r="E606" s="710"/>
      <c r="F606" s="3"/>
    </row>
    <row r="607" spans="1:6" ht="15" customHeight="1">
      <c r="A607" t="s">
        <v>2677</v>
      </c>
      <c r="B607" t="s">
        <v>2678</v>
      </c>
      <c r="C607" s="710"/>
      <c r="D607" s="710"/>
      <c r="E607" s="710"/>
      <c r="F607" s="3"/>
    </row>
    <row r="608" spans="1:6" ht="15" customHeight="1">
      <c r="A608" t="s">
        <v>2691</v>
      </c>
      <c r="B608" t="s">
        <v>2692</v>
      </c>
      <c r="C608" s="710" t="s">
        <v>88</v>
      </c>
      <c r="D608" s="710" t="s">
        <v>94</v>
      </c>
      <c r="E608" s="710"/>
      <c r="F608" s="3"/>
    </row>
    <row r="609" spans="1:6" ht="15" customHeight="1">
      <c r="A609" t="s">
        <v>2693</v>
      </c>
      <c r="B609" t="s">
        <v>2694</v>
      </c>
      <c r="C609" s="710" t="s">
        <v>88</v>
      </c>
      <c r="D609" s="710" t="s">
        <v>3133</v>
      </c>
      <c r="E609" s="710"/>
      <c r="F609" s="3"/>
    </row>
    <row r="610" spans="1:6" ht="15" customHeight="1">
      <c r="A610" t="s">
        <v>2697</v>
      </c>
      <c r="B610" t="s">
        <v>2698</v>
      </c>
      <c r="C610" s="710" t="s">
        <v>88</v>
      </c>
      <c r="D610" s="710" t="s">
        <v>94</v>
      </c>
      <c r="E610" s="710"/>
      <c r="F610" s="3"/>
    </row>
    <row r="611" spans="1:6" ht="15" customHeight="1">
      <c r="A611" s="1045" t="s">
        <v>2699</v>
      </c>
      <c r="B611" s="1045" t="s">
        <v>2700</v>
      </c>
      <c r="C611" s="1046" t="s">
        <v>88</v>
      </c>
      <c r="D611" s="1046" t="s">
        <v>3133</v>
      </c>
      <c r="E611" s="1046"/>
      <c r="F611" s="3"/>
    </row>
    <row r="612" spans="1:6" ht="15" customHeight="1">
      <c r="A612" t="s">
        <v>2705</v>
      </c>
      <c r="B612" t="s">
        <v>2706</v>
      </c>
      <c r="C612" s="710" t="s">
        <v>88</v>
      </c>
      <c r="D612" s="710" t="s">
        <v>94</v>
      </c>
      <c r="E612" s="710"/>
      <c r="F612" s="3"/>
    </row>
    <row r="613" spans="1:6" ht="15" customHeight="1">
      <c r="A613" t="s">
        <v>2707</v>
      </c>
      <c r="B613" t="s">
        <v>2636</v>
      </c>
      <c r="C613" s="710" t="s">
        <v>88</v>
      </c>
      <c r="D613" s="710" t="s">
        <v>94</v>
      </c>
      <c r="E613" s="710"/>
      <c r="F613" s="3"/>
    </row>
    <row r="614" spans="1:6" ht="15" customHeight="1">
      <c r="A614" t="s">
        <v>2708</v>
      </c>
      <c r="B614" t="s">
        <v>2709</v>
      </c>
      <c r="C614" s="710" t="s">
        <v>88</v>
      </c>
      <c r="D614" s="710" t="s">
        <v>94</v>
      </c>
      <c r="E614" s="710"/>
      <c r="F614" s="3"/>
    </row>
    <row r="615" spans="1:6" ht="15" customHeight="1">
      <c r="A615" t="s">
        <v>2710</v>
      </c>
      <c r="B615" t="s">
        <v>2711</v>
      </c>
      <c r="C615" s="710" t="s">
        <v>88</v>
      </c>
      <c r="D615" s="710" t="s">
        <v>94</v>
      </c>
      <c r="E615" s="710"/>
      <c r="F615" s="3"/>
    </row>
    <row r="616" spans="1:6" ht="15" customHeight="1">
      <c r="A616" t="s">
        <v>2714</v>
      </c>
      <c r="B616" t="s">
        <v>2715</v>
      </c>
      <c r="C616" s="710" t="s">
        <v>88</v>
      </c>
      <c r="D616" s="710" t="s">
        <v>94</v>
      </c>
      <c r="E616" s="710"/>
      <c r="F616" s="3"/>
    </row>
    <row r="617" spans="1:6" ht="15" customHeight="1">
      <c r="A617" t="s">
        <v>2716</v>
      </c>
      <c r="B617" t="s">
        <v>2717</v>
      </c>
      <c r="C617" s="710" t="s">
        <v>88</v>
      </c>
      <c r="D617" s="710" t="s">
        <v>94</v>
      </c>
      <c r="E617" s="710"/>
      <c r="F617" s="3"/>
    </row>
    <row r="618" spans="1:6" ht="15" customHeight="1">
      <c r="A618" t="s">
        <v>2718</v>
      </c>
      <c r="B618" t="s">
        <v>2719</v>
      </c>
      <c r="C618" s="710" t="s">
        <v>88</v>
      </c>
      <c r="D618" s="710" t="s">
        <v>94</v>
      </c>
      <c r="E618" s="710"/>
      <c r="F618" s="3"/>
    </row>
    <row r="619" spans="1:6" ht="15" customHeight="1">
      <c r="A619" t="s">
        <v>2722</v>
      </c>
      <c r="B619" t="s">
        <v>2723</v>
      </c>
      <c r="C619" s="710" t="s">
        <v>88</v>
      </c>
      <c r="D619" s="710" t="s">
        <v>94</v>
      </c>
      <c r="E619" s="710"/>
      <c r="F619" s="3"/>
    </row>
    <row r="620" spans="1:6" ht="15" customHeight="1">
      <c r="A620" t="s">
        <v>2724</v>
      </c>
      <c r="B620" t="s">
        <v>2725</v>
      </c>
      <c r="C620" s="710" t="s">
        <v>88</v>
      </c>
      <c r="D620" s="710" t="s">
        <v>94</v>
      </c>
      <c r="E620" s="710"/>
      <c r="F620" s="3"/>
    </row>
    <row r="621" spans="1:6" ht="15" customHeight="1">
      <c r="A621" t="s">
        <v>2726</v>
      </c>
      <c r="B621" t="s">
        <v>2727</v>
      </c>
      <c r="C621" s="710" t="s">
        <v>88</v>
      </c>
      <c r="D621" s="710" t="s">
        <v>94</v>
      </c>
      <c r="E621" s="710"/>
      <c r="F621" s="3"/>
    </row>
    <row r="622" spans="1:6" ht="15" customHeight="1">
      <c r="A622" t="s">
        <v>2728</v>
      </c>
      <c r="B622" t="s">
        <v>2729</v>
      </c>
      <c r="C622" s="710" t="s">
        <v>88</v>
      </c>
      <c r="D622" s="710" t="s">
        <v>3133</v>
      </c>
      <c r="E622" s="710"/>
      <c r="F622" s="3"/>
    </row>
    <row r="623" spans="1:6" ht="15" customHeight="1">
      <c r="A623" t="s">
        <v>2730</v>
      </c>
      <c r="B623" t="s">
        <v>2731</v>
      </c>
      <c r="C623" s="710" t="s">
        <v>88</v>
      </c>
      <c r="D623" s="710" t="s">
        <v>94</v>
      </c>
      <c r="E623" s="710"/>
      <c r="F623" s="3"/>
    </row>
    <row r="624" spans="1:6" ht="15" customHeight="1">
      <c r="A624" t="s">
        <v>2734</v>
      </c>
      <c r="B624" t="s">
        <v>2735</v>
      </c>
      <c r="C624" s="710" t="s">
        <v>88</v>
      </c>
      <c r="D624" s="710" t="s">
        <v>94</v>
      </c>
      <c r="E624" s="710"/>
      <c r="F624" s="3"/>
    </row>
    <row r="625" spans="1:6" ht="15" customHeight="1">
      <c r="A625" t="s">
        <v>2736</v>
      </c>
      <c r="B625" t="s">
        <v>2737</v>
      </c>
      <c r="C625" s="710" t="s">
        <v>88</v>
      </c>
      <c r="D625" s="710" t="s">
        <v>94</v>
      </c>
      <c r="E625" s="710"/>
      <c r="F625" s="3"/>
    </row>
    <row r="626" spans="1:6" ht="15" customHeight="1">
      <c r="A626" t="s">
        <v>2738</v>
      </c>
      <c r="B626" t="s">
        <v>2739</v>
      </c>
      <c r="C626" s="710" t="s">
        <v>88</v>
      </c>
      <c r="D626" s="710" t="s">
        <v>3133</v>
      </c>
      <c r="E626" s="710"/>
      <c r="F626" s="3"/>
    </row>
    <row r="627" spans="1:6" ht="15" customHeight="1">
      <c r="A627" t="s">
        <v>2742</v>
      </c>
      <c r="B627" t="s">
        <v>2743</v>
      </c>
      <c r="C627" s="710" t="s">
        <v>88</v>
      </c>
      <c r="D627" s="710" t="s">
        <v>94</v>
      </c>
      <c r="E627" s="710"/>
      <c r="F627" s="3"/>
    </row>
    <row r="628" spans="1:6" ht="15" customHeight="1">
      <c r="A628" t="s">
        <v>2744</v>
      </c>
      <c r="B628" t="s">
        <v>2745</v>
      </c>
      <c r="C628" s="710" t="s">
        <v>88</v>
      </c>
      <c r="D628" s="710" t="s">
        <v>94</v>
      </c>
      <c r="E628" s="710"/>
      <c r="F628" s="3"/>
    </row>
    <row r="629" spans="1:6" ht="15" customHeight="1">
      <c r="A629" t="s">
        <v>2746</v>
      </c>
      <c r="B629" t="s">
        <v>2747</v>
      </c>
      <c r="C629" s="710" t="s">
        <v>88</v>
      </c>
      <c r="D629" s="710" t="s">
        <v>94</v>
      </c>
      <c r="E629" s="710"/>
      <c r="F629" s="3"/>
    </row>
    <row r="630" spans="1:6" ht="15" customHeight="1">
      <c r="A630" t="s">
        <v>2748</v>
      </c>
      <c r="B630" t="s">
        <v>2749</v>
      </c>
      <c r="C630" s="710" t="s">
        <v>88</v>
      </c>
      <c r="D630" s="710" t="s">
        <v>94</v>
      </c>
      <c r="E630" s="710"/>
      <c r="F630" s="3"/>
    </row>
    <row r="631" spans="1:6" ht="15" customHeight="1">
      <c r="A631" t="s">
        <v>2750</v>
      </c>
      <c r="B631" t="s">
        <v>2751</v>
      </c>
      <c r="C631" s="710" t="s">
        <v>88</v>
      </c>
      <c r="D631" s="710" t="s">
        <v>3133</v>
      </c>
      <c r="E631" s="710"/>
      <c r="F631" s="3"/>
    </row>
    <row r="632" spans="1:6" ht="15" customHeight="1">
      <c r="A632" t="s">
        <v>2754</v>
      </c>
      <c r="B632" t="s">
        <v>2755</v>
      </c>
      <c r="C632" s="710" t="s">
        <v>88</v>
      </c>
      <c r="D632" s="710" t="s">
        <v>94</v>
      </c>
      <c r="E632" s="710"/>
      <c r="F632" s="3"/>
    </row>
    <row r="633" spans="1:6" ht="15" customHeight="1">
      <c r="A633" t="s">
        <v>2756</v>
      </c>
      <c r="B633" t="s">
        <v>2757</v>
      </c>
      <c r="C633" s="710" t="s">
        <v>88</v>
      </c>
      <c r="D633" s="710" t="s">
        <v>3133</v>
      </c>
      <c r="E633" s="710"/>
      <c r="F633" s="3"/>
    </row>
    <row r="634" spans="1:6" ht="15" customHeight="1">
      <c r="A634" t="s">
        <v>2760</v>
      </c>
      <c r="B634" t="s">
        <v>2761</v>
      </c>
      <c r="C634" s="710" t="s">
        <v>88</v>
      </c>
      <c r="D634" s="710" t="s">
        <v>94</v>
      </c>
      <c r="E634" s="710"/>
      <c r="F634" s="3"/>
    </row>
    <row r="635" spans="1:6" ht="15" customHeight="1">
      <c r="A635" t="s">
        <v>2762</v>
      </c>
      <c r="B635" t="s">
        <v>2763</v>
      </c>
      <c r="C635" s="710" t="s">
        <v>88</v>
      </c>
      <c r="D635" s="710" t="s">
        <v>3133</v>
      </c>
      <c r="E635" s="710"/>
      <c r="F635" s="3"/>
    </row>
    <row r="636" spans="1:6" ht="15" customHeight="1">
      <c r="A636" t="s">
        <v>2766</v>
      </c>
      <c r="B636" t="s">
        <v>2767</v>
      </c>
      <c r="C636" s="710" t="s">
        <v>88</v>
      </c>
      <c r="D636" s="710" t="s">
        <v>94</v>
      </c>
      <c r="E636" s="710"/>
      <c r="F636" s="3"/>
    </row>
    <row r="637" spans="1:6" ht="15" customHeight="1">
      <c r="A637" t="s">
        <v>2768</v>
      </c>
      <c r="B637" t="s">
        <v>2769</v>
      </c>
      <c r="C637" s="710" t="s">
        <v>88</v>
      </c>
      <c r="D637" s="710" t="s">
        <v>94</v>
      </c>
      <c r="E637" s="710"/>
      <c r="F637" s="3"/>
    </row>
    <row r="638" spans="1:6" ht="15" customHeight="1">
      <c r="A638" t="s">
        <v>2774</v>
      </c>
      <c r="B638" t="s">
        <v>2775</v>
      </c>
      <c r="C638" s="710" t="s">
        <v>88</v>
      </c>
      <c r="D638" s="710" t="s">
        <v>99</v>
      </c>
      <c r="E638" s="710"/>
      <c r="F638" s="3"/>
    </row>
    <row r="639" spans="1:6" ht="15" customHeight="1">
      <c r="A639" t="s">
        <v>2776</v>
      </c>
      <c r="B639" t="s">
        <v>2777</v>
      </c>
      <c r="C639" s="710" t="s">
        <v>88</v>
      </c>
      <c r="D639" s="710" t="s">
        <v>99</v>
      </c>
      <c r="E639" s="710"/>
      <c r="F639" s="3"/>
    </row>
    <row r="640" spans="1:6" ht="15" customHeight="1">
      <c r="A640" t="s">
        <v>2778</v>
      </c>
      <c r="B640" t="s">
        <v>2779</v>
      </c>
      <c r="C640" s="710" t="s">
        <v>88</v>
      </c>
      <c r="D640" s="710" t="s">
        <v>102</v>
      </c>
      <c r="E640" s="710"/>
      <c r="F640" s="3"/>
    </row>
    <row r="641" spans="1:6" ht="15" customHeight="1">
      <c r="A641" t="s">
        <v>2780</v>
      </c>
      <c r="B641" t="s">
        <v>2781</v>
      </c>
      <c r="C641" s="710" t="s">
        <v>88</v>
      </c>
      <c r="D641" s="710" t="s">
        <v>102</v>
      </c>
      <c r="E641" s="710"/>
      <c r="F641" s="3"/>
    </row>
    <row r="642" spans="1:6" ht="15" customHeight="1">
      <c r="A642" t="s">
        <v>2782</v>
      </c>
      <c r="B642" t="s">
        <v>2783</v>
      </c>
      <c r="C642" s="710" t="s">
        <v>88</v>
      </c>
      <c r="D642" s="710" t="s">
        <v>103</v>
      </c>
      <c r="E642" s="710"/>
      <c r="F642" s="3"/>
    </row>
    <row r="643" spans="1:6" ht="15" customHeight="1">
      <c r="A643" t="s">
        <v>2784</v>
      </c>
      <c r="B643" t="s">
        <v>2392</v>
      </c>
      <c r="C643" s="710" t="s">
        <v>88</v>
      </c>
      <c r="D643" s="710" t="s">
        <v>103</v>
      </c>
      <c r="E643" s="710"/>
      <c r="F643" s="3"/>
    </row>
    <row r="644" spans="1:6" ht="15" customHeight="1">
      <c r="A644" t="s">
        <v>2785</v>
      </c>
      <c r="B644" t="s">
        <v>2786</v>
      </c>
      <c r="C644" s="710" t="s">
        <v>88</v>
      </c>
      <c r="D644" s="710" t="s">
        <v>102</v>
      </c>
      <c r="E644" s="710"/>
      <c r="F644" s="3"/>
    </row>
    <row r="645" spans="1:6" ht="15" customHeight="1">
      <c r="A645" t="s">
        <v>2787</v>
      </c>
      <c r="B645" t="s">
        <v>2788</v>
      </c>
      <c r="C645" s="710" t="s">
        <v>88</v>
      </c>
      <c r="D645" s="710" t="s">
        <v>103</v>
      </c>
      <c r="E645" s="710"/>
      <c r="F645" s="3"/>
    </row>
    <row r="646" spans="1:6" ht="15" customHeight="1">
      <c r="A646" t="s">
        <v>2789</v>
      </c>
      <c r="B646" t="s">
        <v>2790</v>
      </c>
      <c r="C646" s="710" t="s">
        <v>148</v>
      </c>
      <c r="D646" s="710" t="s">
        <v>149</v>
      </c>
      <c r="E646" s="710"/>
      <c r="F646" s="3"/>
    </row>
    <row r="647" spans="1:6" ht="15" customHeight="1">
      <c r="A647" t="s">
        <v>2791</v>
      </c>
      <c r="B647" t="s">
        <v>2792</v>
      </c>
      <c r="C647" s="710" t="s">
        <v>148</v>
      </c>
      <c r="D647" s="710" t="s">
        <v>150</v>
      </c>
      <c r="E647" s="710"/>
      <c r="F647" s="3"/>
    </row>
    <row r="648" spans="1:6" ht="15" customHeight="1">
      <c r="A648" t="s">
        <v>2793</v>
      </c>
      <c r="B648" t="s">
        <v>2794</v>
      </c>
      <c r="C648" s="710" t="s">
        <v>148</v>
      </c>
      <c r="D648" s="710" t="s">
        <v>149</v>
      </c>
      <c r="E648" s="710"/>
      <c r="F648" s="3"/>
    </row>
    <row r="649" spans="1:6" ht="15" customHeight="1">
      <c r="A649" t="s">
        <v>2795</v>
      </c>
      <c r="B649" t="s">
        <v>2796</v>
      </c>
      <c r="C649" s="710"/>
      <c r="D649" s="710"/>
      <c r="E649" s="710"/>
      <c r="F649" s="3"/>
    </row>
    <row r="650" spans="1:6" ht="15" customHeight="1">
      <c r="A650" t="s">
        <v>2797</v>
      </c>
      <c r="B650" t="s">
        <v>2798</v>
      </c>
      <c r="C650" s="710"/>
      <c r="D650" s="710"/>
      <c r="E650" s="710"/>
      <c r="F650" s="3"/>
    </row>
    <row r="651" spans="1:6" ht="15" customHeight="1">
      <c r="A651" t="s">
        <v>2799</v>
      </c>
      <c r="B651" t="s">
        <v>2800</v>
      </c>
      <c r="C651" s="710"/>
      <c r="D651" s="710"/>
      <c r="E651" s="710"/>
      <c r="F651" s="3"/>
    </row>
    <row r="652" spans="1:6" ht="15" customHeight="1">
      <c r="A652" t="s">
        <v>2801</v>
      </c>
      <c r="B652" t="s">
        <v>2802</v>
      </c>
      <c r="C652" s="710" t="s">
        <v>148</v>
      </c>
      <c r="D652" s="710" t="s">
        <v>152</v>
      </c>
      <c r="E652" s="710"/>
      <c r="F652" s="3"/>
    </row>
    <row r="653" spans="1:6" ht="15" customHeight="1">
      <c r="A653" t="s">
        <v>2803</v>
      </c>
      <c r="B653" t="s">
        <v>2804</v>
      </c>
      <c r="C653" s="710"/>
      <c r="D653" s="710"/>
      <c r="E653" s="710"/>
      <c r="F653" s="3"/>
    </row>
    <row r="654" spans="1:6" ht="15" customHeight="1">
      <c r="A654" s="937" t="s">
        <v>2805</v>
      </c>
      <c r="B654" s="937" t="s">
        <v>2806</v>
      </c>
      <c r="C654" s="938" t="s">
        <v>148</v>
      </c>
      <c r="D654" s="938" t="s">
        <v>152</v>
      </c>
      <c r="E654" s="938" t="s">
        <v>3131</v>
      </c>
      <c r="F654" s="3" t="s">
        <v>3132</v>
      </c>
    </row>
    <row r="655" spans="1:6" ht="15" customHeight="1">
      <c r="A655" t="s">
        <v>2807</v>
      </c>
      <c r="B655" t="s">
        <v>2808</v>
      </c>
      <c r="C655" s="710" t="s">
        <v>148</v>
      </c>
      <c r="D655" s="710" t="s">
        <v>150</v>
      </c>
      <c r="E655" s="710"/>
      <c r="F655" s="3"/>
    </row>
    <row r="656" spans="1:6" ht="15" customHeight="1">
      <c r="A656" t="s">
        <v>2811</v>
      </c>
      <c r="B656" t="s">
        <v>2812</v>
      </c>
      <c r="C656" s="710"/>
      <c r="D656" s="710"/>
      <c r="E656" s="710"/>
      <c r="F656" s="3"/>
    </row>
    <row r="657" spans="1:6" ht="15" customHeight="1">
      <c r="A657" t="s">
        <v>2813</v>
      </c>
      <c r="B657" t="s">
        <v>2814</v>
      </c>
      <c r="C657" s="710"/>
      <c r="D657" s="710"/>
      <c r="E657" s="710"/>
      <c r="F657" s="3"/>
    </row>
    <row r="658" spans="1:6" ht="15" customHeight="1">
      <c r="A658" t="s">
        <v>2815</v>
      </c>
      <c r="B658" t="s">
        <v>2816</v>
      </c>
      <c r="C658" s="710"/>
      <c r="D658" s="710"/>
      <c r="E658" s="710"/>
      <c r="F658" s="3"/>
    </row>
    <row r="659" spans="1:6" ht="15" customHeight="1">
      <c r="A659" t="s">
        <v>2817</v>
      </c>
      <c r="B659" t="s">
        <v>2818</v>
      </c>
      <c r="C659" s="710" t="s">
        <v>148</v>
      </c>
      <c r="D659" s="710" t="s">
        <v>152</v>
      </c>
      <c r="E659" s="710"/>
      <c r="F659" s="3"/>
    </row>
    <row r="660" spans="1:6" ht="15" customHeight="1">
      <c r="A660" t="s">
        <v>2819</v>
      </c>
      <c r="B660" t="s">
        <v>2820</v>
      </c>
      <c r="C660" s="710" t="s">
        <v>1163</v>
      </c>
      <c r="D660" s="710" t="s">
        <v>1167</v>
      </c>
      <c r="E660" s="710"/>
      <c r="F660" s="3"/>
    </row>
    <row r="661" spans="1:6" ht="15" customHeight="1">
      <c r="A661" t="s">
        <v>2821</v>
      </c>
      <c r="B661" t="s">
        <v>2822</v>
      </c>
      <c r="C661" s="710"/>
      <c r="D661" s="710"/>
      <c r="E661" s="710"/>
      <c r="F661" s="3"/>
    </row>
    <row r="662" spans="1:6" ht="15" customHeight="1">
      <c r="A662" t="s">
        <v>2823</v>
      </c>
      <c r="B662" t="s">
        <v>2824</v>
      </c>
      <c r="C662" s="710" t="s">
        <v>148</v>
      </c>
      <c r="D662" s="710" t="s">
        <v>102</v>
      </c>
      <c r="E662" s="710"/>
      <c r="F662" s="3"/>
    </row>
    <row r="663" spans="1:6" ht="15" customHeight="1">
      <c r="A663" t="s">
        <v>2825</v>
      </c>
      <c r="B663" s="706" t="s">
        <v>2826</v>
      </c>
      <c r="C663" s="710" t="s">
        <v>148</v>
      </c>
      <c r="D663" s="710" t="s">
        <v>102</v>
      </c>
      <c r="E663" s="710"/>
      <c r="F663" s="3"/>
    </row>
    <row r="664" spans="1:6" ht="15" customHeight="1">
      <c r="A664" t="s">
        <v>2827</v>
      </c>
      <c r="B664" t="s">
        <v>2828</v>
      </c>
      <c r="C664" s="710" t="s">
        <v>148</v>
      </c>
      <c r="D664" s="710" t="s">
        <v>102</v>
      </c>
      <c r="E664" s="710"/>
      <c r="F664" s="3"/>
    </row>
    <row r="665" spans="1:6" ht="15" customHeight="1">
      <c r="A665" s="941" t="s">
        <v>2829</v>
      </c>
      <c r="B665" s="941" t="s">
        <v>2830</v>
      </c>
      <c r="C665" s="710" t="s">
        <v>1163</v>
      </c>
      <c r="D665" s="710" t="s">
        <v>1165</v>
      </c>
      <c r="E665" s="710"/>
      <c r="F665" s="3"/>
    </row>
    <row r="666" spans="1:6" ht="15" customHeight="1">
      <c r="A666" s="941" t="s">
        <v>2831</v>
      </c>
      <c r="B666" s="941" t="s">
        <v>2832</v>
      </c>
      <c r="C666" s="710" t="s">
        <v>1163</v>
      </c>
      <c r="D666" s="710" t="s">
        <v>1165</v>
      </c>
      <c r="E666" s="710"/>
      <c r="F666" s="3"/>
    </row>
    <row r="667" spans="1:6" ht="15" customHeight="1">
      <c r="A667" t="s">
        <v>2833</v>
      </c>
      <c r="B667" t="s">
        <v>2834</v>
      </c>
      <c r="C667" s="710" t="s">
        <v>1163</v>
      </c>
      <c r="D667" s="710" t="s">
        <v>1165</v>
      </c>
      <c r="E667" s="710"/>
      <c r="F667" s="3"/>
    </row>
    <row r="668" spans="1:6" ht="15" customHeight="1">
      <c r="A668" s="1045" t="s">
        <v>2835</v>
      </c>
      <c r="B668" s="1045" t="s">
        <v>2836</v>
      </c>
      <c r="C668" s="1046"/>
      <c r="D668" s="1046"/>
      <c r="E668" s="710"/>
      <c r="F668" s="3"/>
    </row>
    <row r="669" spans="1:6" ht="15" customHeight="1">
      <c r="A669" t="s">
        <v>2837</v>
      </c>
      <c r="B669" t="s">
        <v>2838</v>
      </c>
      <c r="C669" s="710" t="s">
        <v>1163</v>
      </c>
      <c r="D669" s="710" t="s">
        <v>1166</v>
      </c>
      <c r="E669" s="710"/>
      <c r="F669" s="3"/>
    </row>
    <row r="670" spans="1:6" ht="15" customHeight="1">
      <c r="A670" t="s">
        <v>2839</v>
      </c>
      <c r="B670" t="s">
        <v>2840</v>
      </c>
      <c r="C670" s="710" t="s">
        <v>157</v>
      </c>
      <c r="D670" s="710" t="s">
        <v>160</v>
      </c>
      <c r="E670" s="710"/>
      <c r="F670" s="3"/>
    </row>
    <row r="671" spans="1:6" ht="15" customHeight="1">
      <c r="A671" t="s">
        <v>2841</v>
      </c>
      <c r="B671" t="s">
        <v>2842</v>
      </c>
      <c r="C671" s="710" t="s">
        <v>157</v>
      </c>
      <c r="D671" s="710" t="s">
        <v>162</v>
      </c>
      <c r="E671" s="710"/>
      <c r="F671" s="3"/>
    </row>
    <row r="672" spans="1:6" ht="15" customHeight="1">
      <c r="A672" s="937" t="s">
        <v>2845</v>
      </c>
      <c r="B672" s="937" t="s">
        <v>2846</v>
      </c>
      <c r="C672" s="938" t="s">
        <v>157</v>
      </c>
      <c r="D672" s="938" t="s">
        <v>160</v>
      </c>
      <c r="E672" s="938"/>
      <c r="F672" s="3"/>
    </row>
    <row r="673" spans="1:6" ht="15" customHeight="1">
      <c r="A673" t="s">
        <v>2847</v>
      </c>
      <c r="B673" t="s">
        <v>2848</v>
      </c>
      <c r="C673" s="710" t="s">
        <v>1162</v>
      </c>
      <c r="D673" s="710" t="s">
        <v>1171</v>
      </c>
      <c r="E673" s="710"/>
      <c r="F673" s="3"/>
    </row>
    <row r="674" spans="1:6" ht="15" customHeight="1">
      <c r="A674" t="s">
        <v>2849</v>
      </c>
      <c r="B674" t="s">
        <v>2850</v>
      </c>
      <c r="C674" s="710" t="s">
        <v>1162</v>
      </c>
      <c r="D674" s="710" t="s">
        <v>1169</v>
      </c>
      <c r="E674" s="710"/>
      <c r="F674" s="3"/>
    </row>
    <row r="675" spans="1:6" ht="15" customHeight="1">
      <c r="A675" t="s">
        <v>2851</v>
      </c>
      <c r="B675" t="s">
        <v>2852</v>
      </c>
      <c r="C675" s="710" t="s">
        <v>1162</v>
      </c>
      <c r="D675" s="710" t="s">
        <v>1170</v>
      </c>
      <c r="E675" s="710"/>
      <c r="F675" s="3"/>
    </row>
    <row r="676" spans="1:6" ht="15" customHeight="1">
      <c r="A676" t="s">
        <v>2853</v>
      </c>
      <c r="B676" t="s">
        <v>2854</v>
      </c>
      <c r="C676" s="710" t="s">
        <v>157</v>
      </c>
      <c r="D676" s="710" t="s">
        <v>162</v>
      </c>
      <c r="E676" s="710"/>
      <c r="F676" s="3"/>
    </row>
    <row r="677" spans="1:6" ht="15" customHeight="1">
      <c r="A677" t="s">
        <v>2855</v>
      </c>
      <c r="B677" t="s">
        <v>2856</v>
      </c>
      <c r="C677" s="710" t="s">
        <v>157</v>
      </c>
      <c r="D677" s="710" t="s">
        <v>163</v>
      </c>
      <c r="E677" s="710"/>
      <c r="F677" s="3"/>
    </row>
    <row r="678" spans="1:6" ht="15" customHeight="1">
      <c r="A678" t="s">
        <v>2857</v>
      </c>
      <c r="B678" t="s">
        <v>2858</v>
      </c>
      <c r="C678" s="710" t="s">
        <v>1162</v>
      </c>
      <c r="D678" s="710" t="s">
        <v>1169</v>
      </c>
      <c r="E678" s="710"/>
      <c r="F678" s="3"/>
    </row>
    <row r="679" spans="1:6" ht="15" customHeight="1">
      <c r="A679" t="s">
        <v>2859</v>
      </c>
      <c r="B679" t="s">
        <v>2860</v>
      </c>
      <c r="C679" s="710" t="s">
        <v>157</v>
      </c>
      <c r="D679" s="710" t="s">
        <v>163</v>
      </c>
      <c r="E679" s="710"/>
      <c r="F679" s="3"/>
    </row>
    <row r="680" spans="1:6" ht="15" customHeight="1">
      <c r="A680" t="s">
        <v>2863</v>
      </c>
      <c r="B680" t="s">
        <v>2864</v>
      </c>
      <c r="C680" s="710" t="s">
        <v>157</v>
      </c>
      <c r="D680" s="710" t="s">
        <v>165</v>
      </c>
      <c r="E680" s="710"/>
      <c r="F680" s="3"/>
    </row>
    <row r="681" spans="1:6" ht="15" customHeight="1">
      <c r="A681" t="s">
        <v>2865</v>
      </c>
      <c r="B681" t="s">
        <v>2866</v>
      </c>
      <c r="C681" s="710" t="s">
        <v>157</v>
      </c>
      <c r="D681" s="710" t="s">
        <v>168</v>
      </c>
      <c r="E681" s="710"/>
      <c r="F681" s="3"/>
    </row>
    <row r="682" spans="1:6" ht="15" customHeight="1">
      <c r="A682" t="s">
        <v>2867</v>
      </c>
      <c r="B682" t="s">
        <v>3140</v>
      </c>
      <c r="C682" s="710" t="s">
        <v>1162</v>
      </c>
      <c r="D682" s="710" t="s">
        <v>1169</v>
      </c>
      <c r="E682" s="710"/>
      <c r="F682" s="3"/>
    </row>
    <row r="683" spans="1:6" ht="15" customHeight="1">
      <c r="A683" t="s">
        <v>2871</v>
      </c>
      <c r="B683" t="s">
        <v>2872</v>
      </c>
      <c r="C683" s="710" t="s">
        <v>176</v>
      </c>
      <c r="D683" s="710" t="s">
        <v>178</v>
      </c>
      <c r="E683" s="710"/>
      <c r="F683" s="3"/>
    </row>
    <row r="684" spans="1:6" ht="15" customHeight="1">
      <c r="A684" t="s">
        <v>2873</v>
      </c>
      <c r="B684" t="s">
        <v>2874</v>
      </c>
      <c r="C684" s="710" t="s">
        <v>176</v>
      </c>
      <c r="D684" s="710" t="s">
        <v>178</v>
      </c>
      <c r="E684" s="710"/>
      <c r="F684" s="3"/>
    </row>
    <row r="685" spans="1:6" ht="15" customHeight="1">
      <c r="A685" t="s">
        <v>2875</v>
      </c>
      <c r="B685" t="s">
        <v>2876</v>
      </c>
      <c r="C685" s="710"/>
      <c r="D685" s="710"/>
      <c r="E685" s="710"/>
      <c r="F685" s="3"/>
    </row>
    <row r="686" spans="1:6" ht="15" customHeight="1">
      <c r="A686" t="s">
        <v>2877</v>
      </c>
      <c r="B686" t="s">
        <v>2878</v>
      </c>
      <c r="C686" s="710"/>
      <c r="D686" s="710"/>
      <c r="E686" s="710"/>
      <c r="F686" s="3"/>
    </row>
    <row r="687" spans="1:6" ht="15" customHeight="1">
      <c r="A687" t="s">
        <v>2879</v>
      </c>
      <c r="B687" t="s">
        <v>2880</v>
      </c>
      <c r="C687" s="710"/>
      <c r="D687" s="710"/>
      <c r="E687" s="710"/>
      <c r="F687" s="3"/>
    </row>
    <row r="688" spans="1:6" ht="15" customHeight="1">
      <c r="A688" t="s">
        <v>2883</v>
      </c>
      <c r="B688" t="s">
        <v>2884</v>
      </c>
      <c r="C688" s="710" t="s">
        <v>157</v>
      </c>
      <c r="D688" s="710" t="s">
        <v>168</v>
      </c>
      <c r="E688" s="710"/>
      <c r="F688" s="3"/>
    </row>
    <row r="689" spans="1:6" ht="15" customHeight="1">
      <c r="A689" t="s">
        <v>2885</v>
      </c>
      <c r="B689" t="s">
        <v>2886</v>
      </c>
      <c r="C689" s="710" t="s">
        <v>172</v>
      </c>
      <c r="D689" s="710" t="s">
        <v>1174</v>
      </c>
      <c r="E689" s="710"/>
      <c r="F689" s="3"/>
    </row>
    <row r="690" spans="1:6" ht="15" customHeight="1">
      <c r="A690" t="s">
        <v>2887</v>
      </c>
      <c r="B690" t="s">
        <v>2888</v>
      </c>
      <c r="C690" s="710" t="s">
        <v>172</v>
      </c>
      <c r="D690" s="710" t="s">
        <v>1173</v>
      </c>
      <c r="E690" s="710"/>
      <c r="F690" s="3"/>
    </row>
    <row r="691" spans="1:6" ht="15" customHeight="1">
      <c r="A691" t="s">
        <v>2889</v>
      </c>
      <c r="B691" t="s">
        <v>2890</v>
      </c>
      <c r="C691" s="710" t="s">
        <v>172</v>
      </c>
      <c r="D691" s="710" t="s">
        <v>1174</v>
      </c>
      <c r="E691" s="710"/>
      <c r="F691" s="3"/>
    </row>
    <row r="692" spans="1:6" ht="15" customHeight="1">
      <c r="A692" t="s">
        <v>2891</v>
      </c>
      <c r="B692" t="s">
        <v>2892</v>
      </c>
      <c r="C692" s="710" t="s">
        <v>172</v>
      </c>
      <c r="D692" s="710" t="s">
        <v>1173</v>
      </c>
      <c r="E692" s="710"/>
      <c r="F692" s="3"/>
    </row>
    <row r="693" spans="1:6" ht="15" customHeight="1">
      <c r="A693" t="s">
        <v>2893</v>
      </c>
      <c r="B693" t="s">
        <v>2894</v>
      </c>
      <c r="C693" s="710" t="s">
        <v>172</v>
      </c>
      <c r="D693" s="710" t="s">
        <v>1174</v>
      </c>
      <c r="E693" s="710"/>
      <c r="F693" s="3"/>
    </row>
    <row r="694" spans="1:6" ht="15" customHeight="1">
      <c r="A694" t="s">
        <v>2895</v>
      </c>
      <c r="B694" t="s">
        <v>2896</v>
      </c>
      <c r="C694" s="710" t="s">
        <v>172</v>
      </c>
      <c r="D694" s="710" t="s">
        <v>1173</v>
      </c>
      <c r="E694" s="710"/>
      <c r="F694" s="3"/>
    </row>
    <row r="695" spans="1:6" ht="15" customHeight="1">
      <c r="A695" t="s">
        <v>2897</v>
      </c>
      <c r="B695" t="s">
        <v>2898</v>
      </c>
      <c r="C695" s="710" t="s">
        <v>172</v>
      </c>
      <c r="D695" s="710" t="s">
        <v>1173</v>
      </c>
      <c r="E695" s="710"/>
      <c r="F695" s="3"/>
    </row>
    <row r="696" spans="1:6" ht="15" customHeight="1">
      <c r="A696" t="s">
        <v>2899</v>
      </c>
      <c r="B696" t="s">
        <v>2900</v>
      </c>
      <c r="C696" s="710" t="s">
        <v>172</v>
      </c>
      <c r="D696" s="710" t="s">
        <v>1172</v>
      </c>
      <c r="E696" s="710"/>
      <c r="F696" s="3"/>
    </row>
    <row r="697" spans="1:6" ht="15" customHeight="1">
      <c r="A697" t="s">
        <v>2901</v>
      </c>
      <c r="B697" t="s">
        <v>2902</v>
      </c>
      <c r="C697" s="710" t="s">
        <v>172</v>
      </c>
      <c r="D697" s="710" t="s">
        <v>1172</v>
      </c>
      <c r="E697" s="710"/>
      <c r="F697" s="3"/>
    </row>
    <row r="698" spans="1:6" ht="15" customHeight="1">
      <c r="A698" t="s">
        <v>2903</v>
      </c>
      <c r="B698" t="s">
        <v>2904</v>
      </c>
      <c r="C698" s="710" t="s">
        <v>172</v>
      </c>
      <c r="D698" s="710" t="s">
        <v>1172</v>
      </c>
      <c r="E698" s="710"/>
      <c r="F698" s="3"/>
    </row>
    <row r="699" spans="1:6" ht="15" customHeight="1">
      <c r="A699" t="s">
        <v>2905</v>
      </c>
      <c r="B699" t="s">
        <v>2906</v>
      </c>
      <c r="C699" s="710" t="s">
        <v>172</v>
      </c>
      <c r="D699" s="710" t="s">
        <v>1172</v>
      </c>
      <c r="E699" s="710"/>
      <c r="F699" s="3"/>
    </row>
    <row r="700" spans="1:6" ht="15" customHeight="1">
      <c r="A700" t="s">
        <v>2907</v>
      </c>
      <c r="B700" t="s">
        <v>2908</v>
      </c>
      <c r="C700" s="710" t="s">
        <v>172</v>
      </c>
      <c r="D700" s="710" t="s">
        <v>1175</v>
      </c>
      <c r="E700" s="710"/>
      <c r="F700" s="3"/>
    </row>
    <row r="701" spans="1:6" ht="15" customHeight="1">
      <c r="A701" t="s">
        <v>2909</v>
      </c>
      <c r="B701" t="s">
        <v>2910</v>
      </c>
      <c r="C701" s="710" t="s">
        <v>172</v>
      </c>
      <c r="D701" s="710" t="s">
        <v>1174</v>
      </c>
      <c r="E701" s="710"/>
      <c r="F701" s="3"/>
    </row>
    <row r="702" spans="1:6" ht="15" customHeight="1">
      <c r="A702" t="s">
        <v>2911</v>
      </c>
      <c r="B702" t="s">
        <v>2912</v>
      </c>
      <c r="C702" s="710" t="s">
        <v>172</v>
      </c>
      <c r="D702" s="710" t="s">
        <v>1172</v>
      </c>
      <c r="E702" s="710"/>
      <c r="F702" s="3"/>
    </row>
    <row r="703" spans="1:6" ht="15" customHeight="1">
      <c r="A703" t="s">
        <v>2913</v>
      </c>
      <c r="B703" t="s">
        <v>2914</v>
      </c>
      <c r="C703" s="710" t="s">
        <v>172</v>
      </c>
      <c r="D703" s="710" t="s">
        <v>1173</v>
      </c>
      <c r="E703" s="710"/>
      <c r="F703" s="3"/>
    </row>
    <row r="704" spans="1:6" ht="15" customHeight="1">
      <c r="A704" t="s">
        <v>2915</v>
      </c>
      <c r="B704" t="s">
        <v>2916</v>
      </c>
      <c r="C704" s="710" t="s">
        <v>172</v>
      </c>
      <c r="D704" s="710" t="s">
        <v>1174</v>
      </c>
      <c r="E704" s="710"/>
      <c r="F704" s="3"/>
    </row>
    <row r="705" spans="1:6" ht="15" customHeight="1">
      <c r="A705" t="s">
        <v>2917</v>
      </c>
      <c r="B705" t="s">
        <v>2918</v>
      </c>
      <c r="C705" s="710" t="s">
        <v>172</v>
      </c>
      <c r="D705" s="710" t="s">
        <v>1172</v>
      </c>
      <c r="E705" s="710"/>
      <c r="F705" s="3"/>
    </row>
    <row r="706" spans="1:6" ht="15" customHeight="1">
      <c r="A706" t="s">
        <v>2919</v>
      </c>
      <c r="B706" t="s">
        <v>2920</v>
      </c>
      <c r="C706" s="710" t="s">
        <v>172</v>
      </c>
      <c r="D706" s="710" t="s">
        <v>1173</v>
      </c>
      <c r="E706" s="710"/>
      <c r="F706" s="3"/>
    </row>
    <row r="707" spans="1:6" ht="15" customHeight="1">
      <c r="A707" t="s">
        <v>2921</v>
      </c>
      <c r="B707" t="s">
        <v>2922</v>
      </c>
      <c r="C707" s="710" t="s">
        <v>172</v>
      </c>
      <c r="D707" s="710" t="s">
        <v>1174</v>
      </c>
      <c r="E707" s="710"/>
      <c r="F707" s="3"/>
    </row>
    <row r="708" spans="1:6" ht="15" customHeight="1">
      <c r="A708" t="s">
        <v>2923</v>
      </c>
      <c r="B708" t="s">
        <v>2924</v>
      </c>
      <c r="C708" s="710"/>
      <c r="D708" s="710"/>
      <c r="E708" s="710"/>
      <c r="F708" s="3"/>
    </row>
    <row r="709" spans="1:6" ht="15" customHeight="1">
      <c r="A709" t="s">
        <v>2925</v>
      </c>
      <c r="B709" t="s">
        <v>2926</v>
      </c>
      <c r="C709" s="710"/>
      <c r="D709" s="710"/>
      <c r="E709" s="710"/>
      <c r="F709" s="3"/>
    </row>
    <row r="710" spans="1:6" ht="15" customHeight="1">
      <c r="A710" t="s">
        <v>2927</v>
      </c>
      <c r="B710" t="s">
        <v>2928</v>
      </c>
      <c r="C710" s="710" t="s">
        <v>176</v>
      </c>
      <c r="D710" s="710" t="s">
        <v>179</v>
      </c>
      <c r="E710" s="710"/>
      <c r="F710" s="3"/>
    </row>
    <row r="711" spans="1:6" ht="15" customHeight="1">
      <c r="A711" t="s">
        <v>2929</v>
      </c>
      <c r="B711" t="s">
        <v>2930</v>
      </c>
      <c r="C711" s="710"/>
      <c r="D711" s="710"/>
      <c r="E711" s="710"/>
      <c r="F711" s="3"/>
    </row>
    <row r="712" spans="1:6" ht="15" customHeight="1">
      <c r="A712" t="s">
        <v>2933</v>
      </c>
      <c r="B712" t="s">
        <v>2934</v>
      </c>
      <c r="C712" s="710" t="s">
        <v>172</v>
      </c>
      <c r="D712" s="710" t="s">
        <v>1174</v>
      </c>
      <c r="E712" s="710"/>
      <c r="F712" s="3"/>
    </row>
    <row r="713" spans="1:6" ht="15" customHeight="1">
      <c r="A713" t="s">
        <v>2935</v>
      </c>
      <c r="B713" t="s">
        <v>2936</v>
      </c>
      <c r="C713" s="710" t="s">
        <v>172</v>
      </c>
      <c r="D713" s="710" t="s">
        <v>1172</v>
      </c>
      <c r="E713" s="710"/>
      <c r="F713" s="3"/>
    </row>
    <row r="714" spans="1:6" ht="15" customHeight="1">
      <c r="A714" t="s">
        <v>2937</v>
      </c>
      <c r="B714" t="s">
        <v>2938</v>
      </c>
      <c r="C714" s="710" t="s">
        <v>172</v>
      </c>
      <c r="D714" s="710" t="s">
        <v>1173</v>
      </c>
      <c r="E714" s="710"/>
      <c r="F714" s="3"/>
    </row>
    <row r="715" spans="1:6" ht="15" customHeight="1">
      <c r="A715" t="s">
        <v>2939</v>
      </c>
      <c r="B715" t="s">
        <v>2940</v>
      </c>
      <c r="C715" s="710" t="s">
        <v>172</v>
      </c>
      <c r="D715" s="710" t="s">
        <v>1174</v>
      </c>
      <c r="E715" s="710"/>
      <c r="F715" s="3"/>
    </row>
    <row r="716" spans="1:6" ht="15" customHeight="1">
      <c r="A716" t="s">
        <v>2941</v>
      </c>
      <c r="B716" t="s">
        <v>2942</v>
      </c>
      <c r="C716" s="710" t="s">
        <v>172</v>
      </c>
      <c r="D716" s="710" t="s">
        <v>1172</v>
      </c>
      <c r="E716" s="710"/>
      <c r="F716" s="3"/>
    </row>
    <row r="717" spans="1:6" ht="15" customHeight="1">
      <c r="A717" t="s">
        <v>2943</v>
      </c>
      <c r="B717" t="s">
        <v>2944</v>
      </c>
      <c r="C717" s="710" t="s">
        <v>172</v>
      </c>
      <c r="D717" s="710" t="s">
        <v>1173</v>
      </c>
      <c r="E717" s="710"/>
      <c r="F717" s="3"/>
    </row>
    <row r="718" spans="1:6" ht="15" customHeight="1">
      <c r="A718" t="s">
        <v>2945</v>
      </c>
      <c r="B718" t="s">
        <v>2946</v>
      </c>
      <c r="C718" s="710" t="s">
        <v>176</v>
      </c>
      <c r="D718" s="710" t="s">
        <v>180</v>
      </c>
      <c r="E718" s="710"/>
      <c r="F718" s="3"/>
    </row>
    <row r="719" spans="1:6" ht="15" customHeight="1">
      <c r="A719" t="s">
        <v>2947</v>
      </c>
      <c r="B719" t="s">
        <v>2948</v>
      </c>
      <c r="C719" s="710" t="s">
        <v>176</v>
      </c>
      <c r="D719" s="710" t="s">
        <v>180</v>
      </c>
      <c r="E719" s="710"/>
      <c r="F719" s="3"/>
    </row>
    <row r="720" spans="1:6" ht="15" customHeight="1">
      <c r="A720" t="s">
        <v>2949</v>
      </c>
      <c r="B720" t="s">
        <v>2950</v>
      </c>
      <c r="C720" s="710" t="s">
        <v>176</v>
      </c>
      <c r="D720" s="710" t="s">
        <v>181</v>
      </c>
      <c r="E720" s="710"/>
      <c r="F720" s="3"/>
    </row>
    <row r="721" spans="1:6" ht="15" customHeight="1">
      <c r="A721" t="s">
        <v>2951</v>
      </c>
      <c r="B721" t="s">
        <v>2952</v>
      </c>
      <c r="C721" s="710" t="s">
        <v>176</v>
      </c>
      <c r="D721" s="710" t="s">
        <v>181</v>
      </c>
      <c r="E721" s="710"/>
      <c r="F721" s="3"/>
    </row>
    <row r="722" spans="1:6" ht="15" customHeight="1">
      <c r="A722" t="s">
        <v>2953</v>
      </c>
      <c r="B722" t="s">
        <v>2954</v>
      </c>
      <c r="C722" s="710" t="s">
        <v>176</v>
      </c>
      <c r="D722" s="710" t="s">
        <v>182</v>
      </c>
      <c r="E722" s="710"/>
      <c r="F722" s="3"/>
    </row>
    <row r="723" spans="1:6" ht="15" customHeight="1">
      <c r="A723" t="s">
        <v>2955</v>
      </c>
      <c r="B723" t="s">
        <v>2956</v>
      </c>
      <c r="C723" s="710" t="s">
        <v>176</v>
      </c>
      <c r="D723" s="710" t="s">
        <v>183</v>
      </c>
      <c r="E723" s="710"/>
      <c r="F723" s="3"/>
    </row>
    <row r="724" spans="1:6" ht="15" customHeight="1">
      <c r="A724" t="s">
        <v>2957</v>
      </c>
      <c r="B724" t="s">
        <v>2958</v>
      </c>
      <c r="C724" s="710" t="s">
        <v>176</v>
      </c>
      <c r="D724" s="710" t="s">
        <v>184</v>
      </c>
      <c r="E724" s="710"/>
      <c r="F724" s="3"/>
    </row>
    <row r="725" spans="1:6" ht="15" customHeight="1">
      <c r="A725" t="s">
        <v>2959</v>
      </c>
      <c r="B725" t="s">
        <v>2960</v>
      </c>
      <c r="C725" s="710" t="s">
        <v>176</v>
      </c>
      <c r="D725" s="710" t="s">
        <v>185</v>
      </c>
      <c r="E725" s="710"/>
      <c r="F725" s="3"/>
    </row>
    <row r="726" spans="1:6" ht="15" customHeight="1">
      <c r="A726" t="s">
        <v>2961</v>
      </c>
      <c r="B726" t="s">
        <v>2962</v>
      </c>
      <c r="C726" s="710" t="s">
        <v>176</v>
      </c>
      <c r="D726" s="710" t="s">
        <v>187</v>
      </c>
      <c r="E726" s="710"/>
      <c r="F726" s="3"/>
    </row>
    <row r="727" spans="1:6" ht="15" customHeight="1">
      <c r="A727" t="s">
        <v>2963</v>
      </c>
      <c r="B727" t="s">
        <v>2964</v>
      </c>
      <c r="C727" s="710" t="s">
        <v>176</v>
      </c>
      <c r="D727" s="710" t="s">
        <v>188</v>
      </c>
      <c r="E727" s="710"/>
      <c r="F727" s="3"/>
    </row>
    <row r="728" spans="1:6" ht="15" customHeight="1">
      <c r="A728" t="s">
        <v>2999</v>
      </c>
      <c r="B728" t="s">
        <v>3000</v>
      </c>
      <c r="C728" s="710"/>
      <c r="D728" s="710"/>
      <c r="E728" s="710"/>
      <c r="F728" s="3"/>
    </row>
    <row r="729" spans="1:6" ht="15" customHeight="1">
      <c r="A729" t="s">
        <v>3003</v>
      </c>
      <c r="B729" t="s">
        <v>3004</v>
      </c>
      <c r="C729" s="710"/>
      <c r="D729" s="710"/>
      <c r="E729" s="710"/>
      <c r="F729" s="3"/>
    </row>
    <row r="730" spans="1:6" ht="15" customHeight="1">
      <c r="A730" t="s">
        <v>3007</v>
      </c>
      <c r="B730" t="s">
        <v>3008</v>
      </c>
      <c r="C730" s="710"/>
      <c r="D730" s="710"/>
      <c r="E730" s="710"/>
      <c r="F730" s="3"/>
    </row>
    <row r="731" spans="1:6" ht="15" customHeight="1">
      <c r="A731" t="s">
        <v>3015</v>
      </c>
      <c r="B731" t="s">
        <v>3016</v>
      </c>
      <c r="C731" s="710"/>
      <c r="D731" s="710"/>
      <c r="E731" s="710"/>
      <c r="F731" s="3"/>
    </row>
    <row r="732" spans="1:6" ht="15" customHeight="1">
      <c r="A732" t="s">
        <v>3021</v>
      </c>
      <c r="B732" t="s">
        <v>3022</v>
      </c>
      <c r="C732" s="710"/>
      <c r="D732" s="710"/>
      <c r="E732" s="710"/>
      <c r="F732" s="3"/>
    </row>
    <row r="733" spans="1:6" ht="15" customHeight="1">
      <c r="A733" t="s">
        <v>3033</v>
      </c>
      <c r="B733" t="s">
        <v>3034</v>
      </c>
      <c r="C733" s="710" t="s">
        <v>88</v>
      </c>
      <c r="D733" s="710" t="s">
        <v>101</v>
      </c>
      <c r="E733" s="710" t="s">
        <v>3131</v>
      </c>
      <c r="F733" s="3"/>
    </row>
    <row r="734" spans="1:6" ht="15" customHeight="1">
      <c r="A734" t="s">
        <v>3037</v>
      </c>
      <c r="B734" t="s">
        <v>3038</v>
      </c>
      <c r="C734" s="710" t="s">
        <v>88</v>
      </c>
      <c r="D734" s="710" t="s">
        <v>102</v>
      </c>
      <c r="E734" s="710" t="s">
        <v>3131</v>
      </c>
      <c r="F734" s="3"/>
    </row>
    <row r="735" spans="1:6" ht="15" customHeight="1">
      <c r="A735" t="s">
        <v>3041</v>
      </c>
      <c r="B735" t="s">
        <v>3042</v>
      </c>
      <c r="C735" s="710" t="s">
        <v>148</v>
      </c>
      <c r="D735" s="710" t="s">
        <v>101</v>
      </c>
      <c r="E735" s="710" t="s">
        <v>3131</v>
      </c>
      <c r="F735" s="3"/>
    </row>
    <row r="736" spans="1:6" ht="15" customHeight="1">
      <c r="A736" t="s">
        <v>3045</v>
      </c>
      <c r="B736" t="s">
        <v>3046</v>
      </c>
      <c r="C736" s="710" t="s">
        <v>148</v>
      </c>
      <c r="D736" s="710" t="s">
        <v>102</v>
      </c>
      <c r="E736" s="710" t="s">
        <v>3131</v>
      </c>
      <c r="F736" s="3"/>
    </row>
    <row r="737" spans="1:6" ht="15" customHeight="1">
      <c r="A737" t="s">
        <v>3065</v>
      </c>
      <c r="B737" t="s">
        <v>3064</v>
      </c>
      <c r="C737" s="710"/>
      <c r="D737" s="710"/>
      <c r="E737" s="710"/>
      <c r="F737" s="3"/>
    </row>
    <row r="738" spans="1:6" ht="15" customHeight="1">
      <c r="A738" t="s">
        <v>3068</v>
      </c>
      <c r="B738" t="s">
        <v>3069</v>
      </c>
      <c r="C738" s="710"/>
      <c r="D738" s="710"/>
      <c r="E738" s="710"/>
      <c r="F738" s="3"/>
    </row>
    <row r="739" spans="1:6" ht="15" customHeight="1">
      <c r="A739" t="s">
        <v>3072</v>
      </c>
      <c r="B739" t="s">
        <v>3073</v>
      </c>
      <c r="C739" s="710" t="s">
        <v>88</v>
      </c>
      <c r="D739" s="710" t="s">
        <v>108</v>
      </c>
      <c r="E739" s="710"/>
      <c r="F739" s="3"/>
    </row>
    <row r="740" spans="1:6" ht="15" customHeight="1">
      <c r="A740" t="s">
        <v>3076</v>
      </c>
      <c r="B740" t="s">
        <v>3077</v>
      </c>
      <c r="C740" s="710" t="s">
        <v>148</v>
      </c>
      <c r="D740" s="710" t="s">
        <v>108</v>
      </c>
      <c r="E740" s="710"/>
      <c r="F740" s="3"/>
    </row>
    <row r="741" spans="1:6" ht="15" customHeight="1">
      <c r="A741" t="s">
        <v>3082</v>
      </c>
      <c r="B741" t="s">
        <v>3083</v>
      </c>
      <c r="C741" s="710"/>
      <c r="D741" s="710"/>
      <c r="E741" s="710"/>
      <c r="F741" s="3"/>
    </row>
    <row r="742" spans="1:6" ht="15" customHeight="1">
      <c r="A742" t="s">
        <v>3088</v>
      </c>
      <c r="B742" t="s">
        <v>3087</v>
      </c>
      <c r="C742" s="710" t="s">
        <v>667</v>
      </c>
      <c r="D742" s="710" t="s">
        <v>212</v>
      </c>
      <c r="E742" s="710"/>
      <c r="F742" s="3"/>
    </row>
    <row r="743" spans="1:6" ht="15" customHeight="1">
      <c r="A743" t="s">
        <v>3089</v>
      </c>
      <c r="B743" t="s">
        <v>3090</v>
      </c>
      <c r="C743" s="710" t="s">
        <v>667</v>
      </c>
      <c r="D743" s="710" t="s">
        <v>219</v>
      </c>
      <c r="E743" s="710"/>
      <c r="F743" s="3"/>
    </row>
    <row r="744" spans="1:6" ht="15" customHeight="1">
      <c r="A744" t="s">
        <v>3091</v>
      </c>
      <c r="B744" t="s">
        <v>3092</v>
      </c>
      <c r="C744" s="710" t="s">
        <v>667</v>
      </c>
      <c r="D744" s="710" t="s">
        <v>1098</v>
      </c>
      <c r="E744" s="710"/>
      <c r="F744" s="3"/>
    </row>
    <row r="745" spans="1:6" ht="15" customHeight="1">
      <c r="A745" t="s">
        <v>3093</v>
      </c>
      <c r="B745" t="s">
        <v>3094</v>
      </c>
      <c r="C745" s="710" t="s">
        <v>88</v>
      </c>
      <c r="D745" s="710" t="s">
        <v>3141</v>
      </c>
      <c r="E745" s="710"/>
      <c r="F745" s="3"/>
    </row>
    <row r="746" spans="1:6" ht="15" customHeight="1">
      <c r="A746" t="s">
        <v>3099</v>
      </c>
      <c r="B746" t="s">
        <v>3098</v>
      </c>
      <c r="C746" s="710" t="s">
        <v>667</v>
      </c>
      <c r="D746" s="710" t="s">
        <v>212</v>
      </c>
      <c r="E746" s="710"/>
      <c r="F746" s="3"/>
    </row>
    <row r="747" spans="1:6" ht="15" customHeight="1">
      <c r="A747" t="s">
        <v>3100</v>
      </c>
      <c r="B747" t="s">
        <v>3101</v>
      </c>
      <c r="C747" s="710" t="s">
        <v>667</v>
      </c>
      <c r="D747" s="710" t="s">
        <v>219</v>
      </c>
      <c r="E747" s="710"/>
      <c r="F747" s="3"/>
    </row>
    <row r="748" spans="1:6" ht="15" customHeight="1">
      <c r="A748" s="937" t="s">
        <v>3103</v>
      </c>
      <c r="B748" s="937" t="s">
        <v>3104</v>
      </c>
      <c r="C748" s="938" t="s">
        <v>1163</v>
      </c>
      <c r="D748" s="938" t="s">
        <v>109</v>
      </c>
      <c r="E748" s="938"/>
      <c r="F748" s="3"/>
    </row>
    <row r="749" spans="1:6" ht="15" customHeight="1">
      <c r="A749" t="s">
        <v>3146</v>
      </c>
      <c r="B749" s="1044" t="s">
        <v>3188</v>
      </c>
      <c r="C749" s="710" t="s">
        <v>88</v>
      </c>
      <c r="D749" s="710" t="s">
        <v>145</v>
      </c>
      <c r="E749" s="710"/>
      <c r="F749" s="3"/>
    </row>
    <row r="750" spans="1:6" ht="15" customHeight="1">
      <c r="A750" t="s">
        <v>3147</v>
      </c>
      <c r="B750" s="1044" t="s">
        <v>3189</v>
      </c>
      <c r="C750" s="710" t="s">
        <v>148</v>
      </c>
      <c r="D750" s="710" t="s">
        <v>145</v>
      </c>
      <c r="E750" s="710"/>
      <c r="F750" s="3"/>
    </row>
    <row r="751" spans="1:6" ht="15" customHeight="1">
      <c r="A751" t="s">
        <v>3184</v>
      </c>
      <c r="B751" t="s">
        <v>3185</v>
      </c>
      <c r="C751" s="710" t="s">
        <v>88</v>
      </c>
      <c r="D751" s="710" t="s">
        <v>3135</v>
      </c>
      <c r="E751" s="710"/>
      <c r="F751" s="3"/>
    </row>
    <row r="752" spans="1:6" ht="15" customHeight="1">
      <c r="A752" t="s">
        <v>3186</v>
      </c>
      <c r="B752" t="s">
        <v>3187</v>
      </c>
      <c r="C752" s="710" t="s">
        <v>148</v>
      </c>
      <c r="D752" s="710" t="s">
        <v>3135</v>
      </c>
      <c r="E752" s="710"/>
      <c r="F752" s="3"/>
    </row>
    <row r="753" spans="1:6" ht="15" customHeight="1">
      <c r="A753" t="s">
        <v>1541</v>
      </c>
      <c r="B753" t="s">
        <v>1542</v>
      </c>
      <c r="C753" s="710" t="s">
        <v>172</v>
      </c>
      <c r="D753" s="710" t="s">
        <v>3190</v>
      </c>
      <c r="E753" s="710"/>
      <c r="F753" s="3"/>
    </row>
    <row r="754" spans="1:6" ht="15" customHeight="1">
      <c r="A754" t="s">
        <v>3193</v>
      </c>
      <c r="B754" t="s">
        <v>3194</v>
      </c>
      <c r="C754" s="710" t="s">
        <v>1163</v>
      </c>
      <c r="D754" s="710" t="s">
        <v>1167</v>
      </c>
      <c r="E754" s="710" t="s">
        <v>3131</v>
      </c>
      <c r="F754" s="3"/>
    </row>
    <row r="755" spans="1:6" ht="15" customHeight="1">
      <c r="A755" t="s">
        <v>3195</v>
      </c>
      <c r="B755" t="s">
        <v>2824</v>
      </c>
      <c r="C755" s="710" t="s">
        <v>1163</v>
      </c>
      <c r="D755" s="710" t="s">
        <v>1167</v>
      </c>
      <c r="E755" s="710"/>
      <c r="F755" s="3"/>
    </row>
    <row r="756" spans="1:6" ht="15" customHeight="1">
      <c r="A756" t="s">
        <v>3200</v>
      </c>
      <c r="B756" t="s">
        <v>3201</v>
      </c>
      <c r="C756" s="710" t="s">
        <v>88</v>
      </c>
      <c r="D756" s="710" t="s">
        <v>111</v>
      </c>
      <c r="E756" s="710"/>
      <c r="F756" s="3"/>
    </row>
    <row r="757" spans="1:6" ht="15" customHeight="1">
      <c r="A757" t="s">
        <v>3148</v>
      </c>
      <c r="B757" t="s">
        <v>3149</v>
      </c>
      <c r="C757" s="710" t="s">
        <v>157</v>
      </c>
      <c r="D757" s="710" t="s">
        <v>119</v>
      </c>
      <c r="E757" s="710"/>
      <c r="F757" s="3"/>
    </row>
    <row r="758" spans="1:6" ht="15" customHeight="1">
      <c r="A758" t="s">
        <v>3206</v>
      </c>
      <c r="B758" t="s">
        <v>3207</v>
      </c>
      <c r="C758" s="710" t="s">
        <v>1162</v>
      </c>
      <c r="D758" s="710" t="s">
        <v>126</v>
      </c>
      <c r="E758" s="710"/>
      <c r="F758" s="3"/>
    </row>
    <row r="759" spans="1:6" ht="15" customHeight="1">
      <c r="A759" t="s">
        <v>1587</v>
      </c>
      <c r="B759" t="s">
        <v>1588</v>
      </c>
      <c r="C759" s="710"/>
      <c r="D759" s="710"/>
      <c r="E759" s="710"/>
      <c r="F759" s="3"/>
    </row>
    <row r="760" spans="1:6" ht="15" customHeight="1">
      <c r="A760" t="s">
        <v>1615</v>
      </c>
      <c r="B760" t="s">
        <v>1616</v>
      </c>
      <c r="C760" s="710"/>
      <c r="D760" s="710"/>
      <c r="E760" s="710"/>
      <c r="F760" s="3"/>
    </row>
    <row r="761" spans="1:6" ht="15" customHeight="1">
      <c r="A761" t="s">
        <v>3255</v>
      </c>
      <c r="B761" t="s">
        <v>3256</v>
      </c>
      <c r="C761" s="710" t="s">
        <v>652</v>
      </c>
      <c r="D761" s="710" t="s">
        <v>51</v>
      </c>
      <c r="E761" s="710"/>
      <c r="F761" s="3"/>
    </row>
    <row r="762" spans="1:6" ht="15" customHeight="1">
      <c r="A762" t="s">
        <v>3257</v>
      </c>
      <c r="B762" t="s">
        <v>3258</v>
      </c>
      <c r="C762" s="710" t="s">
        <v>652</v>
      </c>
      <c r="D762" s="710" t="s">
        <v>51</v>
      </c>
      <c r="E762" s="710"/>
      <c r="F762" s="3"/>
    </row>
    <row r="763" spans="1:6" ht="15" customHeight="1">
      <c r="A763" t="s">
        <v>3168</v>
      </c>
      <c r="B763" t="s">
        <v>3169</v>
      </c>
      <c r="C763" s="710" t="s">
        <v>148</v>
      </c>
      <c r="D763" s="710" t="s">
        <v>100</v>
      </c>
      <c r="E763" s="710"/>
      <c r="F763" s="3"/>
    </row>
    <row r="764" spans="1:6" ht="15" customHeight="1">
      <c r="A764" t="s">
        <v>3176</v>
      </c>
      <c r="B764" t="s">
        <v>3177</v>
      </c>
      <c r="C764" s="710" t="s">
        <v>148</v>
      </c>
      <c r="D764" s="710" t="s">
        <v>100</v>
      </c>
      <c r="E764" s="710"/>
      <c r="F764" s="3"/>
    </row>
    <row r="765" spans="1:6" ht="15" customHeight="1">
      <c r="A765" s="905" t="s">
        <v>3336</v>
      </c>
      <c r="B765" s="905" t="s">
        <v>3337</v>
      </c>
      <c r="C765" s="710" t="s">
        <v>157</v>
      </c>
      <c r="D765" s="710" t="s">
        <v>160</v>
      </c>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B780" t="s">
        <v>1157</v>
      </c>
      <c r="F780" s="3"/>
    </row>
    <row r="781" spans="2:6" ht="15" customHeight="1">
      <c r="F781" s="3"/>
    </row>
    <row r="782" spans="2:6" ht="15" customHeight="1">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4"/>
    </row>
    <row r="832" spans="6:6" ht="15" customHeight="1">
      <c r="F832" s="4"/>
    </row>
    <row r="833" spans="6:6" ht="15" customHeight="1">
      <c r="F833" s="3"/>
    </row>
    <row r="834" spans="6:6" ht="15" customHeight="1">
      <c r="F834" s="3"/>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c r="J862" s="3"/>
    </row>
    <row r="863" spans="6:10" ht="15" customHeight="1">
      <c r="F863" s="3"/>
      <c r="J863" s="3"/>
    </row>
    <row r="864" spans="6:10" ht="15" customHeight="1">
      <c r="F864" s="3"/>
    </row>
    <row r="865" spans="6:6" ht="15" customHeight="1">
      <c r="F865" s="3"/>
    </row>
    <row r="866" spans="6:6" ht="15" customHeight="1">
      <c r="F866" s="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c r="G958" s="3"/>
      <c r="H958" s="3"/>
      <c r="J958" s="3"/>
      <c r="K958" s="3"/>
      <c r="L958" s="3"/>
      <c r="M958" s="3"/>
      <c r="N958" s="3"/>
      <c r="O958" s="3"/>
      <c r="P958" s="3"/>
      <c r="Q958" s="3"/>
      <c r="R958" s="3"/>
      <c r="S958" s="3"/>
      <c r="T958" s="3"/>
      <c r="U958" s="3"/>
      <c r="V958" s="3"/>
      <c r="W958" s="3"/>
      <c r="X958" s="3"/>
      <c r="Y958" s="3"/>
      <c r="Z958" s="3"/>
      <c r="AA958" s="3"/>
    </row>
    <row r="959" spans="6:27" ht="15" customHeight="1">
      <c r="F959" s="3"/>
      <c r="G959" s="3"/>
      <c r="H959" s="3"/>
      <c r="J959" s="3"/>
      <c r="K959" s="3"/>
      <c r="L959" s="3"/>
      <c r="M959" s="3"/>
      <c r="N959" s="3"/>
      <c r="O959" s="3"/>
      <c r="P959" s="3"/>
      <c r="Q959" s="3"/>
      <c r="R959" s="3"/>
      <c r="S959" s="3"/>
      <c r="T959" s="3"/>
      <c r="U959" s="3"/>
      <c r="V959" s="3"/>
      <c r="W959" s="3"/>
      <c r="X959" s="3"/>
      <c r="Y959" s="3"/>
      <c r="Z959" s="3"/>
      <c r="AA959" s="3"/>
    </row>
    <row r="960" spans="6:27" ht="13.5" customHeight="1">
      <c r="F960" s="3"/>
    </row>
    <row r="961" spans="6:27" ht="15" customHeight="1">
      <c r="F961" s="3"/>
    </row>
    <row r="962" spans="6:27" ht="15" customHeight="1">
      <c r="F962" s="3"/>
    </row>
    <row r="963" spans="6:27" ht="15" customHeight="1">
      <c r="F963" s="3"/>
    </row>
    <row r="964" spans="6:27" ht="15" customHeight="1">
      <c r="F964" s="3"/>
    </row>
    <row r="965" spans="6:27" ht="15" customHeight="1">
      <c r="F965" s="3"/>
      <c r="I965" s="3"/>
    </row>
    <row r="966" spans="6:27" ht="15" customHeight="1">
      <c r="F966" s="3"/>
      <c r="G966" s="3"/>
      <c r="H966" s="3"/>
      <c r="I966" s="3"/>
      <c r="J966" s="3"/>
      <c r="K966" s="3"/>
      <c r="L966" s="3"/>
      <c r="M966" s="3"/>
      <c r="N966" s="3"/>
      <c r="O966" s="3"/>
      <c r="P966" s="3"/>
      <c r="Q966" s="3"/>
      <c r="R966" s="3"/>
      <c r="S966" s="3"/>
      <c r="T966" s="3"/>
      <c r="U966" s="3"/>
      <c r="V966" s="3"/>
      <c r="W966" s="3"/>
      <c r="X966" s="3"/>
      <c r="Y966" s="3"/>
      <c r="Z966" s="3"/>
      <c r="AA966" s="3"/>
    </row>
    <row r="967" spans="6:27" ht="15" customHeight="1">
      <c r="F967" s="3"/>
    </row>
    <row r="968" spans="6:27" ht="15" customHeight="1">
      <c r="F968" s="3"/>
    </row>
    <row r="969" spans="6:27" ht="15" customHeight="1">
      <c r="F969" s="3"/>
    </row>
    <row r="970" spans="6:27" ht="15" customHeight="1">
      <c r="F970" s="3"/>
    </row>
    <row r="971" spans="6:27" ht="15" customHeight="1">
      <c r="F971" s="3"/>
    </row>
    <row r="972" spans="6:27" ht="15" customHeight="1">
      <c r="F972" s="3"/>
    </row>
    <row r="973" spans="6:27" ht="15" customHeight="1">
      <c r="F973" s="3"/>
      <c r="G973" s="3"/>
      <c r="H973" s="3"/>
      <c r="J973" s="3"/>
      <c r="K973" s="3"/>
      <c r="L973" s="3"/>
      <c r="M973" s="3"/>
      <c r="N973" s="3"/>
      <c r="O973" s="3"/>
      <c r="P973" s="3"/>
      <c r="Q973" s="3"/>
      <c r="R973" s="3"/>
      <c r="S973" s="3"/>
      <c r="T973" s="3"/>
      <c r="U973" s="3"/>
      <c r="V973" s="3"/>
      <c r="W973" s="3"/>
      <c r="X973" s="3"/>
      <c r="Y973" s="3"/>
      <c r="Z973" s="3"/>
      <c r="AA973" s="3"/>
    </row>
    <row r="974" spans="6:27" ht="15" customHeight="1">
      <c r="F974" s="3"/>
      <c r="I974" s="3"/>
    </row>
    <row r="975" spans="6:27" ht="15" customHeight="1">
      <c r="F975" s="3"/>
      <c r="I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c r="G992" s="3"/>
      <c r="H992" s="3"/>
      <c r="J992" s="3"/>
      <c r="K992" s="3"/>
      <c r="L992" s="3"/>
      <c r="M992" s="3"/>
      <c r="N992" s="3"/>
      <c r="O992" s="3"/>
      <c r="P992" s="3"/>
      <c r="Q992" s="3"/>
      <c r="R992" s="3"/>
      <c r="S992" s="3"/>
      <c r="T992" s="3"/>
      <c r="U992" s="3"/>
      <c r="V992" s="3"/>
      <c r="W992" s="3"/>
      <c r="X992" s="3"/>
      <c r="Y992" s="3"/>
      <c r="Z992" s="3"/>
      <c r="AA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c r="I1021" s="3"/>
    </row>
    <row r="1022" spans="6:9" ht="15" customHeight="1">
      <c r="F1022" s="3"/>
    </row>
    <row r="1023" spans="6:9" ht="15" customHeight="1">
      <c r="F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c r="I1034" s="3"/>
    </row>
    <row r="1035" spans="6:9" ht="15" customHeight="1">
      <c r="F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c r="G1070" s="3"/>
      <c r="H1070" s="3"/>
      <c r="J1070" s="3"/>
      <c r="K1070" s="3"/>
      <c r="L1070" s="3"/>
      <c r="M1070" s="3"/>
      <c r="N1070" s="3"/>
      <c r="O1070" s="3"/>
      <c r="P1070" s="3"/>
      <c r="Q1070" s="3"/>
      <c r="R1070" s="3"/>
      <c r="S1070" s="3"/>
      <c r="T1070" s="3"/>
      <c r="U1070" s="3"/>
      <c r="V1070" s="3"/>
      <c r="W1070" s="3"/>
      <c r="X1070" s="3"/>
      <c r="Y1070" s="3"/>
      <c r="Z1070" s="3"/>
      <c r="AA1070" s="3"/>
    </row>
    <row r="1071" spans="6:27" ht="15" customHeight="1">
      <c r="F1071" s="3"/>
    </row>
    <row r="1072" spans="6:27" ht="15" customHeight="1">
      <c r="F1072" s="3"/>
    </row>
    <row r="1073" spans="6:9" ht="15" customHeight="1">
      <c r="F1073" s="3"/>
    </row>
    <row r="1074" spans="6:9" ht="15" customHeight="1">
      <c r="F1074" s="3"/>
    </row>
    <row r="1075" spans="6:9" ht="15" customHeight="1">
      <c r="F1075" s="3"/>
    </row>
    <row r="1076" spans="6:9" ht="15" customHeight="1">
      <c r="F1076" s="3"/>
    </row>
    <row r="1077" spans="6:9" ht="15" customHeight="1">
      <c r="F1077" s="3"/>
      <c r="I1077" s="3"/>
    </row>
    <row r="1078" spans="6:9" ht="15" customHeight="1">
      <c r="F1078" s="3"/>
    </row>
    <row r="1079" spans="6:9" ht="15" customHeight="1">
      <c r="F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c r="G1101" s="3"/>
      <c r="H1101" s="3"/>
      <c r="J1101" s="3"/>
      <c r="K1101" s="3"/>
      <c r="L1101" s="3"/>
      <c r="M1101" s="3"/>
      <c r="N1101" s="3"/>
      <c r="O1101" s="3"/>
      <c r="P1101" s="3"/>
      <c r="Q1101" s="3"/>
      <c r="R1101" s="3"/>
      <c r="S1101" s="3"/>
      <c r="T1101" s="3"/>
      <c r="U1101" s="3"/>
      <c r="V1101" s="3"/>
      <c r="W1101" s="3"/>
      <c r="X1101" s="3"/>
      <c r="Y1101" s="3"/>
      <c r="Z1101" s="3"/>
      <c r="AA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27" ht="15" customHeight="1">
      <c r="F1121" s="3"/>
    </row>
    <row r="1122" spans="6:27" ht="15" customHeight="1">
      <c r="F1122" s="3"/>
    </row>
    <row r="1123" spans="6:27" ht="15" customHeight="1">
      <c r="F1123" s="3"/>
    </row>
    <row r="1124" spans="6:27" ht="15" customHeight="1">
      <c r="F1124" s="3"/>
    </row>
    <row r="1125" spans="6:27" ht="15" customHeight="1">
      <c r="F1125" s="3"/>
    </row>
    <row r="1126" spans="6:27" ht="15" customHeight="1">
      <c r="F1126" s="3"/>
    </row>
    <row r="1127" spans="6:27" ht="15" customHeight="1">
      <c r="F1127" s="3"/>
    </row>
    <row r="1128" spans="6:27" ht="15" customHeight="1">
      <c r="F1128" s="3"/>
    </row>
    <row r="1129" spans="6:27" ht="15" customHeight="1">
      <c r="F1129" s="3"/>
    </row>
    <row r="1130" spans="6:27" ht="15" customHeight="1">
      <c r="F1130" s="3"/>
    </row>
    <row r="1131" spans="6:27" ht="15" customHeight="1">
      <c r="F1131" s="3"/>
    </row>
    <row r="1132" spans="6:27" ht="15" customHeight="1">
      <c r="F1132" s="3"/>
    </row>
    <row r="1133" spans="6:27" ht="15" customHeight="1">
      <c r="F1133" s="3"/>
    </row>
    <row r="1134" spans="6:27" ht="15" customHeight="1">
      <c r="F1134" s="3"/>
    </row>
    <row r="1135" spans="6:27" ht="15" customHeight="1">
      <c r="F1135" s="3"/>
    </row>
    <row r="1136" spans="6:27" ht="15" customHeight="1">
      <c r="F1136" s="3"/>
      <c r="G1136" s="3"/>
      <c r="H1136" s="3"/>
      <c r="J1136" s="3"/>
      <c r="K1136" s="3"/>
      <c r="L1136" s="3"/>
      <c r="M1136" s="3"/>
      <c r="N1136" s="3"/>
      <c r="O1136" s="3"/>
      <c r="P1136" s="3"/>
      <c r="Q1136" s="3"/>
      <c r="R1136" s="3"/>
      <c r="S1136" s="3"/>
      <c r="T1136" s="3"/>
      <c r="U1136" s="3"/>
      <c r="V1136" s="3"/>
      <c r="W1136" s="3"/>
      <c r="X1136" s="3"/>
      <c r="Y1136" s="3"/>
      <c r="Z1136" s="3"/>
      <c r="AA1136" s="3"/>
    </row>
    <row r="1137" spans="6:27" ht="15" customHeight="1">
      <c r="F1137" s="3"/>
    </row>
    <row r="1138" spans="6:27" ht="15" customHeight="1">
      <c r="F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c r="G1149" s="3"/>
      <c r="H1149" s="3"/>
      <c r="J1149" s="3"/>
      <c r="K1149" s="3"/>
      <c r="L1149" s="3"/>
      <c r="M1149" s="3"/>
      <c r="N1149" s="3"/>
      <c r="O1149" s="3"/>
      <c r="P1149" s="3"/>
      <c r="Q1149" s="3"/>
      <c r="R1149" s="3"/>
      <c r="S1149" s="3"/>
      <c r="T1149" s="3"/>
      <c r="U1149" s="3"/>
      <c r="V1149" s="3"/>
      <c r="W1149" s="3"/>
      <c r="X1149" s="3"/>
      <c r="Y1149" s="3"/>
      <c r="Z1149" s="3"/>
      <c r="AA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c r="I1152" s="3"/>
    </row>
    <row r="1153" spans="6:6" ht="15" customHeight="1">
      <c r="F1153" s="3"/>
    </row>
    <row r="1154" spans="6:6" ht="15" customHeight="1">
      <c r="F1154" s="3"/>
    </row>
    <row r="1155" spans="6:6" ht="15" customHeight="1">
      <c r="F1155" s="3"/>
    </row>
    <row r="1156" spans="6:6" ht="15" customHeight="1">
      <c r="F1156" s="3"/>
    </row>
    <row r="1157" spans="6:6" ht="15" customHeight="1">
      <c r="F1157" s="3"/>
    </row>
    <row r="1158" spans="6:6" ht="15" customHeight="1">
      <c r="F1158" s="3"/>
    </row>
    <row r="1159" spans="6:6" ht="15" customHeight="1">
      <c r="F1159" s="3"/>
    </row>
    <row r="1160" spans="6:6" ht="15" customHeight="1">
      <c r="F1160" s="3"/>
    </row>
    <row r="1161" spans="6:6" ht="15" customHeight="1">
      <c r="F1161" s="3"/>
    </row>
    <row r="1162" spans="6:6" ht="15" customHeight="1">
      <c r="F1162" s="3"/>
    </row>
    <row r="1163" spans="6:6" ht="15" customHeight="1">
      <c r="F1163" s="3"/>
    </row>
    <row r="1164" spans="6:6" ht="15" customHeight="1">
      <c r="F1164" s="3"/>
    </row>
    <row r="1165" spans="6:6" ht="15" customHeight="1">
      <c r="F1165" s="3"/>
    </row>
    <row r="1166" spans="6:6" ht="15" customHeight="1">
      <c r="F1166" s="3"/>
    </row>
    <row r="1167" spans="6:6" ht="15" customHeight="1">
      <c r="F1167" s="3"/>
    </row>
    <row r="1168" spans="6:6"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c r="I1187" s="3"/>
    </row>
    <row r="1188" spans="6:9" ht="15" customHeight="1">
      <c r="F1188" s="3"/>
    </row>
    <row r="1189" spans="6:9" ht="15" customHeight="1">
      <c r="F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c r="I1200" s="3"/>
    </row>
    <row r="1201" spans="6:27" ht="15" customHeight="1">
      <c r="F1201" s="3"/>
    </row>
    <row r="1202" spans="6:27" ht="15" customHeight="1">
      <c r="F1202" s="3"/>
      <c r="I1202" s="3"/>
    </row>
    <row r="1203" spans="6:27" ht="15" customHeight="1">
      <c r="F1203" s="3"/>
    </row>
    <row r="1204" spans="6:27" ht="15" customHeight="1">
      <c r="F1204" s="3"/>
    </row>
    <row r="1205" spans="6:27" ht="15" customHeight="1">
      <c r="F1205" s="3"/>
    </row>
    <row r="1206" spans="6:27" ht="15" customHeight="1">
      <c r="F1206" s="3"/>
    </row>
    <row r="1207" spans="6:27" ht="15" customHeight="1">
      <c r="F1207" s="3"/>
    </row>
    <row r="1208" spans="6:27" ht="15" customHeight="1">
      <c r="F1208" s="3"/>
    </row>
    <row r="1209" spans="6:27" ht="15" customHeight="1">
      <c r="F1209" s="3"/>
      <c r="G1209" s="3"/>
      <c r="H1209" s="3"/>
      <c r="J1209" s="3"/>
      <c r="K1209" s="3"/>
      <c r="L1209" s="3"/>
      <c r="M1209" s="3"/>
      <c r="N1209" s="3"/>
      <c r="O1209" s="3"/>
      <c r="P1209" s="3"/>
      <c r="Q1209" s="3"/>
      <c r="R1209" s="3"/>
      <c r="S1209" s="3"/>
      <c r="T1209" s="3"/>
      <c r="U1209" s="3"/>
      <c r="V1209" s="3"/>
      <c r="W1209" s="3"/>
      <c r="X1209" s="3"/>
      <c r="Y1209" s="3"/>
      <c r="Z1209" s="3"/>
      <c r="AA1209" s="3"/>
    </row>
    <row r="1210" spans="6:27" ht="15" customHeight="1">
      <c r="F1210" s="3"/>
    </row>
    <row r="1211" spans="6:27" ht="15" customHeight="1">
      <c r="F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c r="G1245" s="3"/>
      <c r="H1245" s="3"/>
      <c r="J1245" s="3"/>
      <c r="K1245" s="3"/>
      <c r="L1245" s="3"/>
      <c r="M1245" s="3"/>
      <c r="N1245" s="3"/>
      <c r="O1245" s="3"/>
      <c r="P1245" s="3"/>
      <c r="Q1245" s="3"/>
      <c r="R1245" s="3"/>
      <c r="S1245" s="3"/>
      <c r="T1245" s="3"/>
      <c r="U1245" s="3"/>
      <c r="V1245" s="3"/>
      <c r="W1245" s="3"/>
      <c r="X1245" s="3"/>
      <c r="Y1245" s="3"/>
      <c r="Z1245" s="3"/>
      <c r="AA1245" s="3"/>
    </row>
    <row r="1246" spans="6:27" ht="15" customHeight="1">
      <c r="F1246" s="3"/>
    </row>
    <row r="1247" spans="6:27" ht="15" customHeight="1">
      <c r="F1247" s="3"/>
    </row>
    <row r="1248" spans="6:27" ht="15" customHeight="1">
      <c r="F1248" s="3"/>
    </row>
    <row r="1249" spans="6:27" ht="15" customHeight="1">
      <c r="F1249" s="3"/>
    </row>
    <row r="1250" spans="6:27" ht="15" customHeight="1">
      <c r="F1250" s="3"/>
    </row>
    <row r="1251" spans="6:27" ht="15" customHeight="1">
      <c r="F1251" s="3"/>
    </row>
    <row r="1252" spans="6:27" ht="15" customHeight="1">
      <c r="F1252" s="3"/>
      <c r="I1252" s="3"/>
    </row>
    <row r="1253" spans="6:27" ht="15" customHeight="1">
      <c r="F1253" s="3"/>
    </row>
    <row r="1254" spans="6:27" ht="15" customHeight="1">
      <c r="F1254" s="3"/>
    </row>
    <row r="1255" spans="6:27" ht="15" customHeight="1">
      <c r="F1255" s="3"/>
    </row>
    <row r="1256" spans="6:27" ht="15" customHeight="1">
      <c r="F1256" s="3"/>
    </row>
    <row r="1257" spans="6:27" ht="15" customHeight="1">
      <c r="F1257" s="4"/>
    </row>
    <row r="1258" spans="6:27" ht="15" customHeight="1">
      <c r="F1258" s="4"/>
    </row>
    <row r="1259" spans="6:27" ht="15" customHeight="1">
      <c r="F1259" s="3"/>
    </row>
    <row r="1260" spans="6:27" ht="15" customHeight="1">
      <c r="F1260" s="3"/>
    </row>
    <row r="1261" spans="6:27" ht="15" customHeight="1">
      <c r="F1261" s="3"/>
      <c r="G1261" s="3"/>
      <c r="H1261" s="3"/>
      <c r="I1261" s="3"/>
      <c r="J1261" s="3"/>
      <c r="K1261" s="3"/>
      <c r="L1261" s="3"/>
      <c r="M1261" s="3"/>
      <c r="N1261" s="3"/>
      <c r="O1261" s="3"/>
      <c r="P1261" s="3"/>
      <c r="Q1261" s="3"/>
      <c r="R1261" s="3"/>
      <c r="S1261" s="3"/>
      <c r="T1261" s="3"/>
      <c r="U1261" s="3"/>
      <c r="V1261" s="3"/>
      <c r="W1261" s="3"/>
      <c r="X1261" s="3"/>
      <c r="Y1261" s="3"/>
      <c r="Z1261" s="3"/>
      <c r="AA1261" s="3"/>
    </row>
    <row r="1262" spans="6:27" ht="15" customHeight="1">
      <c r="F1262" s="3"/>
      <c r="G1262" s="3"/>
      <c r="H1262" s="3"/>
      <c r="J1262" s="3"/>
      <c r="K1262" s="3"/>
      <c r="L1262" s="3"/>
      <c r="M1262" s="3"/>
      <c r="N1262" s="3"/>
      <c r="O1262" s="3"/>
      <c r="P1262" s="3"/>
      <c r="Q1262" s="3"/>
      <c r="R1262" s="3"/>
      <c r="S1262" s="3"/>
      <c r="T1262" s="3"/>
      <c r="U1262" s="3"/>
      <c r="V1262" s="3"/>
      <c r="W1262" s="3"/>
      <c r="X1262" s="3"/>
      <c r="Y1262" s="3"/>
      <c r="Z1262" s="3"/>
      <c r="AA1262" s="3"/>
    </row>
    <row r="1263" spans="6:27" ht="15" customHeight="1">
      <c r="F1263" s="3"/>
    </row>
    <row r="1264" spans="6:27" ht="15" customHeight="1">
      <c r="F1264" s="3"/>
    </row>
    <row r="1265" spans="6:27" ht="15" customHeight="1">
      <c r="F1265" s="3"/>
    </row>
    <row r="1266" spans="6:27" ht="15" customHeight="1">
      <c r="F1266" s="3"/>
    </row>
    <row r="1267" spans="6:27" ht="15" customHeight="1">
      <c r="F1267" s="30"/>
    </row>
    <row r="1268" spans="6:27" ht="15" customHeight="1">
      <c r="F1268" s="30"/>
      <c r="G1268" s="3"/>
      <c r="H1268" s="3"/>
      <c r="J1268" s="3"/>
      <c r="K1268" s="3"/>
      <c r="L1268" s="3"/>
      <c r="M1268" s="3"/>
      <c r="N1268" s="3"/>
      <c r="O1268" s="3"/>
      <c r="P1268" s="3"/>
      <c r="Q1268" s="3"/>
      <c r="R1268" s="3"/>
      <c r="S1268" s="3"/>
      <c r="T1268" s="3"/>
      <c r="U1268" s="3"/>
      <c r="V1268" s="3"/>
      <c r="W1268" s="3"/>
      <c r="X1268" s="3"/>
      <c r="Y1268" s="3"/>
      <c r="Z1268" s="3"/>
      <c r="AA1268" s="3"/>
    </row>
    <row r="1269" spans="6:27" ht="15" customHeight="1">
      <c r="F1269" s="30"/>
    </row>
    <row r="1270" spans="6:27" ht="15" customHeight="1">
      <c r="F1270" s="30"/>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
    </row>
    <row r="1281" spans="6:6" ht="15" customHeight="1">
      <c r="F1281" s="3"/>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0"/>
    </row>
    <row r="1291" spans="6:6" ht="15" customHeight="1">
      <c r="F1291" s="30"/>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9" ht="15" customHeight="1">
      <c r="F1297" s="30"/>
    </row>
    <row r="1298" spans="6:9" ht="15" customHeight="1">
      <c r="F1298" s="30"/>
    </row>
    <row r="1299" spans="6:9" ht="15" customHeight="1">
      <c r="F1299" s="30"/>
    </row>
    <row r="1300" spans="6:9" ht="15" customHeight="1">
      <c r="F1300" s="30"/>
    </row>
    <row r="1301" spans="6:9" ht="15" customHeight="1">
      <c r="F1301" s="30"/>
    </row>
    <row r="1302" spans="6:9" ht="15" customHeight="1">
      <c r="F1302" s="30"/>
    </row>
    <row r="1303" spans="6:9" ht="15" customHeight="1">
      <c r="F1303" s="30"/>
    </row>
    <row r="1304" spans="6:9" ht="15" customHeight="1">
      <c r="F1304" s="30"/>
    </row>
    <row r="1305" spans="6:9" ht="15" customHeight="1">
      <c r="F1305" s="30"/>
    </row>
    <row r="1306" spans="6:9" ht="15" customHeight="1">
      <c r="F1306" s="30"/>
    </row>
    <row r="1307" spans="6:9" ht="15" customHeight="1">
      <c r="F1307" s="30"/>
    </row>
    <row r="1308" spans="6:9" ht="15" customHeight="1">
      <c r="F1308" s="30"/>
    </row>
    <row r="1309" spans="6:9" ht="15" customHeight="1">
      <c r="F1309" s="30"/>
    </row>
    <row r="1310" spans="6:9" ht="15" customHeight="1">
      <c r="F1310" s="30"/>
    </row>
    <row r="1311" spans="6:9" ht="15" customHeight="1">
      <c r="F1311" s="30"/>
    </row>
    <row r="1312" spans="6:9" ht="15" customHeight="1">
      <c r="F1312" s="30"/>
      <c r="I1312" s="3"/>
    </row>
    <row r="1313" spans="6:27" ht="15" customHeight="1">
      <c r="F1313" s="30"/>
      <c r="I1313" s="3"/>
    </row>
    <row r="1314" spans="6:27" ht="15" customHeight="1">
      <c r="F1314" s="30"/>
    </row>
    <row r="1315" spans="6:27" ht="15" customHeight="1">
      <c r="F1315" s="30"/>
    </row>
    <row r="1316" spans="6:27" ht="15" customHeight="1">
      <c r="F1316" s="30"/>
    </row>
    <row r="1317" spans="6:27" ht="15" customHeight="1">
      <c r="F1317" s="30"/>
      <c r="G1317" s="3"/>
      <c r="H1317" s="3"/>
      <c r="J1317" s="3"/>
      <c r="K1317" s="3"/>
      <c r="L1317" s="3"/>
      <c r="M1317" s="3"/>
      <c r="N1317" s="3"/>
      <c r="O1317" s="3"/>
      <c r="P1317" s="3"/>
      <c r="Q1317" s="3"/>
      <c r="R1317" s="3"/>
      <c r="S1317" s="3"/>
      <c r="T1317" s="3"/>
      <c r="U1317" s="3"/>
      <c r="V1317" s="3"/>
      <c r="W1317" s="3"/>
      <c r="X1317" s="3"/>
      <c r="Y1317" s="3"/>
      <c r="Z1317" s="3"/>
      <c r="AA1317" s="3"/>
    </row>
    <row r="1318" spans="6:27" ht="15" customHeight="1">
      <c r="F1318" s="30"/>
    </row>
    <row r="1319" spans="6:27" ht="15" customHeight="1">
      <c r="F1319" s="30"/>
      <c r="I1319" s="3"/>
    </row>
    <row r="1320" spans="6:27" ht="15" customHeight="1">
      <c r="F1320" s="30"/>
    </row>
    <row r="1321" spans="6:27" ht="15" customHeight="1">
      <c r="F1321" s="30"/>
    </row>
    <row r="1322" spans="6:27" ht="15" customHeight="1">
      <c r="F1322" s="30"/>
    </row>
    <row r="1323" spans="6:27" ht="15" customHeight="1">
      <c r="F1323" s="30"/>
    </row>
    <row r="1324" spans="6:27" ht="15" customHeight="1">
      <c r="F1324" s="30"/>
      <c r="I1324" s="3"/>
    </row>
    <row r="1325" spans="6:27" ht="15" customHeight="1">
      <c r="F1325" s="30"/>
    </row>
    <row r="1326" spans="6:27" ht="15" customHeight="1">
      <c r="F1326" s="30"/>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4"/>
    </row>
    <row r="1358" spans="6:6" ht="15" customHeight="1">
      <c r="F1358" s="4"/>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c r="G1365" s="3"/>
      <c r="H1365" s="3"/>
      <c r="J1365" s="3"/>
      <c r="K1365" s="3"/>
      <c r="L1365" s="3"/>
      <c r="M1365" s="3"/>
      <c r="N1365" s="3"/>
      <c r="O1365" s="3"/>
      <c r="P1365" s="3"/>
      <c r="Q1365" s="3"/>
      <c r="R1365" s="3"/>
      <c r="S1365" s="3"/>
      <c r="T1365" s="3"/>
      <c r="U1365" s="3"/>
      <c r="V1365" s="3"/>
      <c r="W1365" s="3"/>
      <c r="X1365" s="3"/>
      <c r="Y1365" s="3"/>
      <c r="Z1365" s="3"/>
      <c r="AA1365" s="3"/>
    </row>
    <row r="1366" spans="6:27" ht="15" customHeight="1">
      <c r="F1366" s="4"/>
    </row>
    <row r="1367" spans="6:27" ht="15" customHeight="1">
      <c r="F1367" s="4"/>
    </row>
    <row r="1368" spans="6:27" ht="15" customHeight="1">
      <c r="F1368" s="4"/>
    </row>
    <row r="1369" spans="6:27" ht="15" customHeight="1">
      <c r="F1369" s="4"/>
    </row>
    <row r="1370" spans="6:27" ht="15" customHeight="1">
      <c r="F1370" s="4"/>
    </row>
    <row r="1371" spans="6:27" ht="15" customHeight="1">
      <c r="F1371" s="3"/>
    </row>
    <row r="1372" spans="6:27" ht="15" customHeight="1">
      <c r="F1372" s="3"/>
    </row>
    <row r="1373" spans="6:27" ht="15" customHeight="1">
      <c r="F1373" s="3"/>
    </row>
    <row r="1374" spans="6:27" ht="15" customHeight="1">
      <c r="F1374" s="3"/>
    </row>
    <row r="1375" spans="6:27" ht="15" customHeight="1">
      <c r="F1375" s="3"/>
    </row>
    <row r="1376" spans="6:27" ht="15" customHeight="1">
      <c r="F1376" s="3"/>
      <c r="G1376" s="3"/>
      <c r="H1376" s="3"/>
      <c r="J1376" s="3"/>
      <c r="K1376" s="3"/>
      <c r="L1376" s="3"/>
      <c r="M1376" s="3"/>
      <c r="N1376" s="3"/>
      <c r="O1376" s="3"/>
      <c r="P1376" s="3"/>
      <c r="Q1376" s="3"/>
      <c r="R1376" s="3"/>
      <c r="S1376" s="3"/>
      <c r="T1376" s="3"/>
      <c r="U1376" s="3"/>
      <c r="V1376" s="3"/>
      <c r="W1376" s="3"/>
      <c r="X1376" s="3"/>
      <c r="Y1376" s="3"/>
      <c r="Z1376" s="3"/>
      <c r="AA1376" s="3"/>
    </row>
    <row r="1377" spans="6:27" ht="15" customHeight="1">
      <c r="F1377" s="3"/>
    </row>
    <row r="1378" spans="6:27" ht="15" customHeight="1">
      <c r="F1378" s="3"/>
    </row>
    <row r="1379" spans="6:27" ht="15" customHeight="1">
      <c r="F1379" s="3"/>
    </row>
    <row r="1380" spans="6:27" ht="15" customHeight="1">
      <c r="F1380" s="3"/>
    </row>
    <row r="1381" spans="6:27" ht="15" customHeight="1">
      <c r="F1381" s="3"/>
    </row>
    <row r="1382" spans="6:27" ht="15" customHeight="1">
      <c r="F1382" s="3"/>
      <c r="G1382" s="3"/>
      <c r="H1382" s="3"/>
      <c r="J1382" s="3"/>
      <c r="K1382" s="3"/>
      <c r="L1382" s="3"/>
      <c r="M1382" s="3"/>
      <c r="N1382" s="3"/>
      <c r="O1382" s="3"/>
      <c r="P1382" s="3"/>
      <c r="Q1382" s="3"/>
      <c r="R1382" s="3"/>
      <c r="S1382" s="3"/>
      <c r="T1382" s="3"/>
      <c r="U1382" s="3"/>
      <c r="V1382" s="3"/>
      <c r="W1382" s="3"/>
      <c r="X1382" s="3"/>
      <c r="Y1382" s="3"/>
      <c r="Z1382" s="3"/>
      <c r="AA1382" s="3"/>
    </row>
    <row r="1383" spans="6:27" ht="15" customHeight="1">
      <c r="F1383" s="3"/>
    </row>
    <row r="1384" spans="6:27" ht="15" customHeight="1">
      <c r="F1384" s="3"/>
    </row>
    <row r="1385" spans="6:27" ht="15" customHeight="1">
      <c r="F1385" s="3"/>
      <c r="G1385" s="3"/>
      <c r="H1385" s="3"/>
      <c r="J1385" s="3"/>
      <c r="K1385" s="3"/>
      <c r="L1385" s="3"/>
      <c r="M1385" s="3"/>
      <c r="N1385" s="3"/>
      <c r="O1385" s="3"/>
      <c r="P1385" s="3"/>
      <c r="Q1385" s="3"/>
      <c r="R1385" s="3"/>
      <c r="S1385" s="3"/>
      <c r="T1385" s="3"/>
      <c r="U1385" s="3"/>
      <c r="V1385" s="3"/>
      <c r="W1385" s="3"/>
      <c r="X1385" s="3"/>
      <c r="Y1385" s="3"/>
      <c r="Z1385" s="3"/>
      <c r="AA1385" s="3"/>
    </row>
    <row r="1386" spans="6:27" ht="15" customHeight="1">
      <c r="F1386" s="3"/>
    </row>
    <row r="1387" spans="6:27" ht="15" customHeight="1">
      <c r="F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c r="I1416" s="3"/>
    </row>
    <row r="1417" spans="6:9" ht="15" customHeight="1">
      <c r="F1417" s="3"/>
    </row>
    <row r="1418" spans="6:9" ht="15" customHeight="1">
      <c r="F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c r="I1427" s="3"/>
    </row>
    <row r="1428" spans="6:9" ht="15" customHeight="1">
      <c r="F1428" s="3"/>
    </row>
    <row r="1429" spans="6:9" ht="15" customHeight="1">
      <c r="F1429" s="3"/>
    </row>
    <row r="1430" spans="6:9" ht="15" customHeight="1">
      <c r="F1430" s="3"/>
    </row>
    <row r="1431" spans="6:9" ht="15" customHeight="1">
      <c r="F1431" s="3"/>
    </row>
    <row r="1432" spans="6:9" ht="15" customHeight="1">
      <c r="F1432" s="3"/>
    </row>
    <row r="1433" spans="6:9" ht="15" customHeight="1">
      <c r="F1433" s="3"/>
      <c r="I1433" s="3"/>
    </row>
    <row r="1434" spans="6:9" ht="15" customHeight="1">
      <c r="F1434" s="3"/>
    </row>
    <row r="1435" spans="6:9" ht="15" customHeight="1">
      <c r="F1435" s="3"/>
    </row>
    <row r="1436" spans="6:9" ht="15" customHeight="1">
      <c r="F1436" s="3"/>
      <c r="I1436" s="3"/>
    </row>
    <row r="1437" spans="6:9" ht="15" customHeight="1">
      <c r="F1437" s="3"/>
    </row>
    <row r="1438" spans="6:9" ht="15" customHeight="1">
      <c r="F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c r="G1446" s="3"/>
      <c r="H1446" s="3"/>
      <c r="J1446" s="3"/>
      <c r="K1446" s="3"/>
      <c r="L1446" s="3"/>
      <c r="M1446" s="3"/>
      <c r="N1446" s="3"/>
      <c r="O1446" s="3"/>
      <c r="P1446" s="3"/>
      <c r="Q1446" s="3"/>
      <c r="R1446" s="3"/>
      <c r="S1446" s="3"/>
      <c r="T1446" s="3"/>
      <c r="U1446" s="3"/>
      <c r="V1446" s="3"/>
      <c r="W1446" s="3"/>
      <c r="X1446" s="3"/>
      <c r="Y1446" s="3"/>
      <c r="Z1446" s="3"/>
      <c r="AA1446" s="3"/>
    </row>
    <row r="1447" spans="6:27" ht="15" customHeight="1">
      <c r="F1447" s="3"/>
    </row>
    <row r="1448" spans="6:27" ht="15" customHeight="1">
      <c r="F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c r="K1457" s="3"/>
      <c r="L1457" s="3"/>
      <c r="M1457" s="3"/>
    </row>
    <row r="1458" spans="6:13" ht="15" customHeight="1">
      <c r="F1458" s="3"/>
    </row>
    <row r="1459" spans="6:13" ht="15" customHeight="1">
      <c r="F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c r="G1482" s="3"/>
      <c r="H1482" s="3"/>
      <c r="J1482" s="3"/>
      <c r="K1482" s="3"/>
      <c r="L1482" s="3"/>
      <c r="M1482" s="3"/>
      <c r="N1482" s="3"/>
      <c r="O1482" s="3"/>
      <c r="P1482" s="3"/>
      <c r="Q1482" s="3"/>
      <c r="R1482" s="3"/>
      <c r="S1482" s="3"/>
      <c r="T1482" s="3"/>
      <c r="U1482" s="3"/>
      <c r="V1482" s="3"/>
      <c r="W1482" s="3"/>
      <c r="X1482" s="3"/>
      <c r="Y1482" s="3"/>
      <c r="Z1482" s="3"/>
      <c r="AA1482" s="3"/>
    </row>
    <row r="1483" spans="6:27" ht="15" customHeight="1">
      <c r="F1483" s="3"/>
    </row>
    <row r="1484" spans="6:27" ht="15" customHeight="1">
      <c r="F1484" s="3"/>
    </row>
    <row r="1485" spans="6:27" ht="15" customHeight="1">
      <c r="F1485" s="3"/>
      <c r="G1485" s="3"/>
      <c r="H1485" s="3"/>
      <c r="J1485" s="3"/>
      <c r="K1485" s="3"/>
      <c r="L1485" s="3"/>
      <c r="M1485" s="3"/>
      <c r="N1485" s="3"/>
      <c r="O1485" s="3"/>
      <c r="P1485" s="3"/>
      <c r="Q1485" s="3"/>
      <c r="R1485" s="3"/>
      <c r="S1485" s="3"/>
      <c r="T1485" s="3"/>
      <c r="U1485" s="3"/>
      <c r="V1485" s="3"/>
      <c r="W1485" s="3"/>
      <c r="X1485" s="3"/>
      <c r="Y1485" s="3"/>
      <c r="Z1485" s="3"/>
      <c r="AA1485" s="3"/>
    </row>
    <row r="1486" spans="6:27" ht="15" customHeight="1">
      <c r="F1486" s="3"/>
      <c r="G1486" s="3"/>
      <c r="H1486" s="3"/>
      <c r="J1486" s="3"/>
      <c r="K1486" s="3"/>
      <c r="L1486" s="3"/>
      <c r="M1486" s="3"/>
      <c r="N1486" s="3"/>
      <c r="O1486" s="3"/>
      <c r="P1486" s="3"/>
      <c r="Q1486" s="3"/>
      <c r="R1486" s="3"/>
      <c r="S1486" s="3"/>
      <c r="T1486" s="3"/>
      <c r="U1486" s="3"/>
      <c r="V1486" s="3"/>
      <c r="W1486" s="3"/>
      <c r="X1486" s="3"/>
      <c r="Y1486" s="3"/>
      <c r="Z1486" s="3"/>
      <c r="AA1486" s="3"/>
    </row>
    <row r="1487" spans="6:27" ht="15" customHeight="1">
      <c r="F1487" s="3"/>
    </row>
    <row r="1488" spans="6:27" ht="15" customHeight="1">
      <c r="F1488" s="3"/>
    </row>
    <row r="1489" spans="6:27" ht="15" customHeight="1">
      <c r="F1489" s="3"/>
      <c r="I1489" s="3"/>
    </row>
    <row r="1490" spans="6:27" ht="15" customHeight="1">
      <c r="F1490" s="3"/>
    </row>
    <row r="1491" spans="6:27" ht="15" customHeight="1">
      <c r="F1491" s="3"/>
    </row>
    <row r="1492" spans="6:27" ht="15" customHeight="1">
      <c r="F1492" s="3"/>
      <c r="G1492" s="3"/>
      <c r="H1492" s="3"/>
      <c r="J1492" s="3"/>
      <c r="K1492" s="3"/>
      <c r="L1492" s="3"/>
      <c r="M1492" s="3"/>
      <c r="N1492" s="3"/>
      <c r="O1492" s="3"/>
      <c r="P1492" s="3"/>
      <c r="Q1492" s="3"/>
      <c r="R1492" s="3"/>
      <c r="S1492" s="3"/>
      <c r="T1492" s="3"/>
      <c r="U1492" s="3"/>
      <c r="V1492" s="3"/>
      <c r="W1492" s="3"/>
      <c r="X1492" s="3"/>
      <c r="Y1492" s="3"/>
      <c r="Z1492" s="3"/>
      <c r="AA1492" s="3"/>
    </row>
    <row r="1493" spans="6:27" ht="15" customHeight="1">
      <c r="F1493" s="3"/>
    </row>
    <row r="1494" spans="6:27" ht="15" customHeight="1">
      <c r="F1494" s="3"/>
    </row>
    <row r="1495" spans="6:27" ht="15" customHeight="1">
      <c r="F1495" s="3"/>
    </row>
    <row r="1496" spans="6:27" ht="15" customHeight="1">
      <c r="F1496" s="3"/>
    </row>
    <row r="1497" spans="6:27" ht="15" customHeight="1">
      <c r="F1497" s="3"/>
      <c r="I1497" s="3"/>
    </row>
    <row r="1498" spans="6:27" ht="15" customHeight="1">
      <c r="F1498" s="3"/>
    </row>
    <row r="1499" spans="6:27" ht="15" customHeight="1">
      <c r="F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9" ht="15" customHeight="1">
      <c r="F1521" s="3"/>
    </row>
    <row r="1522" spans="6:9" ht="15" customHeight="1">
      <c r="F1522" s="3"/>
    </row>
    <row r="1523" spans="6:9" ht="15" customHeight="1">
      <c r="F1523" s="3"/>
    </row>
    <row r="1524" spans="6:9" ht="15" customHeight="1">
      <c r="F1524" s="3"/>
    </row>
    <row r="1525" spans="6:9" ht="15" customHeight="1">
      <c r="F1525" s="3"/>
    </row>
    <row r="1526" spans="6:9" ht="15" customHeight="1">
      <c r="F1526" s="3"/>
    </row>
    <row r="1527" spans="6:9" ht="15" customHeight="1">
      <c r="F1527" s="3"/>
    </row>
    <row r="1528" spans="6:9" ht="15" customHeight="1">
      <c r="F1528" s="3"/>
    </row>
    <row r="1529" spans="6:9" ht="15" customHeight="1">
      <c r="F1529" s="3"/>
    </row>
    <row r="1530" spans="6:9" ht="15" customHeight="1">
      <c r="F1530" s="3"/>
    </row>
    <row r="1531" spans="6:9" ht="15" customHeight="1">
      <c r="F1531" s="3"/>
    </row>
    <row r="1532" spans="6:9" ht="15" customHeight="1">
      <c r="F1532" s="3"/>
    </row>
    <row r="1533" spans="6:9" ht="15" customHeight="1">
      <c r="F1533" s="3"/>
    </row>
    <row r="1534" spans="6:9" ht="15" customHeight="1">
      <c r="F1534" s="3"/>
    </row>
    <row r="1535" spans="6:9" ht="15" customHeight="1">
      <c r="F1535" s="3"/>
    </row>
    <row r="1536" spans="6:9" ht="15" customHeight="1">
      <c r="F1536" s="3"/>
      <c r="I1536" s="3"/>
    </row>
    <row r="1537" spans="6:27" ht="15" customHeight="1">
      <c r="F1537" s="3"/>
      <c r="I1537" s="3"/>
    </row>
    <row r="1538" spans="6:27" ht="15" customHeight="1">
      <c r="F1538" s="3"/>
    </row>
    <row r="1539" spans="6:27" ht="15" customHeight="1">
      <c r="F1539" s="3"/>
    </row>
    <row r="1540" spans="6:27" ht="15" customHeight="1">
      <c r="F1540" s="3"/>
    </row>
    <row r="1541" spans="6:27" ht="15" customHeight="1">
      <c r="F1541" s="3"/>
    </row>
    <row r="1542" spans="6:27" ht="15.75" customHeight="1">
      <c r="F1542" s="3"/>
    </row>
    <row r="1543" spans="6:27" ht="15.75" customHeight="1">
      <c r="F1543" s="3"/>
      <c r="I1543" s="3"/>
    </row>
    <row r="1544" spans="6:27" ht="15.75" customHeight="1">
      <c r="F1544" s="3"/>
    </row>
    <row r="1545" spans="6:27" ht="15.75" customHeight="1">
      <c r="F1545" s="3"/>
    </row>
    <row r="1546" spans="6:27" ht="15.75" customHeight="1">
      <c r="F1546" s="3"/>
    </row>
    <row r="1547" spans="6:27" ht="15.75" customHeight="1">
      <c r="F1547" s="3"/>
    </row>
    <row r="1548" spans="6:27" ht="15.75" customHeight="1">
      <c r="F1548" s="3"/>
    </row>
    <row r="1549" spans="6:27" ht="15.75" customHeight="1">
      <c r="F1549" s="3"/>
      <c r="G1549" s="3"/>
      <c r="H1549" s="3"/>
      <c r="J1549" s="3"/>
      <c r="K1549" s="3"/>
      <c r="L1549" s="3"/>
      <c r="M1549" s="3"/>
      <c r="N1549" s="3"/>
      <c r="O1549" s="3"/>
      <c r="P1549" s="3"/>
      <c r="Q1549" s="3"/>
      <c r="R1549" s="3"/>
      <c r="S1549" s="3"/>
      <c r="T1549" s="3"/>
      <c r="U1549" s="3"/>
      <c r="V1549" s="3"/>
      <c r="W1549" s="3"/>
      <c r="X1549" s="3"/>
      <c r="Y1549" s="3"/>
      <c r="Z1549" s="3"/>
      <c r="AA1549" s="3"/>
    </row>
    <row r="1550" spans="6:27" ht="15.75" customHeight="1">
      <c r="F1550" s="3"/>
    </row>
    <row r="1551" spans="6:27" ht="15.75" customHeight="1">
      <c r="F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c r="I1556" s="3"/>
    </row>
    <row r="1557" spans="6:9" ht="15.75" customHeight="1">
      <c r="F1557" s="3"/>
    </row>
    <row r="1558" spans="6:9" ht="15.75" customHeight="1">
      <c r="F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 customHeight="1">
      <c r="F1570" s="4"/>
    </row>
    <row r="1571" spans="6:6" ht="15" customHeight="1">
      <c r="F1571" s="4"/>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sheetData>
  <autoFilter ref="A1:E1387" xr:uid="{00000000-0009-0000-0000-00000F000000}">
    <sortState xmlns:xlrd2="http://schemas.microsoft.com/office/spreadsheetml/2017/richdata2" ref="A2:E1387">
      <sortCondition ref="A1:A1387"/>
    </sortState>
  </autoFilter>
  <phoneticPr fontId="180"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outlinePr summaryBelow="0"/>
  </sheetPr>
  <dimension ref="A1:AZ899"/>
  <sheetViews>
    <sheetView zoomScale="80" zoomScaleNormal="80" workbookViewId="0">
      <selection activeCell="N12" sqref="N12"/>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264066.34999999998</v>
      </c>
      <c r="AM3" s="905">
        <f>AN3-AL3</f>
        <v>72231.160000000033</v>
      </c>
      <c r="AN3" s="905">
        <f>INDEX(G3:R3,1,MATCH(Parametres!$B$3,G$1:R$1,0))*IF(OR(F3="L",F3="S",F3="I"),-1,1)</f>
        <v>336297.51</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21030.81</v>
      </c>
      <c r="AM4" s="905">
        <f t="shared" ref="AM4:AM67" si="1">AN4-AL4</f>
        <v>2787.239999999998</v>
      </c>
      <c r="AN4" s="905">
        <f>INDEX(G4:R4,1,MATCH(Parametres!$B$3,G$1:R$1,0))*IF(OR(F4="L",F4="S",F4="I"),-1,1)</f>
        <v>23818.05</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-2789</v>
      </c>
      <c r="AM6" s="905">
        <f t="shared" si="1"/>
        <v>-5329.71</v>
      </c>
      <c r="AN6" s="905">
        <f>INDEX(G6:R6,1,MATCH(Parametres!$B$3,G$1:R$1,0))*IF(OR(F6="L",F6="S",F6="I"),-1,1)</f>
        <v>-8118.71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2994.98</v>
      </c>
      <c r="AM7" s="905">
        <f t="shared" si="1"/>
        <v>2233.0099999999998</v>
      </c>
      <c r="AN7" s="905">
        <f>INDEX(G7:R7,1,MATCH(Parametres!$B$3,G$1:R$1,0))*IF(OR(F7="L",F7="S",F7="I"),-1,1)</f>
        <v>5227.99</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5464.25</v>
      </c>
      <c r="AM8" s="905">
        <f t="shared" si="1"/>
        <v>0</v>
      </c>
      <c r="AN8" s="905">
        <f>INDEX(G8:R8,1,MATCH(Parametres!$B$3,G$1:R$1,0))*IF(OR(F8="L",F8="S",F8="I"),-1,1)</f>
        <v>5464.25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1965.31</v>
      </c>
      <c r="AM9" s="905">
        <f t="shared" si="1"/>
        <v>89.970000000000255</v>
      </c>
      <c r="AN9" s="905">
        <f>INDEX(G9:R9,1,MATCH(Parametres!$B$3,G$1:R$1,0))*IF(OR(F9="L",F9="S",F9="I"),-1,1)</f>
        <v>2055.2800000000002</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530.62</v>
      </c>
      <c r="AM10" s="905">
        <f t="shared" si="1"/>
        <v>0</v>
      </c>
      <c r="AN10" s="905">
        <f>INDEX(G10:R10,1,MATCH(Parametres!$B$3,G$1:R$1,0))*IF(OR(F10="L",F10="S",F10="I"),-1,1)</f>
        <v>530.62</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20625.41</v>
      </c>
      <c r="AM13" s="905">
        <f t="shared" si="1"/>
        <v>62543.199999999997</v>
      </c>
      <c r="AN13" s="905">
        <f>INDEX(G13:R13,1,MATCH(Parametres!$B$3,G$1:R$1,0))*IF(OR(F13="L",F13="S",F13="I"),-1,1)</f>
        <v>83168.61</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1199</v>
      </c>
      <c r="D14" s="706" t="s">
        <v>1200</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13750.3</v>
      </c>
      <c r="AM14" s="905">
        <f t="shared" si="1"/>
        <v>41695.47</v>
      </c>
      <c r="AN14" s="905">
        <f>INDEX(G14:R14,1,MATCH(Parametres!$B$3,G$1:R$1,0))*IF(OR(F14="L",F14="S",F14="I"),-1,1)</f>
        <v>55445.77</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1201</v>
      </c>
      <c r="D15" s="706" t="s">
        <v>1202</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20625.41</v>
      </c>
      <c r="AM15" s="905">
        <f t="shared" si="1"/>
        <v>62543.199999999997</v>
      </c>
      <c r="AN15" s="905">
        <f>INDEX(G15:R15,1,MATCH(Parametres!$B$3,G$1:R$1,0))*IF(OR(F15="L",F15="S",F15="I"),-1,1)</f>
        <v>83168.61</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1203</v>
      </c>
      <c r="D16" s="706" t="s">
        <v>1204</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6875.14</v>
      </c>
      <c r="AM16" s="905">
        <f t="shared" si="1"/>
        <v>20847.73</v>
      </c>
      <c r="AN16" s="905">
        <f>INDEX(G16:R16,1,MATCH(Parametres!$B$3,G$1:R$1,0))*IF(OR(F16="L",F16="S",F16="I"),-1,1)</f>
        <v>27722.87</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1205</v>
      </c>
      <c r="D17" s="706" t="s">
        <v>1206</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6875.12</v>
      </c>
      <c r="AM17" s="905">
        <f t="shared" si="1"/>
        <v>20847.75</v>
      </c>
      <c r="AN17" s="905">
        <f>INDEX(G17:R17,1,MATCH(Parametres!$B$3,G$1:R$1,0))*IF(OR(F17="L",F17="S",F17="I"),-1,1)</f>
        <v>27722.87</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1207</v>
      </c>
      <c r="D18" s="706" t="s">
        <v>1208</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1209</v>
      </c>
      <c r="D19" s="706" t="s">
        <v>1210</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85134.1</v>
      </c>
      <c r="AM19" s="905">
        <f t="shared" si="1"/>
        <v>15314.929999999993</v>
      </c>
      <c r="AN19" s="905">
        <f>INDEX(G19:R19,1,MATCH(Parametres!$B$3,G$1:R$1,0))*IF(OR(F19="L",F19="S",F19="I"),-1,1)</f>
        <v>100449.03</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1211</v>
      </c>
      <c r="D20" s="706" t="s">
        <v>1212</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56983.34</v>
      </c>
      <c r="AM20" s="905">
        <f t="shared" si="1"/>
        <v>9483.9499999999971</v>
      </c>
      <c r="AN20" s="905">
        <f>INDEX(G20:R20,1,MATCH(Parametres!$B$3,G$1:R$1,0))*IF(OR(F20="L",F20="S",F20="I"),-1,1)</f>
        <v>66467.289999999994</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1213</v>
      </c>
      <c r="D21" s="706" t="s">
        <v>1214</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383851.35</v>
      </c>
      <c r="AM21" s="905">
        <f t="shared" si="1"/>
        <v>-57273.609999999986</v>
      </c>
      <c r="AN21" s="905">
        <f>INDEX(G21:R21,1,MATCH(Parametres!$B$3,G$1:R$1,0))*IF(OR(F21="L",F21="S",F21="I"),-1,1)</f>
        <v>326577.74</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1215</v>
      </c>
      <c r="D22" s="706" t="s">
        <v>1216</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44663.13</v>
      </c>
      <c r="AM22" s="905">
        <f t="shared" si="1"/>
        <v>7473.9599999999991</v>
      </c>
      <c r="AN22" s="905">
        <f>INDEX(G22:R22,1,MATCH(Parametres!$B$3,G$1:R$1,0))*IF(OR(F22="L",F22="S",F22="I"),-1,1)</f>
        <v>52137.09</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1217</v>
      </c>
      <c r="D23" s="706" t="s">
        <v>1218</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44257.919999999998</v>
      </c>
      <c r="AM23" s="905">
        <f t="shared" si="1"/>
        <v>8225.8400000000038</v>
      </c>
      <c r="AN23" s="905">
        <f>INDEX(G23:R23,1,MATCH(Parametres!$B$3,G$1:R$1,0))*IF(OR(F23="L",F23="S",F23="I"),-1,1)</f>
        <v>52483.76</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1219</v>
      </c>
      <c r="D24" s="706" t="s">
        <v>1220</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19702.47</v>
      </c>
      <c r="AM24" s="905">
        <f t="shared" si="1"/>
        <v>1720.0499999999993</v>
      </c>
      <c r="AN24" s="905">
        <f>INDEX(G24:R24,1,MATCH(Parametres!$B$3,G$1:R$1,0))*IF(OR(F24="L",F24="S",F24="I"),-1,1)</f>
        <v>21422.52</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1223</v>
      </c>
      <c r="D25" s="706" t="s">
        <v>1224</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1225</v>
      </c>
      <c r="D26" s="706" t="s">
        <v>1226</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115577.05</v>
      </c>
      <c r="AM26" s="905">
        <f t="shared" si="1"/>
        <v>28653.08</v>
      </c>
      <c r="AN26" s="905">
        <f>INDEX(G26:R26,1,MATCH(Parametres!$B$3,G$1:R$1,0))*IF(OR(F26="L",F26="S",F26="I"),-1,1)</f>
        <v>144230.13</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1227</v>
      </c>
      <c r="D27" s="706" t="s">
        <v>1228</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22342.78</v>
      </c>
      <c r="AM27" s="905">
        <f t="shared" si="1"/>
        <v>5051.5</v>
      </c>
      <c r="AN27" s="905">
        <f>INDEX(G27:R27,1,MATCH(Parametres!$B$3,G$1:R$1,0))*IF(OR(F27="L",F27="S",F27="I"),-1,1)</f>
        <v>27394.28</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1229</v>
      </c>
      <c r="D28" s="706" t="s">
        <v>1230</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52764.7</v>
      </c>
      <c r="AM28" s="905">
        <f t="shared" si="1"/>
        <v>12686.980000000003</v>
      </c>
      <c r="AN28" s="905">
        <f>INDEX(G28:R28,1,MATCH(Parametres!$B$3,G$1:R$1,0))*IF(OR(F28="L",F28="S",F28="I"),-1,1)</f>
        <v>65451.68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1231</v>
      </c>
      <c r="D29" s="706" t="s">
        <v>1232</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128720.87</v>
      </c>
      <c r="AM29" s="905">
        <f t="shared" si="1"/>
        <v>24696.190000000002</v>
      </c>
      <c r="AN29" s="905">
        <f>INDEX(G29:R29,1,MATCH(Parametres!$B$3,G$1:R$1,0))*IF(OR(F29="L",F29="S",F29="I"),-1,1)</f>
        <v>153417.06</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1233</v>
      </c>
      <c r="D30" s="706" t="s">
        <v>1234</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40246.51</v>
      </c>
      <c r="AM30" s="905">
        <f t="shared" si="1"/>
        <v>6344.6100000000006</v>
      </c>
      <c r="AN30" s="905">
        <f>INDEX(G30:R30,1,MATCH(Parametres!$B$3,G$1:R$1,0))*IF(OR(F30="L",F30="S",F30="I"),-1,1)</f>
        <v>46591.12</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1235</v>
      </c>
      <c r="D31" s="706" t="s">
        <v>1236</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11104.59</v>
      </c>
      <c r="AM31" s="905">
        <f t="shared" si="1"/>
        <v>2768.5</v>
      </c>
      <c r="AN31" s="905">
        <f>INDEX(G31:R31,1,MATCH(Parametres!$B$3,G$1:R$1,0))*IF(OR(F31="L",F31="S",F31="I"),-1,1)</f>
        <v>13873.09</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1239</v>
      </c>
      <c r="D32" s="706" t="s">
        <v>1240</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1241</v>
      </c>
      <c r="D33" s="706" t="s">
        <v>1242</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16765.099999999999</v>
      </c>
      <c r="AM33" s="905">
        <f t="shared" si="1"/>
        <v>512</v>
      </c>
      <c r="AN33" s="905">
        <f>INDEX(G33:R33,1,MATCH(Parametres!$B$3,G$1:R$1,0))*IF(OR(F33="L",F33="S",F33="I"),-1,1)</f>
        <v>17277.099999999999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1243</v>
      </c>
      <c r="D34" s="706" t="s">
        <v>1244</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8520.24</v>
      </c>
      <c r="AM34" s="905">
        <f t="shared" si="1"/>
        <v>4544.8600000000006</v>
      </c>
      <c r="AN34" s="905">
        <f>INDEX(G34:R34,1,MATCH(Parametres!$B$3,G$1:R$1,0))*IF(OR(F34="L",F34="S",F34="I"),-1,1)</f>
        <v>13065.1</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1245</v>
      </c>
      <c r="D35" s="706" t="s">
        <v>1246</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200991.24</v>
      </c>
      <c r="AM35" s="905">
        <f t="shared" si="1"/>
        <v>33648.75</v>
      </c>
      <c r="AN35" s="905">
        <f>INDEX(G35:R35,1,MATCH(Parametres!$B$3,G$1:R$1,0))*IF(OR(F35="L",F35="S",F35="I"),-1,1)</f>
        <v>234639.99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1247</v>
      </c>
      <c r="D36" s="706" t="s">
        <v>1248</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137895.88</v>
      </c>
      <c r="AM36" s="905">
        <f t="shared" si="1"/>
        <v>30028.260000000009</v>
      </c>
      <c r="AN36" s="905">
        <f>INDEX(G36:R36,1,MATCH(Parametres!$B$3,G$1:R$1,0))*IF(OR(F36="L",F36="S",F36="I"),-1,1)</f>
        <v>167924.14</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1249</v>
      </c>
      <c r="D37" s="706" t="s">
        <v>1250</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1251</v>
      </c>
      <c r="D38" s="706" t="s">
        <v>1252</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76968.100000000006</v>
      </c>
      <c r="AM38" s="905">
        <f t="shared" si="1"/>
        <v>18762.459999999992</v>
      </c>
      <c r="AN38" s="905">
        <f>INDEX(G38:R38,1,MATCH(Parametres!$B$3,G$1:R$1,0))*IF(OR(F38="L",F38="S",F38="I"),-1,1)</f>
        <v>95730.559999999998</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1255</v>
      </c>
      <c r="D39" s="706" t="s">
        <v>1256</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1259</v>
      </c>
      <c r="D40" s="706" t="s">
        <v>1260</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56455.73</v>
      </c>
      <c r="AM40" s="905">
        <f t="shared" si="1"/>
        <v>16033.969999999994</v>
      </c>
      <c r="AN40" s="905">
        <f>INDEX(G40:R40,1,MATCH(Parametres!$B$3,G$1:R$1,0))*IF(OR(F40="L",F40="S",F40="I"),-1,1)</f>
        <v>72489.7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1261</v>
      </c>
      <c r="D41" s="706" t="s">
        <v>1262</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5255.5</v>
      </c>
      <c r="AM41" s="905">
        <f t="shared" si="1"/>
        <v>1468.33</v>
      </c>
      <c r="AN41" s="905">
        <f>INDEX(G41:R41,1,MATCH(Parametres!$B$3,G$1:R$1,0))*IF(OR(F41="L",F41="S",F41="I"),-1,1)</f>
        <v>6723.83</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1263</v>
      </c>
      <c r="D42" s="706" t="s">
        <v>1264</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12901.13</v>
      </c>
      <c r="AM42" s="905">
        <f t="shared" si="1"/>
        <v>2494.6800000000003</v>
      </c>
      <c r="AN42" s="905">
        <f>INDEX(G42:R42,1,MATCH(Parametres!$B$3,G$1:R$1,0))*IF(OR(F42="L",F42="S",F42="I"),-1,1)</f>
        <v>15395.81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1265</v>
      </c>
      <c r="D43" s="706" t="s">
        <v>1266</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80958.81</v>
      </c>
      <c r="AM43" s="905">
        <f t="shared" si="1"/>
        <v>16414.25</v>
      </c>
      <c r="AN43" s="905">
        <f>INDEX(G43:R43,1,MATCH(Parametres!$B$3,G$1:R$1,0))*IF(OR(F43="L",F43="S",F43="I"),-1,1)</f>
        <v>97373.06</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1267</v>
      </c>
      <c r="D44" s="706" t="s">
        <v>1268</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18633.95</v>
      </c>
      <c r="AM44" s="905">
        <f t="shared" si="1"/>
        <v>3186.6800000000003</v>
      </c>
      <c r="AN44" s="905">
        <f>INDEX(G44:R44,1,MATCH(Parametres!$B$3,G$1:R$1,0))*IF(OR(F44="L",F44="S",F44="I"),-1,1)</f>
        <v>21820.63</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1269</v>
      </c>
      <c r="D45" s="706" t="s">
        <v>1270</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11391.25</v>
      </c>
      <c r="AM45" s="905">
        <f t="shared" si="1"/>
        <v>2514.9500000000007</v>
      </c>
      <c r="AN45" s="905">
        <f>INDEX(G45:R45,1,MATCH(Parametres!$B$3,G$1:R$1,0))*IF(OR(F45="L",F45="S",F45="I"),-1,1)</f>
        <v>13906.2</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1273</v>
      </c>
      <c r="D46" s="706" t="s">
        <v>1274</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1275</v>
      </c>
      <c r="D47" s="706" t="s">
        <v>1276</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97212.27</v>
      </c>
      <c r="AM47" s="905">
        <f t="shared" si="1"/>
        <v>20776.449999999997</v>
      </c>
      <c r="AN47" s="905">
        <f>INDEX(G47:R47,1,MATCH(Parametres!$B$3,G$1:R$1,0))*IF(OR(F47="L",F47="S",F47="I"),-1,1)</f>
        <v>117988.72</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1277</v>
      </c>
      <c r="D48" s="706" t="s">
        <v>1278</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11478.64</v>
      </c>
      <c r="AM48" s="905">
        <f t="shared" si="1"/>
        <v>1863.3700000000008</v>
      </c>
      <c r="AN48" s="905">
        <f>INDEX(G48:R48,1,MATCH(Parametres!$B$3,G$1:R$1,0))*IF(OR(F48="L",F48="S",F48="I"),-1,1)</f>
        <v>13342.01</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1279</v>
      </c>
      <c r="D49" s="706" t="s">
        <v>1280</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21426.61</v>
      </c>
      <c r="AM49" s="905">
        <f t="shared" si="1"/>
        <v>2841.66</v>
      </c>
      <c r="AN49" s="905">
        <f>INDEX(G49:R49,1,MATCH(Parametres!$B$3,G$1:R$1,0))*IF(OR(F49="L",F49="S",F49="I"),-1,1)</f>
        <v>24268.27</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1281</v>
      </c>
      <c r="D50" s="706" t="s">
        <v>1282</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96576.76</v>
      </c>
      <c r="AM50" s="905">
        <f t="shared" si="1"/>
        <v>18599.5</v>
      </c>
      <c r="AN50" s="905">
        <f>INDEX(G50:R50,1,MATCH(Parametres!$B$3,G$1:R$1,0))*IF(OR(F50="L",F50="S",F50="I"),-1,1)</f>
        <v>115176.26</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1283</v>
      </c>
      <c r="D51" s="706" t="s">
        <v>1284</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21640.47</v>
      </c>
      <c r="AM51" s="905">
        <f t="shared" si="1"/>
        <v>3851.1299999999974</v>
      </c>
      <c r="AN51" s="905">
        <f>INDEX(G51:R51,1,MATCH(Parametres!$B$3,G$1:R$1,0))*IF(OR(F51="L",F51="S",F51="I"),-1,1)</f>
        <v>25491.599999999999</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1285</v>
      </c>
      <c r="D52" s="706" t="s">
        <v>1286</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16074.72</v>
      </c>
      <c r="AM52" s="905">
        <f t="shared" si="1"/>
        <v>2960.4300000000021</v>
      </c>
      <c r="AN52" s="905">
        <f>INDEX(G52:R52,1,MATCH(Parametres!$B$3,G$1:R$1,0))*IF(OR(F52="L",F52="S",F52="I"),-1,1)</f>
        <v>19035.150000000001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1289</v>
      </c>
      <c r="D53" s="706" t="s">
        <v>1290</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1291</v>
      </c>
      <c r="D54" s="706" t="s">
        <v>1292</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27887.57</v>
      </c>
      <c r="AM54" s="905">
        <f t="shared" si="1"/>
        <v>5144.7200000000012</v>
      </c>
      <c r="AN54" s="905">
        <f>INDEX(G54:R54,1,MATCH(Parametres!$B$3,G$1:R$1,0))*IF(OR(F54="L",F54="S",F54="I"),-1,1)</f>
        <v>33032.29</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1294</v>
      </c>
      <c r="D55" s="706" t="s">
        <v>1295</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13230.66</v>
      </c>
      <c r="AM55" s="905">
        <f t="shared" si="1"/>
        <v>2074.58</v>
      </c>
      <c r="AN55" s="905">
        <f>INDEX(G55:R55,1,MATCH(Parametres!$B$3,G$1:R$1,0))*IF(OR(F55="L",F55="S",F55="I"),-1,1)</f>
        <v>15305.24</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1296</v>
      </c>
      <c r="D56" s="706" t="s">
        <v>1297</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8193.39</v>
      </c>
      <c r="AM56" s="905">
        <f t="shared" si="1"/>
        <v>6711.51</v>
      </c>
      <c r="AN56" s="905">
        <f>INDEX(G56:R56,1,MATCH(Parametres!$B$3,G$1:R$1,0))*IF(OR(F56="L",F56="S",F56="I"),-1,1)</f>
        <v>14904.9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1298</v>
      </c>
      <c r="D57" s="706" t="s">
        <v>1299</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54377.19</v>
      </c>
      <c r="AM57" s="905">
        <f t="shared" si="1"/>
        <v>10569.369999999995</v>
      </c>
      <c r="AN57" s="905">
        <f>INDEX(G57:R57,1,MATCH(Parametres!$B$3,G$1:R$1,0))*IF(OR(F57="L",F57="S",F57="I"),-1,1)</f>
        <v>64946.559999999998</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1300</v>
      </c>
      <c r="D58" s="706" t="s">
        <v>1301</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13434.02</v>
      </c>
      <c r="AM58" s="905">
        <f t="shared" si="1"/>
        <v>2636.1499999999996</v>
      </c>
      <c r="AN58" s="905">
        <f>INDEX(G58:R58,1,MATCH(Parametres!$B$3,G$1:R$1,0))*IF(OR(F58="L",F58="S",F58="I"),-1,1)</f>
        <v>16070.17</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1302</v>
      </c>
      <c r="D59" s="706" t="s">
        <v>1303</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8101.27</v>
      </c>
      <c r="AM59" s="905">
        <f t="shared" si="1"/>
        <v>1395.4099999999999</v>
      </c>
      <c r="AN59" s="905">
        <f>INDEX(G59:R59,1,MATCH(Parametres!$B$3,G$1:R$1,0))*IF(OR(F59="L",F59="S",F59="I"),-1,1)</f>
        <v>9496.68</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1306</v>
      </c>
      <c r="D60" s="706" t="s">
        <v>1307</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1308</v>
      </c>
      <c r="D61" s="706" t="s">
        <v>1309</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1310</v>
      </c>
      <c r="D62" s="706" t="s">
        <v>1311</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729.32</v>
      </c>
      <c r="AM62" s="905">
        <f t="shared" si="1"/>
        <v>22.409999999999968</v>
      </c>
      <c r="AN62" s="905">
        <f>INDEX(G62:R62,1,MATCH(Parametres!$B$3,G$1:R$1,0))*IF(OR(F62="L",F62="S",F62="I"),-1,1)</f>
        <v>751.73</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1312</v>
      </c>
      <c r="D63" s="706" t="s">
        <v>1313</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130.83000000000001</v>
      </c>
      <c r="AM63" s="905">
        <f t="shared" si="1"/>
        <v>20.799999999999983</v>
      </c>
      <c r="AN63" s="905">
        <f>INDEX(G63:R63,1,MATCH(Parametres!$B$3,G$1:R$1,0))*IF(OR(F63="L",F63="S",F63="I"),-1,1)</f>
        <v>151.63</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1314</v>
      </c>
      <c r="D64" s="706" t="s">
        <v>1315</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1316</v>
      </c>
      <c r="D65" s="706" t="s">
        <v>1317</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5490.76</v>
      </c>
      <c r="AM65" s="905">
        <f t="shared" si="1"/>
        <v>968.47999999999956</v>
      </c>
      <c r="AN65" s="905">
        <f>INDEX(G65:R65,1,MATCH(Parametres!$B$3,G$1:R$1,0))*IF(OR(F65="L",F65="S",F65="I"),-1,1)</f>
        <v>6459.24</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1318</v>
      </c>
      <c r="D66" s="706" t="s">
        <v>1319</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194.69</v>
      </c>
      <c r="AM66" s="905">
        <f t="shared" si="1"/>
        <v>37.159999999999997</v>
      </c>
      <c r="AN66" s="905">
        <f>INDEX(G66:R66,1,MATCH(Parametres!$B$3,G$1:R$1,0))*IF(OR(F66="L",F66="S",F66="I"),-1,1)</f>
        <v>231.85</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1320</v>
      </c>
      <c r="D67" s="706" t="s">
        <v>1321</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1162.6300000000001</v>
      </c>
      <c r="AM67" s="905">
        <f t="shared" si="1"/>
        <v>159.90999999999985</v>
      </c>
      <c r="AN67" s="905">
        <f>INDEX(G67:R67,1,MATCH(Parametres!$B$3,G$1:R$1,0))*IF(OR(F67="L",F67="S",F67="I"),-1,1)</f>
        <v>1322.54</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1322</v>
      </c>
      <c r="D68" s="706" t="s">
        <v>1323</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1324</v>
      </c>
      <c r="D69" s="706" t="s">
        <v>1325</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1326</v>
      </c>
      <c r="D70" s="706" t="s">
        <v>1327</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1328</v>
      </c>
      <c r="D71" s="706" t="s">
        <v>1329</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3679.48</v>
      </c>
      <c r="AM71" s="905">
        <f t="shared" si="5"/>
        <v>1264.19</v>
      </c>
      <c r="AN71" s="905">
        <f>INDEX(G71:R71,1,MATCH(Parametres!$B$3,G$1:R$1,0))*IF(OR(F71="L",F71="S",F71="I"),-1,1)</f>
        <v>4943.67</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1330</v>
      </c>
      <c r="D72" s="706" t="s">
        <v>1331</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4571.4799999999996</v>
      </c>
      <c r="AM72" s="905">
        <f t="shared" si="5"/>
        <v>1044.3700000000008</v>
      </c>
      <c r="AN72" s="905">
        <f>INDEX(G72:R72,1,MATCH(Parametres!$B$3,G$1:R$1,0))*IF(OR(F72="L",F72="S",F72="I"),-1,1)</f>
        <v>5615.85</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1332</v>
      </c>
      <c r="D73" s="706" t="s">
        <v>1333</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5023.55</v>
      </c>
      <c r="AM73" s="905">
        <f t="shared" si="5"/>
        <v>41.979999999999563</v>
      </c>
      <c r="AN73" s="905">
        <f>INDEX(G73:R73,1,MATCH(Parametres!$B$3,G$1:R$1,0))*IF(OR(F73="L",F73="S",F73="I"),-1,1)</f>
        <v>5065.53</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1334</v>
      </c>
      <c r="D74" s="706" t="s">
        <v>1335</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2456.9899999999998</v>
      </c>
      <c r="AM74" s="905">
        <f t="shared" si="5"/>
        <v>864.15000000000009</v>
      </c>
      <c r="AN74" s="905">
        <f>INDEX(G74:R74,1,MATCH(Parametres!$B$3,G$1:R$1,0))*IF(OR(F74="L",F74="S",F74="I"),-1,1)</f>
        <v>3321.14</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1336</v>
      </c>
      <c r="D75" s="706" t="s">
        <v>1337</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1213.07</v>
      </c>
      <c r="AM75" s="905">
        <f t="shared" si="5"/>
        <v>288.04999999999995</v>
      </c>
      <c r="AN75" s="905">
        <f>INDEX(G75:R75,1,MATCH(Parametres!$B$3,G$1:R$1,0))*IF(OR(F75="L",F75="S",F75="I"),-1,1)</f>
        <v>1501.12</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1338</v>
      </c>
      <c r="D76" s="706" t="s">
        <v>1339</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2979.84</v>
      </c>
      <c r="AM76" s="905">
        <f t="shared" si="5"/>
        <v>331.27</v>
      </c>
      <c r="AN76" s="905">
        <f>INDEX(G76:R76,1,MATCH(Parametres!$B$3,G$1:R$1,0))*IF(OR(F76="L",F76="S",F76="I"),-1,1)</f>
        <v>3311.11</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1340</v>
      </c>
      <c r="D77" s="706" t="s">
        <v>1341</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1342</v>
      </c>
      <c r="D78" s="706" t="s">
        <v>1343</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63424.18</v>
      </c>
      <c r="AM78" s="905">
        <f t="shared" si="5"/>
        <v>10868.730000000003</v>
      </c>
      <c r="AN78" s="905">
        <f>INDEX(G78:R78,1,MATCH(Parametres!$B$3,G$1:R$1,0))*IF(OR(F78="L",F78="S",F78="I"),-1,1)</f>
        <v>74292.91</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1344</v>
      </c>
      <c r="D79" s="706" t="s">
        <v>1345</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10133.879999999999</v>
      </c>
      <c r="AM79" s="905">
        <f t="shared" si="5"/>
        <v>1177.8500000000004</v>
      </c>
      <c r="AN79" s="905">
        <f>INDEX(G79:R79,1,MATCH(Parametres!$B$3,G$1:R$1,0))*IF(OR(F79="L",F79="S",F79="I"),-1,1)</f>
        <v>11311.73</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1346</v>
      </c>
      <c r="D80" s="706" t="s">
        <v>1347</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1348</v>
      </c>
      <c r="D81" s="706" t="s">
        <v>1349</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-42443.040000000001</v>
      </c>
      <c r="AM81" s="905">
        <f t="shared" si="5"/>
        <v>-13474.449999999997</v>
      </c>
      <c r="AN81" s="905">
        <f>INDEX(G81:R81,1,MATCH(Parametres!$B$3,G$1:R$1,0))*IF(OR(F81="L",F81="S",F81="I"),-1,1)</f>
        <v>-55917.49</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1350</v>
      </c>
      <c r="D82" s="706" t="s">
        <v>1351</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-1806.12</v>
      </c>
      <c r="AM82" s="905">
        <f t="shared" si="5"/>
        <v>-3170.9800000000005</v>
      </c>
      <c r="AN82" s="905">
        <f>INDEX(G82:R82,1,MATCH(Parametres!$B$3,G$1:R$1,0))*IF(OR(F82="L",F82="S",F82="I"),-1,1)</f>
        <v>-4977.1000000000004</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1352</v>
      </c>
      <c r="D83" s="706" t="s">
        <v>1353</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15716.11</v>
      </c>
      <c r="AM83" s="905">
        <f t="shared" si="5"/>
        <v>1326.7200000000012</v>
      </c>
      <c r="AN83" s="905">
        <f>INDEX(G83:R83,1,MATCH(Parametres!$B$3,G$1:R$1,0))*IF(OR(F83="L",F83="S",F83="I"),-1,1)</f>
        <v>17042.830000000002</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1354</v>
      </c>
      <c r="D84" s="706" t="s">
        <v>1355</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1356</v>
      </c>
      <c r="D85" s="706" t="s">
        <v>1357</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1358</v>
      </c>
      <c r="D86" s="706" t="s">
        <v>1359</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1360</v>
      </c>
      <c r="D87" s="706" t="s">
        <v>1361</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1362</v>
      </c>
      <c r="D88" s="706" t="s">
        <v>1363</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1364</v>
      </c>
      <c r="D89" s="706" t="s">
        <v>1365</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1366</v>
      </c>
      <c r="D90" s="706" t="s">
        <v>1367</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1368</v>
      </c>
      <c r="D91" s="706" t="s">
        <v>1369</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1370</v>
      </c>
      <c r="D92" s="706" t="s">
        <v>1371</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1372</v>
      </c>
      <c r="D93" s="706" t="s">
        <v>1373</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1922.84</v>
      </c>
      <c r="AM93" s="905">
        <f t="shared" si="5"/>
        <v>278.29000000000019</v>
      </c>
      <c r="AN93" s="905">
        <f>INDEX(G93:R93,1,MATCH(Parametres!$B$3,G$1:R$1,0))*IF(OR(F93="L",F93="S",F93="I"),-1,1)</f>
        <v>2201.13</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1374</v>
      </c>
      <c r="D94" s="706" t="s">
        <v>1375</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1277.58</v>
      </c>
      <c r="AM94" s="905">
        <f t="shared" si="5"/>
        <v>185.51999999999998</v>
      </c>
      <c r="AN94" s="905">
        <f>INDEX(G94:R94,1,MATCH(Parametres!$B$3,G$1:R$1,0))*IF(OR(F94="L",F94="S",F94="I"),-1,1)</f>
        <v>1463.1</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1376</v>
      </c>
      <c r="D95" s="706" t="s">
        <v>1377</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2134.59</v>
      </c>
      <c r="AM95" s="905">
        <f t="shared" si="5"/>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1378</v>
      </c>
      <c r="D96" s="706" t="s">
        <v>1379</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1850.66</v>
      </c>
      <c r="AM96" s="905">
        <f t="shared" si="5"/>
        <v>301.3900000000001</v>
      </c>
      <c r="AN96" s="905">
        <f>INDEX(G96:R96,1,MATCH(Parametres!$B$3,G$1:R$1,0))*IF(OR(F96="L",F96="S",F96="I"),-1,1)</f>
        <v>2152.0500000000002</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1380</v>
      </c>
      <c r="D97" s="706" t="s">
        <v>1381</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586.28</v>
      </c>
      <c r="AM97" s="905">
        <f t="shared" si="5"/>
        <v>92.759999999999991</v>
      </c>
      <c r="AN97" s="905">
        <f>INDEX(G97:R97,1,MATCH(Parametres!$B$3,G$1:R$1,0))*IF(OR(F97="L",F97="S",F97="I"),-1,1)</f>
        <v>679.04</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1382</v>
      </c>
      <c r="D98" s="706" t="s">
        <v>1383</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586.29</v>
      </c>
      <c r="AM98" s="905">
        <f t="shared" si="5"/>
        <v>92.759999999999991</v>
      </c>
      <c r="AN98" s="905">
        <f>INDEX(G98:R98,1,MATCH(Parametres!$B$3,G$1:R$1,0))*IF(OR(F98="L",F98="S",F98="I"),-1,1)</f>
        <v>679.05</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1384</v>
      </c>
      <c r="D99" s="706" t="s">
        <v>1385</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1386</v>
      </c>
      <c r="D100" s="706" t="s">
        <v>1387</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11011.09</v>
      </c>
      <c r="AM100" s="905">
        <f t="shared" si="5"/>
        <v>3089.1000000000004</v>
      </c>
      <c r="AN100" s="905">
        <f>INDEX(G100:R100,1,MATCH(Parametres!$B$3,G$1:R$1,0))*IF(OR(F100="L",F100="S",F100="I"),-1,1)</f>
        <v>14100.19</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1388</v>
      </c>
      <c r="D101" s="706" t="s">
        <v>1389</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3521.18</v>
      </c>
      <c r="AM101" s="905">
        <f t="shared" si="5"/>
        <v>976.88000000000056</v>
      </c>
      <c r="AN101" s="905">
        <f>INDEX(G101:R101,1,MATCH(Parametres!$B$3,G$1:R$1,0))*IF(OR(F101="L",F101="S",F101="I"),-1,1)</f>
        <v>4498.0600000000004</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1390</v>
      </c>
      <c r="D102" s="706" t="s">
        <v>1391</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1531.37</v>
      </c>
      <c r="AM102" s="905">
        <f t="shared" si="5"/>
        <v>0</v>
      </c>
      <c r="AN102" s="905">
        <f>INDEX(G102:R102,1,MATCH(Parametres!$B$3,G$1:R$1,0))*IF(OR(F102="L",F102="S",F102="I"),-1,1)</f>
        <v>1531.37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1392</v>
      </c>
      <c r="D103" s="706" t="s">
        <v>1393</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7192.96</v>
      </c>
      <c r="AM103" s="905">
        <f t="shared" si="5"/>
        <v>1465.3000000000002</v>
      </c>
      <c r="AN103" s="905">
        <f>INDEX(G103:R103,1,MATCH(Parametres!$B$3,G$1:R$1,0))*IF(OR(F103="L",F103="S",F103="I"),-1,1)</f>
        <v>8658.26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1394</v>
      </c>
      <c r="D104" s="706" t="s">
        <v>1395</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3215.23</v>
      </c>
      <c r="AM104" s="905">
        <f t="shared" si="5"/>
        <v>488.44999999999982</v>
      </c>
      <c r="AN104" s="905">
        <f>INDEX(G104:R104,1,MATCH(Parametres!$B$3,G$1:R$1,0))*IF(OR(F104="L",F104="S",F104="I"),-1,1)</f>
        <v>3703.68</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1396</v>
      </c>
      <c r="D105" s="706" t="s">
        <v>1397</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2171.89</v>
      </c>
      <c r="AM105" s="905">
        <f t="shared" si="5"/>
        <v>488.38000000000011</v>
      </c>
      <c r="AN105" s="905">
        <f>INDEX(G105:R105,1,MATCH(Parametres!$B$3,G$1:R$1,0))*IF(OR(F105="L",F105="S",F105="I"),-1,1)</f>
        <v>2660.27</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1398</v>
      </c>
      <c r="D106" s="706" t="s">
        <v>1399</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1400</v>
      </c>
      <c r="D107" s="706" t="s">
        <v>1401</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2517.0700000000002</v>
      </c>
      <c r="AM107" s="905">
        <f t="shared" si="5"/>
        <v>1499.5699999999997</v>
      </c>
      <c r="AN107" s="905">
        <f>INDEX(G107:R107,1,MATCH(Parametres!$B$3,G$1:R$1,0))*IF(OR(F107="L",F107="S",F107="I"),-1,1)</f>
        <v>4016.64</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1402</v>
      </c>
      <c r="D108" s="706" t="s">
        <v>1403</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717.11</v>
      </c>
      <c r="AM108" s="905">
        <f t="shared" si="5"/>
        <v>124.94999999999993</v>
      </c>
      <c r="AN108" s="905">
        <f>INDEX(G108:R108,1,MATCH(Parametres!$B$3,G$1:R$1,0))*IF(OR(F108="L",F108="S",F108="I"),-1,1)</f>
        <v>842.06</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1404</v>
      </c>
      <c r="D109" s="706" t="s">
        <v>1405</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1406</v>
      </c>
      <c r="D110" s="706" t="s">
        <v>1407</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28168.54</v>
      </c>
      <c r="AM110" s="905">
        <f t="shared" si="5"/>
        <v>-1664.0200000000004</v>
      </c>
      <c r="AN110" s="905">
        <f>INDEX(G110:R110,1,MATCH(Parametres!$B$3,G$1:R$1,0))*IF(OR(F110="L",F110="S",F110="I"),-1,1)</f>
        <v>26504.52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1408</v>
      </c>
      <c r="D111" s="706" t="s">
        <v>1409</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7362.58</v>
      </c>
      <c r="AM111" s="905">
        <f t="shared" si="5"/>
        <v>7933.33</v>
      </c>
      <c r="AN111" s="905">
        <f>INDEX(G111:R111,1,MATCH(Parametres!$B$3,G$1:R$1,0))*IF(OR(F111="L",F111="S",F111="I"),-1,1)</f>
        <v>15295.91</v>
      </c>
      <c r="AO111" s="487" t="str">
        <f>+VLOOKUP($AJ111,Data_Validation!$A:$D,1,0)</f>
        <v>G0615</v>
      </c>
      <c r="AP111" s="487" t="str">
        <f>+VLOOKUP($AJ111,Data_Validation!$A:$D,3,0)</f>
        <v>Carrosserie</v>
      </c>
      <c r="AQ111" s="487" t="str">
        <f>+VLOOKUP($AJ111,Data_Validation!$A:$D,4,0)</f>
        <v>Fournitures autres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1410</v>
      </c>
      <c r="D112" s="706" t="s">
        <v>1411</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748.69</v>
      </c>
      <c r="AM112" s="905">
        <f t="shared" si="5"/>
        <v>88.269999999999982</v>
      </c>
      <c r="AN112" s="905">
        <f>INDEX(G112:R112,1,MATCH(Parametres!$B$3,G$1:R$1,0))*IF(OR(F112="L",F112="S",F112="I"),-1,1)</f>
        <v>836.96</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1412</v>
      </c>
      <c r="D113" s="706" t="s">
        <v>1413</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1414</v>
      </c>
      <c r="D114" s="706" t="s">
        <v>1415</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1416</v>
      </c>
      <c r="D115" s="706" t="s">
        <v>1417</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4993.1899999999996</v>
      </c>
      <c r="AM115" s="905">
        <f t="shared" si="5"/>
        <v>1134.0200000000004</v>
      </c>
      <c r="AN115" s="905">
        <f>INDEX(G115:R115,1,MATCH(Parametres!$B$3,G$1:R$1,0))*IF(OR(F115="L",F115="S",F115="I"),-1,1)</f>
        <v>6127.21</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1418</v>
      </c>
      <c r="D116" s="706" t="s">
        <v>1417</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99</v>
      </c>
      <c r="AM116" s="905">
        <f t="shared" si="5"/>
        <v>19.799999999999997</v>
      </c>
      <c r="AN116" s="905">
        <f>INDEX(G116:R116,1,MATCH(Parametres!$B$3,G$1:R$1,0))*IF(OR(F116="L",F116="S",F116="I"),-1,1)</f>
        <v>118.8</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1419</v>
      </c>
      <c r="D117" s="706" t="s">
        <v>1420</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1421</v>
      </c>
      <c r="D118" s="706" t="s">
        <v>1417</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4651.46</v>
      </c>
      <c r="AM118" s="905">
        <f t="shared" si="5"/>
        <v>1074.6199999999999</v>
      </c>
      <c r="AN118" s="905">
        <f>INDEX(G118:R118,1,MATCH(Parametres!$B$3,G$1:R$1,0))*IF(OR(F118="L",F118="S",F118="I"),-1,1)</f>
        <v>5726.08</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1422</v>
      </c>
      <c r="D119" s="706" t="s">
        <v>1417</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24.75</v>
      </c>
      <c r="AM119" s="905">
        <f t="shared" si="5"/>
        <v>4.9499999999999993</v>
      </c>
      <c r="AN119" s="905">
        <f>INDEX(G119:R119,1,MATCH(Parametres!$B$3,G$1:R$1,0))*IF(OR(F119="L",F119="S",F119="I"),-1,1)</f>
        <v>29.7</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1423</v>
      </c>
      <c r="D120" s="706" t="s">
        <v>1417</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4651.4399999999996</v>
      </c>
      <c r="AM120" s="905">
        <f t="shared" si="5"/>
        <v>1074.6100000000006</v>
      </c>
      <c r="AN120" s="905">
        <f>INDEX(G120:R120,1,MATCH(Parametres!$B$3,G$1:R$1,0))*IF(OR(F120="L",F120="S",F120="I"),-1,1)</f>
        <v>5726.05</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1424</v>
      </c>
      <c r="D121" s="706" t="s">
        <v>1425</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-112035</v>
      </c>
      <c r="AM121" s="905">
        <f t="shared" si="5"/>
        <v>-131293</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1426</v>
      </c>
      <c r="D122" s="706" t="s">
        <v>1425</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1427</v>
      </c>
      <c r="D123" s="706" t="s">
        <v>1425</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1428</v>
      </c>
      <c r="D124" s="706" t="s">
        <v>1429</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1430</v>
      </c>
      <c r="D125" s="706" t="s">
        <v>1425</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1431</v>
      </c>
      <c r="D126" s="706" t="s">
        <v>1432</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1433</v>
      </c>
      <c r="D127" s="706" t="s">
        <v>1434</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1435</v>
      </c>
      <c r="D128" s="706" t="s">
        <v>3105</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1437</v>
      </c>
      <c r="D129" s="706" t="s">
        <v>1438</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43377.25</v>
      </c>
      <c r="AM129" s="905">
        <f t="shared" si="5"/>
        <v>12267.68</v>
      </c>
      <c r="AN129" s="905">
        <f>INDEX(G129:R129,1,MATCH(Parametres!$B$3,G$1:R$1,0))*IF(OR(F129="L",F129="S",F129="I"),-1,1)</f>
        <v>55644.93</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1439</v>
      </c>
      <c r="D130" s="706" t="s">
        <v>1440</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21009.66</v>
      </c>
      <c r="AM130" s="905">
        <f t="shared" si="5"/>
        <v>2343.1500000000015</v>
      </c>
      <c r="AN130" s="905">
        <f>INDEX(G130:R130,1,MATCH(Parametres!$B$3,G$1:R$1,0))*IF(OR(F130="L",F130="S",F130="I"),-1,1)</f>
        <v>23352.81</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1441</v>
      </c>
      <c r="D131" s="706" t="s">
        <v>1442</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1443</v>
      </c>
      <c r="D132" s="706" t="s">
        <v>1444</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7767.48</v>
      </c>
      <c r="AM132" s="905">
        <f t="shared" ref="AM132:AM195" si="9">AN132-AL132</f>
        <v>-448.22999999999956</v>
      </c>
      <c r="AN132" s="905">
        <f>INDEX(G132:R132,1,MATCH(Parametres!$B$3,G$1:R$1,0))*IF(OR(F132="L",F132="S",F132="I"),-1,1)</f>
        <v>7319.25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1445</v>
      </c>
      <c r="D133" s="706" t="s">
        <v>1446</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1854.89</v>
      </c>
      <c r="AM133" s="905">
        <f t="shared" si="9"/>
        <v>-209.34000000000015</v>
      </c>
      <c r="AN133" s="905">
        <f>INDEX(G133:R133,1,MATCH(Parametres!$B$3,G$1:R$1,0))*IF(OR(F133="L",F133="S",F133="I"),-1,1)</f>
        <v>1645.55</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1447</v>
      </c>
      <c r="D134" s="706" t="s">
        <v>1448</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1854.81</v>
      </c>
      <c r="AM134" s="905">
        <f t="shared" si="9"/>
        <v>-209.33999999999992</v>
      </c>
      <c r="AN134" s="905">
        <f>INDEX(G134:R134,1,MATCH(Parametres!$B$3,G$1:R$1,0))*IF(OR(F134="L",F134="S",F134="I"),-1,1)</f>
        <v>1645.47</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1449</v>
      </c>
      <c r="D135" s="706" t="s">
        <v>1450</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1451</v>
      </c>
      <c r="D136" s="706" t="s">
        <v>1452</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1453</v>
      </c>
      <c r="D137" s="706" t="s">
        <v>1454</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1455</v>
      </c>
      <c r="D138" s="706" t="s">
        <v>1456</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250</v>
      </c>
      <c r="AM138" s="905">
        <f t="shared" si="9"/>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1457</v>
      </c>
      <c r="D139" s="706" t="s">
        <v>1458</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1459</v>
      </c>
      <c r="D140" s="706" t="s">
        <v>1460</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1461</v>
      </c>
      <c r="D141" s="706" t="s">
        <v>1462</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12089.18</v>
      </c>
      <c r="AM141" s="905">
        <f t="shared" si="9"/>
        <v>465.72999999999956</v>
      </c>
      <c r="AN141" s="905">
        <f>INDEX(G141:R141,1,MATCH(Parametres!$B$3,G$1:R$1,0))*IF(OR(F141="L",F141="S",F141="I"),-1,1)</f>
        <v>12554.91</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1463</v>
      </c>
      <c r="D142" s="706" t="s">
        <v>1464</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8752.1</v>
      </c>
      <c r="AM142" s="905">
        <f t="shared" si="9"/>
        <v>827.69000000000051</v>
      </c>
      <c r="AN142" s="905">
        <f>INDEX(G142:R142,1,MATCH(Parametres!$B$3,G$1:R$1,0))*IF(OR(F142="L",F142="S",F142="I"),-1,1)</f>
        <v>9579.7900000000009</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1465</v>
      </c>
      <c r="D143" s="706" t="s">
        <v>1466</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680.87</v>
      </c>
      <c r="AM143" s="905">
        <f t="shared" si="9"/>
        <v>231.95000000000005</v>
      </c>
      <c r="AN143" s="905">
        <f>INDEX(G143:R143,1,MATCH(Parametres!$B$3,G$1:R$1,0))*IF(OR(F143="L",F143="S",F143="I"),-1,1)</f>
        <v>912.82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1467</v>
      </c>
      <c r="D144" s="706" t="s">
        <v>1468</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1469</v>
      </c>
      <c r="D145" s="706" t="s">
        <v>1470</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20640.37</v>
      </c>
      <c r="AM145" s="905">
        <f t="shared" si="9"/>
        <v>4324.2800000000025</v>
      </c>
      <c r="AN145" s="905">
        <f>INDEX(G145:R145,1,MATCH(Parametres!$B$3,G$1:R$1,0))*IF(OR(F145="L",F145="S",F145="I"),-1,1)</f>
        <v>24964.65</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1471</v>
      </c>
      <c r="D146" s="706" t="s">
        <v>1472</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8852.67</v>
      </c>
      <c r="AM146" s="905">
        <f t="shared" si="9"/>
        <v>2218.5499999999993</v>
      </c>
      <c r="AN146" s="905">
        <f>INDEX(G146:R146,1,MATCH(Parametres!$B$3,G$1:R$1,0))*IF(OR(F146="L",F146="S",F146="I"),-1,1)</f>
        <v>11071.22</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1473</v>
      </c>
      <c r="D147" s="706" t="s">
        <v>1474</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1475</v>
      </c>
      <c r="D148" s="706" t="s">
        <v>1476</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11781.4</v>
      </c>
      <c r="AM148" s="905">
        <f t="shared" si="9"/>
        <v>3074.7900000000009</v>
      </c>
      <c r="AN148" s="905">
        <f>INDEX(G148:R148,1,MATCH(Parametres!$B$3,G$1:R$1,0))*IF(OR(F148="L",F148="S",F148="I"),-1,1)</f>
        <v>14856.19</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1477</v>
      </c>
      <c r="D149" s="706" t="s">
        <v>1478</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8888.7900000000009</v>
      </c>
      <c r="AM149" s="905">
        <f t="shared" si="9"/>
        <v>1374.9299999999985</v>
      </c>
      <c r="AN149" s="905">
        <f>INDEX(G149:R149,1,MATCH(Parametres!$B$3,G$1:R$1,0))*IF(OR(F149="L",F149="S",F149="I"),-1,1)</f>
        <v>10263.719999999999</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1479</v>
      </c>
      <c r="D150" s="706" t="s">
        <v>1480</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8080.76</v>
      </c>
      <c r="AM150" s="905">
        <f t="shared" si="9"/>
        <v>1891.6100000000006</v>
      </c>
      <c r="AN150" s="905">
        <f>INDEX(G150:R150,1,MATCH(Parametres!$B$3,G$1:R$1,0))*IF(OR(F150="L",F150="S",F150="I"),-1,1)</f>
        <v>9972.3700000000008</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1481</v>
      </c>
      <c r="D151" s="706" t="s">
        <v>1482</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1483</v>
      </c>
      <c r="D152" s="706" t="s">
        <v>1484</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1485</v>
      </c>
      <c r="D153" s="706" t="s">
        <v>1486</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1487</v>
      </c>
      <c r="D154" s="706" t="s">
        <v>1488</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20385.599999999999</v>
      </c>
      <c r="AM154" s="905">
        <f t="shared" si="9"/>
        <v>6803.130000000001</v>
      </c>
      <c r="AN154" s="905">
        <f>INDEX(G154:R154,1,MATCH(Parametres!$B$3,G$1:R$1,0))*IF(OR(F154="L",F154="S",F154="I"),-1,1)</f>
        <v>27188.73</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1489</v>
      </c>
      <c r="D155" s="706" t="s">
        <v>1490</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9962.56</v>
      </c>
      <c r="AM155" s="905">
        <f t="shared" si="9"/>
        <v>3751.58</v>
      </c>
      <c r="AN155" s="905">
        <f>INDEX(G155:R155,1,MATCH(Parametres!$B$3,G$1:R$1,0))*IF(OR(F155="L",F155="S",F155="I"),-1,1)</f>
        <v>13714.14</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1491</v>
      </c>
      <c r="D156" s="706" t="s">
        <v>1492</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9.1999999999999993</v>
      </c>
      <c r="AM156" s="905">
        <f t="shared" si="9"/>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1493</v>
      </c>
      <c r="D157" s="706" t="s">
        <v>1494</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40582.9</v>
      </c>
      <c r="AM157" s="905">
        <f t="shared" si="9"/>
        <v>12224.879999999997</v>
      </c>
      <c r="AN157" s="905">
        <f>INDEX(G157:R157,1,MATCH(Parametres!$B$3,G$1:R$1,0))*IF(OR(F157="L",F157="S",F157="I"),-1,1)</f>
        <v>52807.78</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1495</v>
      </c>
      <c r="D158" s="706" t="s">
        <v>1496</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16580.990000000002</v>
      </c>
      <c r="AM158" s="905">
        <f t="shared" si="9"/>
        <v>3999.3499999999985</v>
      </c>
      <c r="AN158" s="905">
        <f>INDEX(G158:R158,1,MATCH(Parametres!$B$3,G$1:R$1,0))*IF(OR(F158="L",F158="S",F158="I"),-1,1)</f>
        <v>20580.34</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1497</v>
      </c>
      <c r="D159" s="706" t="s">
        <v>1498</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7418.3</v>
      </c>
      <c r="AM159" s="905">
        <f t="shared" si="9"/>
        <v>2504.8200000000006</v>
      </c>
      <c r="AN159" s="905">
        <f>INDEX(G159:R159,1,MATCH(Parametres!$B$3,G$1:R$1,0))*IF(OR(F159="L",F159="S",F159="I"),-1,1)</f>
        <v>9923.1200000000008</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1499</v>
      </c>
      <c r="D160" s="706" t="s">
        <v>1500</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1501</v>
      </c>
      <c r="D161" s="706" t="s">
        <v>1502</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1503</v>
      </c>
      <c r="D162" s="706" t="s">
        <v>1504</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1505</v>
      </c>
      <c r="D163" s="706" t="s">
        <v>1506</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2464.04</v>
      </c>
      <c r="AM163" s="905">
        <f t="shared" si="9"/>
        <v>888.36000000000013</v>
      </c>
      <c r="AN163" s="905">
        <f>INDEX(G163:R163,1,MATCH(Parametres!$B$3,G$1:R$1,0))*IF(OR(F163="L",F163="S",F163="I"),-1,1)</f>
        <v>3352.4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1507</v>
      </c>
      <c r="D164" s="706" t="s">
        <v>1508</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20331.599999999999</v>
      </c>
      <c r="AM164" s="905">
        <f t="shared" si="9"/>
        <v>450</v>
      </c>
      <c r="AN164" s="905">
        <f>INDEX(G164:R164,1,MATCH(Parametres!$B$3,G$1:R$1,0))*IF(OR(F164="L",F164="S",F164="I"),-1,1)</f>
        <v>20781.599999999999</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1509</v>
      </c>
      <c r="D165" s="706" t="s">
        <v>1510</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2207.58</v>
      </c>
      <c r="AM165" s="905">
        <f t="shared" si="9"/>
        <v>0</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1511</v>
      </c>
      <c r="D166" s="706" t="s">
        <v>1512</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12866.55</v>
      </c>
      <c r="AM166" s="905">
        <f t="shared" si="9"/>
        <v>300</v>
      </c>
      <c r="AN166" s="905">
        <f>INDEX(G166:R166,1,MATCH(Parametres!$B$3,G$1:R$1,0))*IF(OR(F166="L",F166="S",F166="I"),-1,1)</f>
        <v>13166.55</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1513</v>
      </c>
      <c r="D167" s="706" t="s">
        <v>1514</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390.72</v>
      </c>
      <c r="AM167" s="905">
        <f t="shared" si="9"/>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1515</v>
      </c>
      <c r="D168" s="706" t="s">
        <v>1516</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1517</v>
      </c>
      <c r="D169" s="706" t="s">
        <v>1518</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1519</v>
      </c>
      <c r="D170" s="706" t="s">
        <v>1520</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19764.53</v>
      </c>
      <c r="AM170" s="905">
        <f t="shared" si="9"/>
        <v>450</v>
      </c>
      <c r="AN170" s="905">
        <f>INDEX(G170:R170,1,MATCH(Parametres!$B$3,G$1:R$1,0))*IF(OR(F170="L",F170="S",F170="I"),-1,1)</f>
        <v>20214.53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1521</v>
      </c>
      <c r="D171" s="706" t="s">
        <v>1522</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435.73</v>
      </c>
      <c r="AM171" s="905">
        <f t="shared" si="9"/>
        <v>25.95999999999998</v>
      </c>
      <c r="AN171" s="905">
        <f>INDEX(G171:R171,1,MATCH(Parametres!$B$3,G$1:R$1,0))*IF(OR(F171="L",F171="S",F171="I"),-1,1)</f>
        <v>461.69</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1523</v>
      </c>
      <c r="D172" s="706" t="s">
        <v>1524</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6433.28</v>
      </c>
      <c r="AM172" s="905">
        <f t="shared" si="9"/>
        <v>150</v>
      </c>
      <c r="AN172" s="905">
        <f>INDEX(G172:R172,1,MATCH(Parametres!$B$3,G$1:R$1,0))*IF(OR(F172="L",F172="S",F172="I"),-1,1)</f>
        <v>6583.28</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1525</v>
      </c>
      <c r="D173" s="706" t="s">
        <v>1526</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1527</v>
      </c>
      <c r="D174" s="706" t="s">
        <v>1528</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7351.66</v>
      </c>
      <c r="AM174" s="905">
        <f t="shared" si="9"/>
        <v>150</v>
      </c>
      <c r="AN174" s="905">
        <f>INDEX(G174:R174,1,MATCH(Parametres!$B$3,G$1:R$1,0))*IF(OR(F174="L",F174="S",F174="I"),-1,1)</f>
        <v>7501.66</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1529</v>
      </c>
      <c r="D175" s="706" t="s">
        <v>1530</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1531</v>
      </c>
      <c r="D176" s="706" t="s">
        <v>1532</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1533</v>
      </c>
      <c r="D177" s="706" t="s">
        <v>1534</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6669.12</v>
      </c>
      <c r="AM177" s="905">
        <f t="shared" si="9"/>
        <v>1596.1799999999994</v>
      </c>
      <c r="AN177" s="905">
        <f>INDEX(G177:R177,1,MATCH(Parametres!$B$3,G$1:R$1,0))*IF(OR(F177="L",F177="S",F177="I"),-1,1)</f>
        <v>8265.2999999999993</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1535</v>
      </c>
      <c r="D178" s="706" t="s">
        <v>1536</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6047.45</v>
      </c>
      <c r="AM178" s="905">
        <f t="shared" si="9"/>
        <v>6585.04</v>
      </c>
      <c r="AN178" s="905">
        <f>INDEX(G178:R178,1,MATCH(Parametres!$B$3,G$1:R$1,0))*IF(OR(F178="L",F178="S",F178="I"),-1,1)</f>
        <v>12632.49</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1537</v>
      </c>
      <c r="D179" s="706" t="s">
        <v>1538</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2115</v>
      </c>
      <c r="AM179" s="905">
        <f t="shared" si="9"/>
        <v>666</v>
      </c>
      <c r="AN179" s="905">
        <f>INDEX(G179:R179,1,MATCH(Parametres!$B$3,G$1:R$1,0))*IF(OR(F179="L",F179="S",F179="I"),-1,1)</f>
        <v>2781</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1539</v>
      </c>
      <c r="D180" s="706" t="s">
        <v>1540</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8267.3700000000008</v>
      </c>
      <c r="AM180" s="905">
        <f t="shared" si="9"/>
        <v>1017.6999999999989</v>
      </c>
      <c r="AN180" s="905">
        <f>INDEX(G180:R180,1,MATCH(Parametres!$B$3,G$1:R$1,0))*IF(OR(F180="L",F180="S",F180="I"),-1,1)</f>
        <v>9285.07</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1543</v>
      </c>
      <c r="D181" s="706" t="s">
        <v>1544</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4256.87</v>
      </c>
      <c r="AM181" s="905">
        <f t="shared" si="9"/>
        <v>927.38000000000011</v>
      </c>
      <c r="AN181" s="905">
        <f>INDEX(G181:R181,1,MATCH(Parametres!$B$3,G$1:R$1,0))*IF(OR(F181="L",F181="S",F181="I"),-1,1)</f>
        <v>5184.25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1545</v>
      </c>
      <c r="D182" s="706" t="s">
        <v>1546</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1547</v>
      </c>
      <c r="D183" s="706" t="s">
        <v>1548</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1911.23</v>
      </c>
      <c r="AM183" s="905">
        <f t="shared" si="9"/>
        <v>450</v>
      </c>
      <c r="AN183" s="905">
        <f>INDEX(G183:R183,1,MATCH(Parametres!$B$3,G$1:R$1,0))*IF(OR(F183="L",F183="S",F183="I"),-1,1)</f>
        <v>2361.23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1549</v>
      </c>
      <c r="D184" s="706" t="s">
        <v>1550</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1274.1500000000001</v>
      </c>
      <c r="AM184" s="905">
        <f t="shared" si="9"/>
        <v>300</v>
      </c>
      <c r="AN184" s="905">
        <f>INDEX(G184:R184,1,MATCH(Parametres!$B$3,G$1:R$1,0))*IF(OR(F184="L",F184="S",F184="I"),-1,1)</f>
        <v>1574.15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1551</v>
      </c>
      <c r="D185" s="706" t="s">
        <v>1552</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1553</v>
      </c>
      <c r="D186" s="706" t="s">
        <v>1554</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1977.23</v>
      </c>
      <c r="AM186" s="905">
        <f t="shared" si="9"/>
        <v>549</v>
      </c>
      <c r="AN186" s="905">
        <f>INDEX(G186:R186,1,MATCH(Parametres!$B$3,G$1:R$1,0))*IF(OR(F186="L",F186="S",F186="I"),-1,1)</f>
        <v>2526.23</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1555</v>
      </c>
      <c r="D187" s="706" t="s">
        <v>1556</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637.08000000000004</v>
      </c>
      <c r="AM187" s="905">
        <f t="shared" si="9"/>
        <v>150</v>
      </c>
      <c r="AN187" s="905">
        <f>INDEX(G187:R187,1,MATCH(Parametres!$B$3,G$1:R$1,0))*IF(OR(F187="L",F187="S",F187="I"),-1,1)</f>
        <v>787.08</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1557</v>
      </c>
      <c r="D188" s="706" t="s">
        <v>1558</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637.05999999999995</v>
      </c>
      <c r="AM188" s="905">
        <f t="shared" si="9"/>
        <v>150</v>
      </c>
      <c r="AN188" s="905">
        <f>INDEX(G188:R188,1,MATCH(Parametres!$B$3,G$1:R$1,0))*IF(OR(F188="L",F188="S",F188="I"),-1,1)</f>
        <v>787.06</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1559</v>
      </c>
      <c r="D189" s="706" t="s">
        <v>1560</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1561</v>
      </c>
      <c r="D190" s="706" t="s">
        <v>1562</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5530.56</v>
      </c>
      <c r="AM190" s="905">
        <f t="shared" si="9"/>
        <v>1054.0499999999993</v>
      </c>
      <c r="AN190" s="905">
        <f>INDEX(G190:R190,1,MATCH(Parametres!$B$3,G$1:R$1,0))*IF(OR(F190="L",F190="S",F190="I"),-1,1)</f>
        <v>6584.61</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1563</v>
      </c>
      <c r="D191" s="706" t="s">
        <v>1564</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3445.38</v>
      </c>
      <c r="AM191" s="905">
        <f t="shared" si="9"/>
        <v>672.69999999999982</v>
      </c>
      <c r="AN191" s="905">
        <f>INDEX(G191:R191,1,MATCH(Parametres!$B$3,G$1:R$1,0))*IF(OR(F191="L",F191="S",F191="I"),-1,1)</f>
        <v>4118.08</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1565</v>
      </c>
      <c r="D192" s="706" t="s">
        <v>1566</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525.91</v>
      </c>
      <c r="AM192" s="905">
        <f t="shared" si="9"/>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1567</v>
      </c>
      <c r="D193" s="706" t="s">
        <v>1568</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5547.96</v>
      </c>
      <c r="AM193" s="905">
        <f t="shared" si="9"/>
        <v>1484.0600000000004</v>
      </c>
      <c r="AN193" s="905">
        <f>INDEX(G193:R193,1,MATCH(Parametres!$B$3,G$1:R$1,0))*IF(OR(F193="L",F193="S",F193="I"),-1,1)</f>
        <v>7032.02</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1569</v>
      </c>
      <c r="D194" s="706" t="s">
        <v>1570</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1722.7</v>
      </c>
      <c r="AM194" s="905">
        <f t="shared" si="9"/>
        <v>336.3599999999999</v>
      </c>
      <c r="AN194" s="905">
        <f>INDEX(G194:R194,1,MATCH(Parametres!$B$3,G$1:R$1,0))*IF(OR(F194="L",F194="S",F194="I"),-1,1)</f>
        <v>2059.06</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1571</v>
      </c>
      <c r="D195" s="706" t="s">
        <v>1572</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1792.66</v>
      </c>
      <c r="AM195" s="905">
        <f t="shared" si="9"/>
        <v>336.3299999999997</v>
      </c>
      <c r="AN195" s="905">
        <f>INDEX(G195:R195,1,MATCH(Parametres!$B$3,G$1:R$1,0))*IF(OR(F195="L",F195="S",F195="I"),-1,1)</f>
        <v>2128.9899999999998</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1573</v>
      </c>
      <c r="D196" s="706" t="s">
        <v>1574</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1575</v>
      </c>
      <c r="D197" s="706" t="s">
        <v>1576</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3751</v>
      </c>
      <c r="AM197" s="905">
        <f t="shared" si="13"/>
        <v>665.02999999999975</v>
      </c>
      <c r="AN197" s="905">
        <f>INDEX(G197:R197,1,MATCH(Parametres!$B$3,G$1:R$1,0))*IF(OR(F197="L",F197="S",F197="I"),-1,1)</f>
        <v>4416.03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1577</v>
      </c>
      <c r="D198" s="706" t="s">
        <v>1578</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464</v>
      </c>
      <c r="AM198" s="905">
        <f t="shared" si="13"/>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1579</v>
      </c>
      <c r="D199" s="706" t="s">
        <v>1580</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1581</v>
      </c>
      <c r="D200" s="706" t="s">
        <v>1582</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10746.83</v>
      </c>
      <c r="AM200" s="905">
        <f t="shared" si="13"/>
        <v>3687.2999999999993</v>
      </c>
      <c r="AN200" s="905">
        <f>INDEX(G200:R200,1,MATCH(Parametres!$B$3,G$1:R$1,0))*IF(OR(F200="L",F200="S",F200="I"),-1,1)</f>
        <v>14434.13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1583</v>
      </c>
      <c r="D201" s="706" t="s">
        <v>1584</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1310.4000000000001</v>
      </c>
      <c r="AM201" s="905">
        <f t="shared" si="13"/>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1585</v>
      </c>
      <c r="D202" s="706" t="s">
        <v>1586</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6234.5</v>
      </c>
      <c r="AM202" s="905">
        <f t="shared" si="13"/>
        <v>790.5</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1587</v>
      </c>
      <c r="D203" s="706" t="s">
        <v>1588</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str">
        <f>+VLOOKUP($AJ203,Data_Validation!$A:$D,1,0)</f>
        <v>G0760</v>
      </c>
      <c r="AP203" s="487">
        <f>+VLOOKUP($AJ203,Data_Validation!$A:$D,3,0)</f>
        <v>0</v>
      </c>
      <c r="AQ203" s="487">
        <f>+VLOOKUP($AJ203,Data_Validation!$A:$D,4,0)</f>
        <v>0</v>
      </c>
      <c r="AR203" s="487" t="s">
        <v>299</v>
      </c>
      <c r="AS203" s="487">
        <f>+VLOOKUP($AJ203,Data_Validation!$A:$E,5,0)</f>
        <v>0</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f>+VLOOKUP($AJ203,Data_Validation!$A:$E,5,0)</f>
        <v>0</v>
      </c>
    </row>
    <row r="204" spans="1:52" ht="15" customHeight="1">
      <c r="A204" s="706" t="s">
        <v>1148</v>
      </c>
      <c r="B204" s="706">
        <v>2025</v>
      </c>
      <c r="C204" s="706" t="s">
        <v>1589</v>
      </c>
      <c r="D204" s="706" t="s">
        <v>1590</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515057.15</v>
      </c>
      <c r="AM204" s="905">
        <f t="shared" si="13"/>
        <v>111316.48999999999</v>
      </c>
      <c r="AN204" s="905">
        <f>INDEX(G204:R204,1,MATCH(Parametres!$B$3,G$1:R$1,0))*IF(OR(F204="L",F204="S",F204="I"),-1,1)</f>
        <v>626373.64</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1591</v>
      </c>
      <c r="D205" s="706" t="s">
        <v>1592</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121672.21</v>
      </c>
      <c r="AM205" s="905">
        <f t="shared" si="13"/>
        <v>22916.960000000006</v>
      </c>
      <c r="AN205" s="905">
        <f>INDEX(G205:R205,1,MATCH(Parametres!$B$3,G$1:R$1,0))*IF(OR(F205="L",F205="S",F205="I"),-1,1)</f>
        <v>144589.17000000001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1593</v>
      </c>
      <c r="D206" s="706" t="s">
        <v>1594</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118997.15</v>
      </c>
      <c r="AM206" s="905">
        <f t="shared" si="13"/>
        <v>22246.98000000001</v>
      </c>
      <c r="AN206" s="905">
        <f>INDEX(G206:R206,1,MATCH(Parametres!$B$3,G$1:R$1,0))*IF(OR(F206="L",F206="S",F206="I"),-1,1)</f>
        <v>141244.13</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1595</v>
      </c>
      <c r="D207" s="706" t="s">
        <v>1596</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0.05</v>
      </c>
      <c r="AM207" s="905">
        <f t="shared" si="13"/>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1597</v>
      </c>
      <c r="D208" s="706" t="s">
        <v>1598</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1599</v>
      </c>
      <c r="D209" s="706" t="s">
        <v>1600</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1601</v>
      </c>
      <c r="D210" s="706" t="s">
        <v>1602</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303.56</v>
      </c>
      <c r="AM210" s="905">
        <f t="shared" si="13"/>
        <v>7833.11</v>
      </c>
      <c r="AN210" s="905">
        <f>INDEX(G210:R210,1,MATCH(Parametres!$B$3,G$1:R$1,0))*IF(OR(F210="L",F210="S",F210="I"),-1,1)</f>
        <v>8136.67</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1603</v>
      </c>
      <c r="D211" s="706" t="s">
        <v>1604</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68.94</v>
      </c>
      <c r="AM211" s="905">
        <f t="shared" si="13"/>
        <v>5222.0700000000006</v>
      </c>
      <c r="AN211" s="905">
        <f>INDEX(G211:R211,1,MATCH(Parametres!$B$3,G$1:R$1,0))*IF(OR(F211="L",F211="S",F211="I"),-1,1)</f>
        <v>5291.01</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1605</v>
      </c>
      <c r="D212" s="706" t="s">
        <v>1606</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79.900000000000006</v>
      </c>
      <c r="AM212" s="905">
        <f t="shared" si="13"/>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1607</v>
      </c>
      <c r="D213" s="706" t="s">
        <v>1608</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-7236.63</v>
      </c>
      <c r="AM213" s="905">
        <f t="shared" si="13"/>
        <v>7718.16</v>
      </c>
      <c r="AN213" s="905">
        <f>INDEX(G213:R213,1,MATCH(Parametres!$B$3,G$1:R$1,0))*IF(OR(F213="L",F213="S",F213="I"),-1,1)</f>
        <v>481.53</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1609</v>
      </c>
      <c r="D214" s="706" t="s">
        <v>1610</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34.479999999999997</v>
      </c>
      <c r="AM214" s="905">
        <f t="shared" si="13"/>
        <v>2611.04</v>
      </c>
      <c r="AN214" s="905">
        <f>INDEX(G214:R214,1,MATCH(Parametres!$B$3,G$1:R$1,0))*IF(OR(F214="L",F214="S",F214="I"),-1,1)</f>
        <v>2645.52</v>
      </c>
      <c r="AO214" s="487" t="str">
        <f>+VLOOKUP($AJ214,Data_Validation!$A:$D,1,0)</f>
        <v>G0775</v>
      </c>
      <c r="AP214" s="487" t="str">
        <f>+VLOOKUP($AJ214,Data_Validation!$A:$D,3,0)</f>
        <v>Carrosserie</v>
      </c>
      <c r="AQ214" s="487" t="str">
        <f>+VLOOKUP($AJ214,Data_Validation!$A:$D,4,0)</f>
        <v>Divers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1611</v>
      </c>
      <c r="D215" s="706" t="s">
        <v>1612</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34.450000000000003</v>
      </c>
      <c r="AM215" s="905">
        <f t="shared" si="13"/>
        <v>2611.02</v>
      </c>
      <c r="AN215" s="905">
        <f>INDEX(G215:R215,1,MATCH(Parametres!$B$3,G$1:R$1,0))*IF(OR(F215="L",F215="S",F215="I"),-1,1)</f>
        <v>2645.47</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1613</v>
      </c>
      <c r="D216" s="706" t="s">
        <v>3106</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1615</v>
      </c>
      <c r="D217" s="706" t="s">
        <v>1616</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str">
        <f>+VLOOKUP($AJ217,Data_Validation!$A:$D,1,0)</f>
        <v>G0779</v>
      </c>
      <c r="AP217" s="487">
        <f>+VLOOKUP($AJ217,Data_Validation!$A:$D,3,0)</f>
        <v>0</v>
      </c>
      <c r="AQ217" s="487">
        <f>+VLOOKUP($AJ217,Data_Validation!$A:$D,4,0)</f>
        <v>0</v>
      </c>
      <c r="AR217" s="487" t="s">
        <v>299</v>
      </c>
      <c r="AS217" s="487">
        <f>+VLOOKUP($AJ217,Data_Validation!$A:$E,5,0)</f>
        <v>0</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f>+VLOOKUP($AJ217,Data_Validation!$A:$E,5,0)</f>
        <v>0</v>
      </c>
    </row>
    <row r="218" spans="1:52" ht="15" customHeight="1">
      <c r="A218" s="706" t="s">
        <v>1148</v>
      </c>
      <c r="B218" s="706">
        <v>2025</v>
      </c>
      <c r="C218" s="706" t="s">
        <v>1617</v>
      </c>
      <c r="D218" s="706" t="s">
        <v>1371</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1618</v>
      </c>
      <c r="D219" s="706" t="s">
        <v>1619</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-1584775.24</v>
      </c>
      <c r="AM219" s="905">
        <f t="shared" si="13"/>
        <v>-207666.42999999993</v>
      </c>
      <c r="AN219" s="905">
        <f>INDEX(G219:R219,1,MATCH(Parametres!$B$3,G$1:R$1,0))*IF(OR(F219="L",F219="S",F219="I"),-1,1)</f>
        <v>-1792441.67</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1620</v>
      </c>
      <c r="D220" s="706" t="s">
        <v>1621</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1622</v>
      </c>
      <c r="D221" s="706" t="s">
        <v>1623</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1624</v>
      </c>
      <c r="D222" s="706" t="s">
        <v>1625</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1626</v>
      </c>
      <c r="D223" s="706" t="s">
        <v>1627</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1628</v>
      </c>
      <c r="D224" s="706" t="s">
        <v>1629</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1630</v>
      </c>
      <c r="D225" s="706" t="s">
        <v>1631</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1632</v>
      </c>
      <c r="D226" s="706" t="s">
        <v>1631</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1633</v>
      </c>
      <c r="D227" s="706" t="s">
        <v>1634</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1635</v>
      </c>
      <c r="D228" s="706" t="s">
        <v>1636</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1637</v>
      </c>
      <c r="D229" s="706" t="s">
        <v>1638</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107250</v>
      </c>
      <c r="AM229" s="905">
        <f t="shared" si="13"/>
        <v>20500</v>
      </c>
      <c r="AN229" s="905">
        <f>INDEX(G229:R229,1,MATCH(Parametres!$B$3,G$1:R$1,0))*IF(OR(F229="L",F229="S",F229="I"),-1,1)</f>
        <v>127750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1639</v>
      </c>
      <c r="D230" s="706" t="s">
        <v>1640</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71500</v>
      </c>
      <c r="AM230" s="905">
        <f t="shared" si="13"/>
        <v>12000</v>
      </c>
      <c r="AN230" s="905">
        <f>INDEX(G230:R230,1,MATCH(Parametres!$B$3,G$1:R$1,0))*IF(OR(F230="L",F230="S",F230="I"),-1,1)</f>
        <v>83500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1641</v>
      </c>
      <c r="D231" s="706" t="s">
        <v>1642</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1643</v>
      </c>
      <c r="D232" s="706" t="s">
        <v>1644</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107250</v>
      </c>
      <c r="AM232" s="905">
        <f t="shared" si="13"/>
        <v>18000</v>
      </c>
      <c r="AN232" s="905">
        <f>INDEX(G232:R232,1,MATCH(Parametres!$B$3,G$1:R$1,0))*IF(OR(F232="L",F232="S",F232="I"),-1,1)</f>
        <v>125250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1645</v>
      </c>
      <c r="D233" s="706" t="s">
        <v>1646</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35750</v>
      </c>
      <c r="AM233" s="905">
        <f t="shared" si="13"/>
        <v>6000</v>
      </c>
      <c r="AN233" s="905">
        <f>INDEX(G233:R233,1,MATCH(Parametres!$B$3,G$1:R$1,0))*IF(OR(F233="L",F233="S",F233="I"),-1,1)</f>
        <v>41750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1647</v>
      </c>
      <c r="D234" s="706" t="s">
        <v>1648</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35750</v>
      </c>
      <c r="AM234" s="905">
        <f t="shared" si="13"/>
        <v>6000</v>
      </c>
      <c r="AN234" s="905">
        <f>INDEX(G234:R234,1,MATCH(Parametres!$B$3,G$1:R$1,0))*IF(OR(F234="L",F234="S",F234="I"),-1,1)</f>
        <v>41750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1649</v>
      </c>
      <c r="D235" s="706" t="s">
        <v>1650</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1651</v>
      </c>
      <c r="D236" s="706" t="s">
        <v>1652</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56775.15</v>
      </c>
      <c r="AM236" s="905">
        <f t="shared" si="13"/>
        <v>14309.999999999993</v>
      </c>
      <c r="AN236" s="905">
        <f>INDEX(G236:R236,1,MATCH(Parametres!$B$3,G$1:R$1,0))*IF(OR(F236="L",F236="S",F236="I"),-1,1)</f>
        <v>71085.149999999994</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1653</v>
      </c>
      <c r="D237" s="706" t="s">
        <v>1654</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30800.1</v>
      </c>
      <c r="AM237" s="905">
        <f t="shared" si="13"/>
        <v>9540</v>
      </c>
      <c r="AN237" s="905">
        <f>INDEX(G237:R237,1,MATCH(Parametres!$B$3,G$1:R$1,0))*IF(OR(F237="L",F237="S",F237="I"),-1,1)</f>
        <v>40340.1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1655</v>
      </c>
      <c r="D238" s="706" t="s">
        <v>1656</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1657</v>
      </c>
      <c r="D239" s="706" t="s">
        <v>1658</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56775.15</v>
      </c>
      <c r="AM239" s="905">
        <f t="shared" si="13"/>
        <v>14309.999999999993</v>
      </c>
      <c r="AN239" s="905">
        <f>INDEX(G239:R239,1,MATCH(Parametres!$B$3,G$1:R$1,0))*IF(OR(F239="L",F239="S",F239="I"),-1,1)</f>
        <v>71085.149999999994</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1659</v>
      </c>
      <c r="D240" s="706" t="s">
        <v>1660</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18925.05</v>
      </c>
      <c r="AM240" s="905">
        <f t="shared" si="13"/>
        <v>4770</v>
      </c>
      <c r="AN240" s="905">
        <f>INDEX(G240:R240,1,MATCH(Parametres!$B$3,G$1:R$1,0))*IF(OR(F240="L",F240="S",F240="I"),-1,1)</f>
        <v>23695.05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1661</v>
      </c>
      <c r="D241" s="706" t="s">
        <v>1662</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18925.05</v>
      </c>
      <c r="AM241" s="905">
        <f t="shared" si="13"/>
        <v>4770</v>
      </c>
      <c r="AN241" s="905">
        <f>INDEX(G241:R241,1,MATCH(Parametres!$B$3,G$1:R$1,0))*IF(OR(F241="L",F241="S",F241="I"),-1,1)</f>
        <v>23695.05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1663</v>
      </c>
      <c r="D242" s="706" t="s">
        <v>1664</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1665</v>
      </c>
      <c r="D243" s="706" t="s">
        <v>1666</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12142.5</v>
      </c>
      <c r="AM243" s="905">
        <f t="shared" si="13"/>
        <v>1412.42</v>
      </c>
      <c r="AN243" s="905">
        <f>INDEX(G243:R243,1,MATCH(Parametres!$B$3,G$1:R$1,0))*IF(OR(F243="L",F243="S",F243="I"),-1,1)</f>
        <v>13554.92</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1667</v>
      </c>
      <c r="D244" s="706" t="s">
        <v>1668</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8060.45</v>
      </c>
      <c r="AM244" s="905">
        <f t="shared" si="13"/>
        <v>941.60999999999967</v>
      </c>
      <c r="AN244" s="905">
        <f>INDEX(G244:R244,1,MATCH(Parametres!$B$3,G$1:R$1,0))*IF(OR(F244="L",F244="S",F244="I"),-1,1)</f>
        <v>9002.06</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1669</v>
      </c>
      <c r="D245" s="706" t="s">
        <v>1670</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331.8</v>
      </c>
      <c r="AM245" s="905">
        <f t="shared" si="13"/>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1671</v>
      </c>
      <c r="D246" s="706" t="s">
        <v>1672</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20630.88</v>
      </c>
      <c r="AM246" s="905">
        <f t="shared" si="13"/>
        <v>1412.4199999999983</v>
      </c>
      <c r="AN246" s="905">
        <f>INDEX(G246:R246,1,MATCH(Parametres!$B$3,G$1:R$1,0))*IF(OR(F246="L",F246="S",F246="I"),-1,1)</f>
        <v>22043.3</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1673</v>
      </c>
      <c r="D247" s="706" t="s">
        <v>1674</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9432.61</v>
      </c>
      <c r="AM247" s="905">
        <f t="shared" si="13"/>
        <v>623.72999999999956</v>
      </c>
      <c r="AN247" s="905">
        <f>INDEX(G247:R247,1,MATCH(Parametres!$B$3,G$1:R$1,0))*IF(OR(F247="L",F247="S",F247="I"),-1,1)</f>
        <v>10056.34</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1675</v>
      </c>
      <c r="D248" s="706" t="s">
        <v>1676</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4030.18</v>
      </c>
      <c r="AM248" s="905">
        <f t="shared" si="13"/>
        <v>470.80999999999995</v>
      </c>
      <c r="AN248" s="905">
        <f>INDEX(G248:R248,1,MATCH(Parametres!$B$3,G$1:R$1,0))*IF(OR(F248="L",F248="S",F248="I"),-1,1)</f>
        <v>4500.99</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1677</v>
      </c>
      <c r="D249" s="706" t="s">
        <v>1678</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1679</v>
      </c>
      <c r="D250" s="706" t="s">
        <v>1680</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209.6</v>
      </c>
      <c r="AM250" s="905">
        <f t="shared" si="13"/>
        <v>41.920000000000016</v>
      </c>
      <c r="AN250" s="905">
        <f>INDEX(G250:R250,1,MATCH(Parametres!$B$3,G$1:R$1,0))*IF(OR(F250="L",F250="S",F250="I"),-1,1)</f>
        <v>251.52</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1681</v>
      </c>
      <c r="D251" s="706" t="s">
        <v>1682</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139.75</v>
      </c>
      <c r="AM251" s="905">
        <f t="shared" si="13"/>
        <v>27.949999999999989</v>
      </c>
      <c r="AN251" s="905">
        <f>INDEX(G251:R251,1,MATCH(Parametres!$B$3,G$1:R$1,0))*IF(OR(F251="L",F251="S",F251="I"),-1,1)</f>
        <v>167.7</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1683</v>
      </c>
      <c r="D252" s="706" t="s">
        <v>1684</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209.6</v>
      </c>
      <c r="AM252" s="905">
        <f t="shared" si="13"/>
        <v>41.920000000000016</v>
      </c>
      <c r="AN252" s="905">
        <f>INDEX(G252:R252,1,MATCH(Parametres!$B$3,G$1:R$1,0))*IF(OR(F252="L",F252="S",F252="I"),-1,1)</f>
        <v>251.52</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1685</v>
      </c>
      <c r="D253" s="706" t="s">
        <v>1686</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69.849999999999994</v>
      </c>
      <c r="AM253" s="905">
        <f t="shared" si="13"/>
        <v>13.969999999999999</v>
      </c>
      <c r="AN253" s="905">
        <f>INDEX(G253:R253,1,MATCH(Parametres!$B$3,G$1:R$1,0))*IF(OR(F253="L",F253="S",F253="I"),-1,1)</f>
        <v>83.82</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1687</v>
      </c>
      <c r="D254" s="706" t="s">
        <v>1688</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69.849999999999994</v>
      </c>
      <c r="AM254" s="905">
        <f t="shared" si="13"/>
        <v>13.969999999999999</v>
      </c>
      <c r="AN254" s="905">
        <f>INDEX(G254:R254,1,MATCH(Parametres!$B$3,G$1:R$1,0))*IF(OR(F254="L",F254="S",F254="I"),-1,1)</f>
        <v>83.82</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1689</v>
      </c>
      <c r="D255" s="706" t="s">
        <v>1690</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1691</v>
      </c>
      <c r="D256" s="706" t="s">
        <v>1692</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6837</v>
      </c>
      <c r="AM256" s="905">
        <f t="shared" si="13"/>
        <v>1367.3999999999996</v>
      </c>
      <c r="AN256" s="905">
        <f>INDEX(G256:R256,1,MATCH(Parametres!$B$3,G$1:R$1,0))*IF(OR(F256="L",F256="S",F256="I"),-1,1)</f>
        <v>8204.4</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1693</v>
      </c>
      <c r="D257" s="706" t="s">
        <v>1694</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4558</v>
      </c>
      <c r="AM257" s="905">
        <f t="shared" si="13"/>
        <v>911.60000000000036</v>
      </c>
      <c r="AN257" s="905">
        <f>INDEX(G257:R257,1,MATCH(Parametres!$B$3,G$1:R$1,0))*IF(OR(F257="L",F257="S",F257="I"),-1,1)</f>
        <v>5469.6</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1695</v>
      </c>
      <c r="D258" s="706" t="s">
        <v>1696</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6837</v>
      </c>
      <c r="AM258" s="905">
        <f t="shared" si="13"/>
        <v>1367.3999999999996</v>
      </c>
      <c r="AN258" s="905">
        <f>INDEX(G258:R258,1,MATCH(Parametres!$B$3,G$1:R$1,0))*IF(OR(F258="L",F258="S",F258="I"),-1,1)</f>
        <v>8204.4</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1697</v>
      </c>
      <c r="D259" s="706" t="s">
        <v>1698</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2279</v>
      </c>
      <c r="AM259" s="905">
        <f t="shared" si="13"/>
        <v>455.80000000000018</v>
      </c>
      <c r="AN259" s="905">
        <f>INDEX(G259:R259,1,MATCH(Parametres!$B$3,G$1:R$1,0))*IF(OR(F259="L",F259="S",F259="I"),-1,1)</f>
        <v>2734.8</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1699</v>
      </c>
      <c r="D260" s="706" t="s">
        <v>1700</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2279</v>
      </c>
      <c r="AM260" s="905">
        <f t="shared" ref="AM260:AM323" si="17">AN260-AL260</f>
        <v>455.80000000000018</v>
      </c>
      <c r="AN260" s="905">
        <f>INDEX(G260:R260,1,MATCH(Parametres!$B$3,G$1:R$1,0))*IF(OR(F260="L",F260="S",F260="I"),-1,1)</f>
        <v>2734.8</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1701</v>
      </c>
      <c r="D261" s="706" t="s">
        <v>1702</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1703</v>
      </c>
      <c r="D262" s="706" t="s">
        <v>1704</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19610.400000000001</v>
      </c>
      <c r="AM262" s="905">
        <f t="shared" si="17"/>
        <v>3922.0799999999981</v>
      </c>
      <c r="AN262" s="905">
        <f>INDEX(G262:R262,1,MATCH(Parametres!$B$3,G$1:R$1,0))*IF(OR(F262="L",F262="S",F262="I"),-1,1)</f>
        <v>23532.48</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1705</v>
      </c>
      <c r="D263" s="706" t="s">
        <v>1706</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13073.6</v>
      </c>
      <c r="AM263" s="905">
        <f t="shared" si="17"/>
        <v>2614.7199999999993</v>
      </c>
      <c r="AN263" s="905">
        <f>INDEX(G263:R263,1,MATCH(Parametres!$B$3,G$1:R$1,0))*IF(OR(F263="L",F263="S",F263="I"),-1,1)</f>
        <v>15688.32</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1707</v>
      </c>
      <c r="D264" s="706" t="s">
        <v>1708</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19610.400000000001</v>
      </c>
      <c r="AM264" s="905">
        <f t="shared" si="17"/>
        <v>3922.0799999999981</v>
      </c>
      <c r="AN264" s="905">
        <f>INDEX(G264:R264,1,MATCH(Parametres!$B$3,G$1:R$1,0))*IF(OR(F264="L",F264="S",F264="I"),-1,1)</f>
        <v>23532.48</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1709</v>
      </c>
      <c r="D265" s="706" t="s">
        <v>1710</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6536.8</v>
      </c>
      <c r="AM265" s="905">
        <f t="shared" si="17"/>
        <v>1307.3599999999997</v>
      </c>
      <c r="AN265" s="905">
        <f>INDEX(G265:R265,1,MATCH(Parametres!$B$3,G$1:R$1,0))*IF(OR(F265="L",F265="S",F265="I"),-1,1)</f>
        <v>7844.16</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1711</v>
      </c>
      <c r="D266" s="706" t="s">
        <v>1712</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6536.85</v>
      </c>
      <c r="AM266" s="905">
        <f t="shared" si="17"/>
        <v>1307.3699999999999</v>
      </c>
      <c r="AN266" s="905">
        <f>INDEX(G266:R266,1,MATCH(Parametres!$B$3,G$1:R$1,0))*IF(OR(F266="L",F266="S",F266="I"),-1,1)</f>
        <v>7844.22</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1713</v>
      </c>
      <c r="D267" s="706" t="s">
        <v>1714</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1715</v>
      </c>
      <c r="D268" s="706" t="s">
        <v>1716</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8814.48</v>
      </c>
      <c r="AM268" s="905">
        <f t="shared" si="17"/>
        <v>2612.4600000000009</v>
      </c>
      <c r="AN268" s="905">
        <f>INDEX(G268:R268,1,MATCH(Parametres!$B$3,G$1:R$1,0))*IF(OR(F268="L",F268="S",F268="I"),-1,1)</f>
        <v>11426.94</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1717</v>
      </c>
      <c r="D269" s="706" t="s">
        <v>1718</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2635.87</v>
      </c>
      <c r="AM269" s="905">
        <f t="shared" si="17"/>
        <v>1087.52</v>
      </c>
      <c r="AN269" s="905">
        <f>INDEX(G269:R269,1,MATCH(Parametres!$B$3,G$1:R$1,0))*IF(OR(F269="L",F269="S",F269="I"),-1,1)</f>
        <v>3723.39</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1719</v>
      </c>
      <c r="D270" s="706" t="s">
        <v>1720</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14415.34</v>
      </c>
      <c r="AM270" s="905">
        <f t="shared" si="17"/>
        <v>2375.4500000000007</v>
      </c>
      <c r="AN270" s="905">
        <f>INDEX(G270:R270,1,MATCH(Parametres!$B$3,G$1:R$1,0))*IF(OR(F270="L",F270="S",F270="I"),-1,1)</f>
        <v>16790.79</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1721</v>
      </c>
      <c r="D271" s="706" t="s">
        <v>1722</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10482.82</v>
      </c>
      <c r="AM271" s="905">
        <f t="shared" si="17"/>
        <v>1978.630000000001</v>
      </c>
      <c r="AN271" s="905">
        <f>INDEX(G271:R271,1,MATCH(Parametres!$B$3,G$1:R$1,0))*IF(OR(F271="L",F271="S",F271="I"),-1,1)</f>
        <v>12461.45</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1723</v>
      </c>
      <c r="D272" s="706" t="s">
        <v>1724</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5663.51</v>
      </c>
      <c r="AM272" s="905">
        <f t="shared" si="17"/>
        <v>1250.0100000000002</v>
      </c>
      <c r="AN272" s="905">
        <f>INDEX(G272:R272,1,MATCH(Parametres!$B$3,G$1:R$1,0))*IF(OR(F272="L",F272="S",F272="I"),-1,1)</f>
        <v>6913.52</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1725</v>
      </c>
      <c r="D273" s="706" t="s">
        <v>1726</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1727</v>
      </c>
      <c r="D274" s="706" t="s">
        <v>1728</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1729</v>
      </c>
      <c r="D275" s="706" t="s">
        <v>1730</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1731</v>
      </c>
      <c r="D276" s="706" t="s">
        <v>1732</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1733</v>
      </c>
      <c r="D277" s="706" t="s">
        <v>1734</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1735</v>
      </c>
      <c r="D278" s="706" t="s">
        <v>1736</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1737</v>
      </c>
      <c r="D279" s="706" t="s">
        <v>1738</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1739</v>
      </c>
      <c r="D280" s="706" t="s">
        <v>1740</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17972.259999999998</v>
      </c>
      <c r="AM280" s="905">
        <f t="shared" si="17"/>
        <v>3000</v>
      </c>
      <c r="AN280" s="905">
        <f>INDEX(G280:R280,1,MATCH(Parametres!$B$3,G$1:R$1,0))*IF(OR(F280="L",F280="S",F280="I"),-1,1)</f>
        <v>20972.26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1741</v>
      </c>
      <c r="D281" s="706" t="s">
        <v>1742</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11981.5</v>
      </c>
      <c r="AM281" s="905">
        <f t="shared" si="17"/>
        <v>2000</v>
      </c>
      <c r="AN281" s="905">
        <f>INDEX(G281:R281,1,MATCH(Parametres!$B$3,G$1:R$1,0))*IF(OR(F281="L",F281="S",F281="I"),-1,1)</f>
        <v>13981.5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1743</v>
      </c>
      <c r="D282" s="706" t="s">
        <v>1744</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1745</v>
      </c>
      <c r="D283" s="706" t="s">
        <v>1746</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17972.259999999998</v>
      </c>
      <c r="AM283" s="905">
        <f t="shared" si="17"/>
        <v>3000</v>
      </c>
      <c r="AN283" s="905">
        <f>INDEX(G283:R283,1,MATCH(Parametres!$B$3,G$1:R$1,0))*IF(OR(F283="L",F283="S",F283="I"),-1,1)</f>
        <v>20972.26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1747</v>
      </c>
      <c r="D284" s="706" t="s">
        <v>1748</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5990.75</v>
      </c>
      <c r="AM284" s="905">
        <f t="shared" si="17"/>
        <v>1000</v>
      </c>
      <c r="AN284" s="905">
        <f>INDEX(G284:R284,1,MATCH(Parametres!$B$3,G$1:R$1,0))*IF(OR(F284="L",F284="S",F284="I"),-1,1)</f>
        <v>6990.75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1749</v>
      </c>
      <c r="D285" s="706" t="s">
        <v>1750</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5990.75</v>
      </c>
      <c r="AM285" s="905">
        <f t="shared" si="17"/>
        <v>1000</v>
      </c>
      <c r="AN285" s="905">
        <f>INDEX(G285:R285,1,MATCH(Parametres!$B$3,G$1:R$1,0))*IF(OR(F285="L",F285="S",F285="I"),-1,1)</f>
        <v>6990.75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1751</v>
      </c>
      <c r="D286" s="706" t="s">
        <v>1752</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1753</v>
      </c>
      <c r="D287" s="706" t="s">
        <v>1754</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705.2</v>
      </c>
      <c r="AM287" s="905">
        <f t="shared" si="17"/>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1755</v>
      </c>
      <c r="D288" s="706" t="s">
        <v>1756</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1757</v>
      </c>
      <c r="D289" s="706" t="s">
        <v>1758</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17204.39</v>
      </c>
      <c r="AM289" s="905">
        <f t="shared" si="17"/>
        <v>3553.3100000000013</v>
      </c>
      <c r="AN289" s="905">
        <f>INDEX(G289:R289,1,MATCH(Parametres!$B$3,G$1:R$1,0))*IF(OR(F289="L",F289="S",F289="I"),-1,1)</f>
        <v>20757.7</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1759</v>
      </c>
      <c r="D290" s="706" t="s">
        <v>1760</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5498.75</v>
      </c>
      <c r="AM290" s="905">
        <f t="shared" si="17"/>
        <v>2532.7600000000002</v>
      </c>
      <c r="AN290" s="905">
        <f>INDEX(G290:R290,1,MATCH(Parametres!$B$3,G$1:R$1,0))*IF(OR(F290="L",F290="S",F290="I"),-1,1)</f>
        <v>8031.51</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1761</v>
      </c>
      <c r="D291" s="706" t="s">
        <v>1762</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0</v>
      </c>
      <c r="AM291" s="905">
        <f t="shared" si="17"/>
        <v>1615.42</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1763</v>
      </c>
      <c r="D292" s="706" t="s">
        <v>1764</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1765</v>
      </c>
      <c r="D293" s="706" t="s">
        <v>1766</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17064.14</v>
      </c>
      <c r="AM293" s="905">
        <f t="shared" si="17"/>
        <v>3193.9500000000007</v>
      </c>
      <c r="AN293" s="905">
        <f>INDEX(G293:R293,1,MATCH(Parametres!$B$3,G$1:R$1,0))*IF(OR(F293="L",F293="S",F293="I"),-1,1)</f>
        <v>20258.09</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1767</v>
      </c>
      <c r="D294" s="706" t="s">
        <v>1768</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11376.09</v>
      </c>
      <c r="AM294" s="905">
        <f t="shared" si="17"/>
        <v>2129.2999999999993</v>
      </c>
      <c r="AN294" s="905">
        <f>INDEX(G294:R294,1,MATCH(Parametres!$B$3,G$1:R$1,0))*IF(OR(F294="L",F294="S",F294="I"),-1,1)</f>
        <v>13505.39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1769</v>
      </c>
      <c r="D295" s="706" t="s">
        <v>1770</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17064.14</v>
      </c>
      <c r="AM295" s="905">
        <f t="shared" si="17"/>
        <v>3193.9500000000007</v>
      </c>
      <c r="AN295" s="905">
        <f>INDEX(G295:R295,1,MATCH(Parametres!$B$3,G$1:R$1,0))*IF(OR(F295="L",F295="S",F295="I"),-1,1)</f>
        <v>20258.09</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1771</v>
      </c>
      <c r="D296" s="706" t="s">
        <v>1772</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5688.05</v>
      </c>
      <c r="AM296" s="905">
        <f t="shared" si="17"/>
        <v>1064.6499999999996</v>
      </c>
      <c r="AN296" s="905">
        <f>INDEX(G296:R296,1,MATCH(Parametres!$B$3,G$1:R$1,0))*IF(OR(F296="L",F296="S",F296="I"),-1,1)</f>
        <v>6752.7</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1773</v>
      </c>
      <c r="D297" s="706" t="s">
        <v>1774</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5688.03</v>
      </c>
      <c r="AM297" s="905">
        <f t="shared" si="17"/>
        <v>1064.6500000000005</v>
      </c>
      <c r="AN297" s="905">
        <f>INDEX(G297:R297,1,MATCH(Parametres!$B$3,G$1:R$1,0))*IF(OR(F297="L",F297="S",F297="I"),-1,1)</f>
        <v>6752.68</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1775</v>
      </c>
      <c r="D298" s="706" t="s">
        <v>1776</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1777</v>
      </c>
      <c r="D299" s="706" t="s">
        <v>1778</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299.89999999999998</v>
      </c>
      <c r="AM299" s="905">
        <f t="shared" si="17"/>
        <v>59.980000000000018</v>
      </c>
      <c r="AN299" s="905">
        <f>INDEX(G299:R299,1,MATCH(Parametres!$B$3,G$1:R$1,0))*IF(OR(F299="L",F299="S",F299="I"),-1,1)</f>
        <v>359.88</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1779</v>
      </c>
      <c r="D300" s="706" t="s">
        <v>1780</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187.45</v>
      </c>
      <c r="AM300" s="905">
        <f t="shared" si="17"/>
        <v>37.490000000000009</v>
      </c>
      <c r="AN300" s="905">
        <f>INDEX(G300:R300,1,MATCH(Parametres!$B$3,G$1:R$1,0))*IF(OR(F300="L",F300="S",F300="I"),-1,1)</f>
        <v>224.94</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1781</v>
      </c>
      <c r="D301" s="706" t="s">
        <v>1782</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3988.11</v>
      </c>
      <c r="AM301" s="905">
        <f t="shared" si="17"/>
        <v>491.69000000000005</v>
      </c>
      <c r="AN301" s="905">
        <f>INDEX(G301:R301,1,MATCH(Parametres!$B$3,G$1:R$1,0))*IF(OR(F301="L",F301="S",F301="I"),-1,1)</f>
        <v>4479.8</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1783</v>
      </c>
      <c r="D302" s="706" t="s">
        <v>1784</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37.5</v>
      </c>
      <c r="AM302" s="905">
        <f t="shared" si="17"/>
        <v>7.5</v>
      </c>
      <c r="AN302" s="905">
        <f>INDEX(G302:R302,1,MATCH(Parametres!$B$3,G$1:R$1,0))*IF(OR(F302="L",F302="S",F302="I"),-1,1)</f>
        <v>45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1785</v>
      </c>
      <c r="D303" s="706" t="s">
        <v>1786</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116.2</v>
      </c>
      <c r="AM303" s="905">
        <f t="shared" si="17"/>
        <v>68.959999999999994</v>
      </c>
      <c r="AN303" s="905">
        <f>INDEX(G303:R303,1,MATCH(Parametres!$B$3,G$1:R$1,0))*IF(OR(F303="L",F303="S",F303="I"),-1,1)</f>
        <v>185.16</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1787</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1788</v>
      </c>
      <c r="D305" s="706" t="s">
        <v>1789</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1790</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1791</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1792</v>
      </c>
      <c r="D308" s="706" t="s">
        <v>1793</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1794</v>
      </c>
      <c r="D309" s="706" t="s">
        <v>1795</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1796</v>
      </c>
      <c r="D310" s="706" t="s">
        <v>1797</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1798</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6446635.5800000001</v>
      </c>
      <c r="AM311" s="905">
        <f t="shared" si="17"/>
        <v>-5404583.4000000004</v>
      </c>
      <c r="AN311" s="905">
        <f>INDEX(G311:R311,1,MATCH(Parametres!$B$3,G$1:R$1,0))*IF(OR(F311="L",F311="S",F311="I"),-1,1)</f>
        <v>1042052.18</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1799</v>
      </c>
      <c r="D312" s="706" t="s">
        <v>1800</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1801</v>
      </c>
      <c r="D313" s="706" t="s">
        <v>1802</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1803</v>
      </c>
      <c r="D314" s="706" t="s">
        <v>1797</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1804</v>
      </c>
      <c r="D315" s="706" t="s">
        <v>1805</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-103.1</v>
      </c>
      <c r="AM315" s="905">
        <f t="shared" si="17"/>
        <v>1059.25</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1806</v>
      </c>
      <c r="D316" s="706" t="s">
        <v>1807</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1808</v>
      </c>
      <c r="D317" s="706" t="s">
        <v>1809</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1810</v>
      </c>
      <c r="D318" s="706" t="s">
        <v>1811</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1382623.28</v>
      </c>
      <c r="AM318" s="905">
        <f t="shared" si="17"/>
        <v>-521090.48</v>
      </c>
      <c r="AN318" s="905">
        <f>INDEX(G318:R318,1,MATCH(Parametres!$B$3,G$1:R$1,0))*IF(OR(F318="L",F318="S",F318="I"),-1,1)</f>
        <v>861532.8</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1812</v>
      </c>
      <c r="D319" s="706" t="s">
        <v>1813</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1814</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1815</v>
      </c>
      <c r="D321" s="706" t="s">
        <v>1816</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-14870.9</v>
      </c>
      <c r="AM321" s="905">
        <f t="shared" si="17"/>
        <v>-115480.53</v>
      </c>
      <c r="AN321" s="905">
        <f>INDEX(G321:R321,1,MATCH(Parametres!$B$3,G$1:R$1,0))*IF(OR(F321="L",F321="S",F321="I"),-1,1)</f>
        <v>-130351.43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1817</v>
      </c>
      <c r="D322" s="706" t="s">
        <v>1818</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1819</v>
      </c>
      <c r="D323" s="706" t="s">
        <v>1820</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653265.4</v>
      </c>
      <c r="AM323" s="905">
        <f t="shared" si="17"/>
        <v>79203.349999999977</v>
      </c>
      <c r="AN323" s="905">
        <f>INDEX(G323:R323,1,MATCH(Parametres!$B$3,G$1:R$1,0))*IF(OR(F323="L",F323="S",F323="I"),-1,1)</f>
        <v>732468.75</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1821</v>
      </c>
      <c r="D324" s="706" t="s">
        <v>1822</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39273.97</v>
      </c>
      <c r="AM324" s="905">
        <f t="shared" ref="AM324:AM387" si="21">AN324-AL324</f>
        <v>-119756.07</v>
      </c>
      <c r="AN324" s="905">
        <f>INDEX(G324:R324,1,MATCH(Parametres!$B$3,G$1:R$1,0))*IF(OR(F324="L",F324="S",F324="I"),-1,1)</f>
        <v>-80482.100000000006</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1823</v>
      </c>
      <c r="D325" s="706" t="s">
        <v>1824</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73119.649999999994</v>
      </c>
      <c r="AM325" s="905">
        <f t="shared" si="21"/>
        <v>-61155.619999999995</v>
      </c>
      <c r="AN325" s="905">
        <f>INDEX(G325:R325,1,MATCH(Parametres!$B$3,G$1:R$1,0))*IF(OR(F325="L",F325="S",F325="I"),-1,1)</f>
        <v>11964.03</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1825</v>
      </c>
      <c r="D326" s="706" t="s">
        <v>1826</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25676.25</v>
      </c>
      <c r="AM326" s="905">
        <f t="shared" si="21"/>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1827</v>
      </c>
      <c r="D327" s="706" t="s">
        <v>1828</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97530.87</v>
      </c>
      <c r="AM327" s="905">
        <f t="shared" si="21"/>
        <v>5630.4100000000035</v>
      </c>
      <c r="AN327" s="905">
        <f>INDEX(G327:R327,1,MATCH(Parametres!$B$3,G$1:R$1,0))*IF(OR(F327="L",F327="S",F327="I"),-1,1)</f>
        <v>103161.28</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1829</v>
      </c>
      <c r="D328" s="706" t="s">
        <v>1830</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1215507.83</v>
      </c>
      <c r="AM328" s="905">
        <f t="shared" si="21"/>
        <v>-290972.00000000012</v>
      </c>
      <c r="AN328" s="905">
        <f>INDEX(G328:R328,1,MATCH(Parametres!$B$3,G$1:R$1,0))*IF(OR(F328="L",F328="S",F328="I"),-1,1)</f>
        <v>924535.83</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1831</v>
      </c>
      <c r="D329" s="706" t="s">
        <v>1832</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42626.15</v>
      </c>
      <c r="AM329" s="905">
        <f t="shared" si="21"/>
        <v>400</v>
      </c>
      <c r="AN329" s="905">
        <f>INDEX(G329:R329,1,MATCH(Parametres!$B$3,G$1:R$1,0))*IF(OR(F329="L",F329="S",F329="I"),-1,1)</f>
        <v>43026.15</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1833</v>
      </c>
      <c r="D330" s="706" t="s">
        <v>1834</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684504.37</v>
      </c>
      <c r="AM330" s="905">
        <f t="shared" si="21"/>
        <v>48133.010000000009</v>
      </c>
      <c r="AN330" s="905">
        <f>INDEX(G330:R330,1,MATCH(Parametres!$B$3,G$1:R$1,0))*IF(OR(F330="L",F330="S",F330="I"),-1,1)</f>
        <v>732637.38</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1835</v>
      </c>
      <c r="D331" s="706" t="s">
        <v>1836</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2327812.0099999998</v>
      </c>
      <c r="AM331" s="905">
        <f t="shared" si="21"/>
        <v>-1658402.8599999999</v>
      </c>
      <c r="AN331" s="905">
        <f>INDEX(G331:R331,1,MATCH(Parametres!$B$3,G$1:R$1,0))*IF(OR(F331="L",F331="S",F331="I"),-1,1)</f>
        <v>669409.15</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1837</v>
      </c>
      <c r="D332" s="706" t="s">
        <v>1797</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1838</v>
      </c>
      <c r="D333" s="706" t="s">
        <v>1839</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-112519.81</v>
      </c>
      <c r="AM333" s="905">
        <f t="shared" si="21"/>
        <v>1492082.02</v>
      </c>
      <c r="AN333" s="905">
        <f>INDEX(G333:R333,1,MATCH(Parametres!$B$3,G$1:R$1,0))*IF(OR(F333="L",F333="S",F333="I"),-1,1)</f>
        <v>1379562.21</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1840</v>
      </c>
      <c r="D334" s="706" t="s">
        <v>1841</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178440.66</v>
      </c>
      <c r="AM334" s="905">
        <f t="shared" si="21"/>
        <v>33956.299999999988</v>
      </c>
      <c r="AN334" s="905">
        <f>INDEX(G334:R334,1,MATCH(Parametres!$B$3,G$1:R$1,0))*IF(OR(F334="L",F334="S",F334="I"),-1,1)</f>
        <v>212396.96</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1842</v>
      </c>
      <c r="D335" s="706" t="s">
        <v>1843</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1844</v>
      </c>
      <c r="D336" s="706" t="s">
        <v>1845</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138292.03</v>
      </c>
      <c r="AM336" s="905">
        <f t="shared" si="21"/>
        <v>-187057.53</v>
      </c>
      <c r="AN336" s="905">
        <f>INDEX(G336:R336,1,MATCH(Parametres!$B$3,G$1:R$1,0))*IF(OR(F336="L",F336="S",F336="I"),-1,1)</f>
        <v>-48765.5</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1846</v>
      </c>
      <c r="D337" s="706" t="s">
        <v>1847</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39640.29</v>
      </c>
      <c r="AM337" s="905">
        <f t="shared" si="21"/>
        <v>405567.7</v>
      </c>
      <c r="AN337" s="905">
        <f>INDEX(G337:R337,1,MATCH(Parametres!$B$3,G$1:R$1,0))*IF(OR(F337="L",F337="S",F337="I"),-1,1)</f>
        <v>445207.99</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1848</v>
      </c>
      <c r="D338" s="706" t="s">
        <v>1849</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-51525.95</v>
      </c>
      <c r="AM338" s="905">
        <f t="shared" si="21"/>
        <v>51525.95</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1850</v>
      </c>
      <c r="D339" s="706" t="s">
        <v>1851</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1852</v>
      </c>
      <c r="D340" s="706" t="s">
        <v>1853</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1854</v>
      </c>
      <c r="D341" s="706" t="s">
        <v>1855</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1856</v>
      </c>
      <c r="D342" s="706" t="s">
        <v>1857</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424368.22</v>
      </c>
      <c r="AM342" s="905">
        <f t="shared" si="21"/>
        <v>610053.39</v>
      </c>
      <c r="AN342" s="905">
        <f>INDEX(G342:R342,1,MATCH(Parametres!$B$3,G$1:R$1,0))*IF(OR(F342="L",F342="S",F342="I"),-1,1)</f>
        <v>1034421.61</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1858</v>
      </c>
      <c r="D343" s="706" t="s">
        <v>1859</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1860</v>
      </c>
      <c r="D344" s="706" t="s">
        <v>1861</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1156021.21</v>
      </c>
      <c r="AM344" s="905">
        <f t="shared" si="21"/>
        <v>-407013.14999999991</v>
      </c>
      <c r="AN344" s="905">
        <f>INDEX(G344:R344,1,MATCH(Parametres!$B$3,G$1:R$1,0))*IF(OR(F344="L",F344="S",F344="I"),-1,1)</f>
        <v>749008.06</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1862</v>
      </c>
      <c r="D345" s="706" t="s">
        <v>1863</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1864</v>
      </c>
      <c r="D346" s="706" t="s">
        <v>1865</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1866</v>
      </c>
      <c r="D347" s="706" t="s">
        <v>1867</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265253.07</v>
      </c>
      <c r="AM347" s="905">
        <f t="shared" si="21"/>
        <v>793599.11999999988</v>
      </c>
      <c r="AN347" s="905">
        <f>INDEX(G347:R347,1,MATCH(Parametres!$B$3,G$1:R$1,0))*IF(OR(F347="L",F347="S",F347="I"),-1,1)</f>
        <v>1058852.19</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1868</v>
      </c>
      <c r="D348" s="706" t="s">
        <v>1869</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500553.25</v>
      </c>
      <c r="AM348" s="905">
        <f t="shared" si="21"/>
        <v>192405.80000000005</v>
      </c>
      <c r="AN348" s="905">
        <f>INDEX(G348:R348,1,MATCH(Parametres!$B$3,G$1:R$1,0))*IF(OR(F348="L",F348="S",F348="I"),-1,1)</f>
        <v>692959.05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1870</v>
      </c>
      <c r="D349" s="706" t="s">
        <v>1871</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278.81</v>
      </c>
      <c r="AM349" s="905">
        <f t="shared" si="21"/>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1872</v>
      </c>
      <c r="D350" s="706" t="s">
        <v>1873</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1874</v>
      </c>
      <c r="D351" s="706" t="s">
        <v>1875</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1671139.99</v>
      </c>
      <c r="AM351" s="905">
        <f t="shared" si="21"/>
        <v>-638119.49</v>
      </c>
      <c r="AN351" s="905">
        <f>INDEX(G351:R351,1,MATCH(Parametres!$B$3,G$1:R$1,0))*IF(OR(F351="L",F351="S",F351="I"),-1,1)</f>
        <v>1033020.5</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1876</v>
      </c>
      <c r="D352" s="706" t="s">
        <v>1877</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-393693.51</v>
      </c>
      <c r="AM352" s="905">
        <f t="shared" si="21"/>
        <v>118673.23999999999</v>
      </c>
      <c r="AN352" s="905">
        <f>INDEX(G352:R352,1,MATCH(Parametres!$B$3,G$1:R$1,0))*IF(OR(F352="L",F352="S",F352="I"),-1,1)</f>
        <v>-275020.27</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1878</v>
      </c>
      <c r="D353" s="706" t="s">
        <v>1879</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1880</v>
      </c>
      <c r="D354" s="706" t="s">
        <v>1881</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1453.78</v>
      </c>
      <c r="AM354" s="905">
        <f t="shared" si="21"/>
        <v>339.06999999999994</v>
      </c>
      <c r="AN354" s="905">
        <f>INDEX(G354:R354,1,MATCH(Parametres!$B$3,G$1:R$1,0))*IF(OR(F354="L",F354="S",F354="I"),-1,1)</f>
        <v>1792.85</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1882</v>
      </c>
      <c r="D355" s="706" t="s">
        <v>1883</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84596.24</v>
      </c>
      <c r="AM355" s="905">
        <f t="shared" si="21"/>
        <v>25000</v>
      </c>
      <c r="AN355" s="905">
        <f>INDEX(G355:R355,1,MATCH(Parametres!$B$3,G$1:R$1,0))*IF(OR(F355="L",F355="S",F355="I"),-1,1)</f>
        <v>109596.24</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1884</v>
      </c>
      <c r="D356" s="706" t="s">
        <v>1885</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25000</v>
      </c>
      <c r="AM356" s="905">
        <f t="shared" si="21"/>
        <v>-25000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1886</v>
      </c>
      <c r="D357" s="706" t="s">
        <v>1887</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-19118.07</v>
      </c>
      <c r="AM357" s="905">
        <f t="shared" si="21"/>
        <v>19244.55</v>
      </c>
      <c r="AN357" s="905">
        <f>INDEX(G357:R357,1,MATCH(Parametres!$B$3,G$1:R$1,0))*IF(OR(F357="L",F357="S",F357="I"),-1,1)</f>
        <v>126.48</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1888</v>
      </c>
      <c r="D358" s="706" t="s">
        <v>1889</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1890</v>
      </c>
      <c r="D359" s="706" t="s">
        <v>1891</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1892</v>
      </c>
      <c r="D360" s="706" t="s">
        <v>1893</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1894</v>
      </c>
      <c r="D361" s="706" t="s">
        <v>1895</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1900</v>
      </c>
      <c r="D362" s="706" t="s">
        <v>1901</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1902</v>
      </c>
      <c r="D363" s="706" t="s">
        <v>1903</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4189666.78</v>
      </c>
      <c r="AM363" s="905">
        <f t="shared" si="21"/>
        <v>-11668.549999999814</v>
      </c>
      <c r="AN363" s="905">
        <f>INDEX(G363:R363,1,MATCH(Parametres!$B$3,G$1:R$1,0))*IF(OR(F363="L",F363="S",F363="I"),-1,1)</f>
        <v>4177998.23</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1904</v>
      </c>
      <c r="D364" s="706" t="s">
        <v>1905</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1906</v>
      </c>
      <c r="D365" s="706" t="s">
        <v>1907</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1908</v>
      </c>
      <c r="D366" s="706" t="s">
        <v>1909</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1910</v>
      </c>
      <c r="D367" s="706" t="s">
        <v>1911</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1912</v>
      </c>
      <c r="D368" s="706" t="s">
        <v>1913</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0</v>
      </c>
      <c r="AM368" s="905">
        <f t="shared" si="21"/>
        <v>0</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1914</v>
      </c>
      <c r="D369" s="706" t="s">
        <v>1915</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1916</v>
      </c>
      <c r="D370" s="706" t="s">
        <v>1917</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1918</v>
      </c>
      <c r="D371" s="706" t="s">
        <v>1919</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1920</v>
      </c>
      <c r="D372" s="706" t="s">
        <v>1921</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1922</v>
      </c>
      <c r="D373" s="706" t="s">
        <v>1923</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1924</v>
      </c>
      <c r="D374" s="706" t="s">
        <v>1925</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0</v>
      </c>
      <c r="AM374" s="905">
        <f t="shared" si="21"/>
        <v>93830</v>
      </c>
      <c r="AN374" s="905">
        <f>INDEX(G374:R374,1,MATCH(Parametres!$B$3,G$1:R$1,0))*IF(OR(F374="L",F374="S",F374="I"),-1,1)</f>
        <v>93830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1926</v>
      </c>
      <c r="D375" s="706" t="s">
        <v>1927</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1928</v>
      </c>
      <c r="D376" s="706" t="s">
        <v>1929</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32043485.539999999</v>
      </c>
      <c r="AM376" s="905">
        <f t="shared" si="21"/>
        <v>-9391436.9800000004</v>
      </c>
      <c r="AN376" s="905">
        <f>INDEX(G376:R376,1,MATCH(Parametres!$B$3,G$1:R$1,0))*IF(OR(F376="L",F376="S",F376="I"),-1,1)</f>
        <v>22652048.559999999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1930</v>
      </c>
      <c r="D377" s="706" t="s">
        <v>1931</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466405.13</v>
      </c>
      <c r="AM377" s="905">
        <f t="shared" si="21"/>
        <v>-117115.89000000001</v>
      </c>
      <c r="AN377" s="905">
        <f>INDEX(G377:R377,1,MATCH(Parametres!$B$3,G$1:R$1,0))*IF(OR(F377="L",F377="S",F377="I"),-1,1)</f>
        <v>349289.24</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1932</v>
      </c>
      <c r="D378" s="706" t="s">
        <v>1933</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1934</v>
      </c>
      <c r="D379" s="706" t="s">
        <v>1935</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3178901.77</v>
      </c>
      <c r="AM379" s="905">
        <f t="shared" si="21"/>
        <v>-431573.12000000011</v>
      </c>
      <c r="AN379" s="905">
        <f>INDEX(G379:R379,1,MATCH(Parametres!$B$3,G$1:R$1,0))*IF(OR(F379="L",F379="S",F379="I"),-1,1)</f>
        <v>2747328.65</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1936</v>
      </c>
      <c r="D380" s="706" t="s">
        <v>1937</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13106556.949999999</v>
      </c>
      <c r="AM380" s="905">
        <f t="shared" si="21"/>
        <v>-6110598.6399999997</v>
      </c>
      <c r="AN380" s="905">
        <f>INDEX(G380:R380,1,MATCH(Parametres!$B$3,G$1:R$1,0))*IF(OR(F380="L",F380="S",F380="I"),-1,1)</f>
        <v>6995958.3099999996</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1938</v>
      </c>
      <c r="D381" s="706" t="s">
        <v>1939</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1940</v>
      </c>
      <c r="D382" s="706" t="s">
        <v>1941</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66601.11</v>
      </c>
      <c r="AM382" s="905">
        <f t="shared" si="21"/>
        <v>180001.16999999998</v>
      </c>
      <c r="AN382" s="905">
        <f>INDEX(G382:R382,1,MATCH(Parametres!$B$3,G$1:R$1,0))*IF(OR(F382="L",F382="S",F382="I"),-1,1)</f>
        <v>246602.28</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1942</v>
      </c>
      <c r="D383" s="706" t="s">
        <v>1943</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311747.68</v>
      </c>
      <c r="AM383" s="905">
        <f t="shared" si="21"/>
        <v>-176555.02</v>
      </c>
      <c r="AN383" s="905">
        <f>INDEX(G383:R383,1,MATCH(Parametres!$B$3,G$1:R$1,0))*IF(OR(F383="L",F383="S",F383="I"),-1,1)</f>
        <v>135192.66</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1944</v>
      </c>
      <c r="D384" s="706" t="s">
        <v>1945</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1946</v>
      </c>
      <c r="D385" s="706" t="s">
        <v>3107</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25759.58</v>
      </c>
      <c r="AM385" s="905">
        <f t="shared" si="21"/>
        <v>11262.049999999996</v>
      </c>
      <c r="AN385" s="905">
        <f>INDEX(G385:R385,1,MATCH(Parametres!$B$3,G$1:R$1,0))*IF(OR(F385="L",F385="S",F385="I"),-1,1)</f>
        <v>37021.629999999997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1948</v>
      </c>
      <c r="D386" s="706" t="s">
        <v>1949</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47889.58</v>
      </c>
      <c r="AM386" s="905">
        <f t="shared" si="21"/>
        <v>1971.5199999999968</v>
      </c>
      <c r="AN386" s="905">
        <f>INDEX(G386:R386,1,MATCH(Parametres!$B$3,G$1:R$1,0))*IF(OR(F386="L",F386="S",F386="I"),-1,1)</f>
        <v>49861.1</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1956</v>
      </c>
      <c r="D387" s="706" t="s">
        <v>1957</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1189.28</v>
      </c>
      <c r="AM387" s="905">
        <f t="shared" si="21"/>
        <v>-177.53999999999996</v>
      </c>
      <c r="AN387" s="905">
        <f>INDEX(G387:R387,1,MATCH(Parametres!$B$3,G$1:R$1,0))*IF(OR(F387="L",F387="S",F387="I"),-1,1)</f>
        <v>1011.74</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1958</v>
      </c>
      <c r="D388" s="706" t="s">
        <v>1959</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33707.629999999997</v>
      </c>
      <c r="AM388" s="905">
        <f t="shared" ref="AM388:AM451" si="25">AN388-AL388</f>
        <v>13897.150000000001</v>
      </c>
      <c r="AN388" s="905">
        <f>INDEX(G388:R388,1,MATCH(Parametres!$B$3,G$1:R$1,0))*IF(OR(F388="L",F388="S",F388="I"),-1,1)</f>
        <v>47604.78</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1962</v>
      </c>
      <c r="D389" s="706" t="s">
        <v>1963</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11823.78</v>
      </c>
      <c r="AM389" s="905">
        <f t="shared" si="25"/>
        <v>-7885.9500000000007</v>
      </c>
      <c r="AN389" s="905">
        <f>INDEX(G389:R389,1,MATCH(Parametres!$B$3,G$1:R$1,0))*IF(OR(F389="L",F389="S",F389="I"),-1,1)</f>
        <v>3937.83</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1966</v>
      </c>
      <c r="D390" s="706" t="s">
        <v>1967</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5738.46</v>
      </c>
      <c r="AM390" s="905">
        <f t="shared" si="25"/>
        <v>-926.61999999999989</v>
      </c>
      <c r="AN390" s="905">
        <f>INDEX(G390:R390,1,MATCH(Parametres!$B$3,G$1:R$1,0))*IF(OR(F390="L",F390="S",F390="I"),-1,1)</f>
        <v>4811.84</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1970</v>
      </c>
      <c r="D391" s="706" t="s">
        <v>1971</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208078.66</v>
      </c>
      <c r="AM391" s="905">
        <f t="shared" si="25"/>
        <v>-50578.66</v>
      </c>
      <c r="AN391" s="905">
        <f>INDEX(G391:R391,1,MATCH(Parametres!$B$3,G$1:R$1,0))*IF(OR(F391="L",F391="S",F391="I"),-1,1)</f>
        <v>157500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1972</v>
      </c>
      <c r="D392" s="706" t="s">
        <v>1973</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1974</v>
      </c>
      <c r="D393" s="706" t="s">
        <v>1975</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1976</v>
      </c>
      <c r="D394" s="706" t="s">
        <v>1977</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307759</v>
      </c>
      <c r="AM394" s="905">
        <f t="shared" si="25"/>
        <v>-580635.02</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1978</v>
      </c>
      <c r="D395" s="706" t="s">
        <v>1979</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-47306.8</v>
      </c>
      <c r="AM395" s="905">
        <f t="shared" si="25"/>
        <v>26264.440000000002</v>
      </c>
      <c r="AN395" s="905">
        <f>INDEX(G395:R395,1,MATCH(Parametres!$B$3,G$1:R$1,0))*IF(OR(F395="L",F395="S",F395="I"),-1,1)</f>
        <v>-21042.36</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1980</v>
      </c>
      <c r="D396" s="706" t="s">
        <v>1981</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257039.09</v>
      </c>
      <c r="AM396" s="905">
        <f t="shared" si="25"/>
        <v>118643.37000000002</v>
      </c>
      <c r="AN396" s="905">
        <f>INDEX(G396:R396,1,MATCH(Parametres!$B$3,G$1:R$1,0))*IF(OR(F396="L",F396="S",F396="I"),-1,1)</f>
        <v>375682.46</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1982</v>
      </c>
      <c r="D397" s="706" t="s">
        <v>1983</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146609</v>
      </c>
      <c r="AM397" s="905">
        <f t="shared" si="25"/>
        <v>386319.86</v>
      </c>
      <c r="AN397" s="905">
        <f>INDEX(G397:R397,1,MATCH(Parametres!$B$3,G$1:R$1,0))*IF(OR(F397="L",F397="S",F397="I"),-1,1)</f>
        <v>532928.86</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1984</v>
      </c>
      <c r="D398" s="706" t="s">
        <v>1985</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17300.34</v>
      </c>
      <c r="AM398" s="905">
        <f t="shared" si="25"/>
        <v>-2653.2000000000007</v>
      </c>
      <c r="AN398" s="905">
        <f>INDEX(G398:R398,1,MATCH(Parametres!$B$3,G$1:R$1,0))*IF(OR(F398="L",F398="S",F398="I"),-1,1)</f>
        <v>14647.14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1986</v>
      </c>
      <c r="D399" s="706" t="s">
        <v>1987</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24096.62</v>
      </c>
      <c r="AM399" s="905">
        <f t="shared" si="25"/>
        <v>-11313.829999999998</v>
      </c>
      <c r="AN399" s="905">
        <f>INDEX(G399:R399,1,MATCH(Parametres!$B$3,G$1:R$1,0))*IF(OR(F399="L",F399="S",F399="I"),-1,1)</f>
        <v>12782.79</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1988</v>
      </c>
      <c r="D400" s="706" t="s">
        <v>1989</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1990</v>
      </c>
      <c r="D401" s="706" t="s">
        <v>1991</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1992</v>
      </c>
      <c r="D402" s="706" t="s">
        <v>1993</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1994</v>
      </c>
      <c r="D403" s="706" t="s">
        <v>1995</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1244163.44</v>
      </c>
      <c r="AM403" s="905">
        <f t="shared" si="25"/>
        <v>0</v>
      </c>
      <c r="AN403" s="905">
        <f>INDEX(G403:R403,1,MATCH(Parametres!$B$3,G$1:R$1,0))*IF(OR(F403="L",F403="S",F403="I"),-1,1)</f>
        <v>1244163.44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1996</v>
      </c>
      <c r="D404" s="706" t="s">
        <v>1997</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-19995.04</v>
      </c>
      <c r="AM404" s="905">
        <f t="shared" si="25"/>
        <v>-4558</v>
      </c>
      <c r="AN404" s="905">
        <f>INDEX(G404:R404,1,MATCH(Parametres!$B$3,G$1:R$1,0))*IF(OR(F404="L",F404="S",F404="I"),-1,1)</f>
        <v>-24553.040000000001</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2000</v>
      </c>
      <c r="D405" s="706" t="s">
        <v>2001</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91515.18</v>
      </c>
      <c r="AM405" s="905">
        <f t="shared" si="25"/>
        <v>-13073.609999999986</v>
      </c>
      <c r="AN405" s="905">
        <f>INDEX(G405:R405,1,MATCH(Parametres!$B$3,G$1:R$1,0))*IF(OR(F405="L",F405="S",F405="I"),-1,1)</f>
        <v>78441.570000000007</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2002</v>
      </c>
      <c r="D406" s="706" t="s">
        <v>2003</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237687.76</v>
      </c>
      <c r="AM406" s="905">
        <f t="shared" si="25"/>
        <v>2128665.7000000002</v>
      </c>
      <c r="AN406" s="905">
        <f>INDEX(G406:R406,1,MATCH(Parametres!$B$3,G$1:R$1,0))*IF(OR(F406="L",F406="S",F406="I"),-1,1)</f>
        <v>2366353.46</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2004</v>
      </c>
      <c r="D407" s="706" t="s">
        <v>2005</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2018</v>
      </c>
      <c r="D408" s="706" t="s">
        <v>2019</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2020</v>
      </c>
      <c r="D409" s="706" t="s">
        <v>2021</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2022</v>
      </c>
      <c r="D410" s="706" t="s">
        <v>2023</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1648094.55</v>
      </c>
      <c r="AM410" s="905">
        <f t="shared" si="25"/>
        <v>0</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2026</v>
      </c>
      <c r="D411" s="706" t="s">
        <v>2027</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2028</v>
      </c>
      <c r="D412" s="706" t="s">
        <v>2029</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357496.74</v>
      </c>
      <c r="AM412" s="905">
        <f t="shared" si="25"/>
        <v>382.98999999999069</v>
      </c>
      <c r="AN412" s="905">
        <f>INDEX(G412:R412,1,MATCH(Parametres!$B$3,G$1:R$1,0))*IF(OR(F412="L",F412="S",F412="I"),-1,1)</f>
        <v>357879.73</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2030</v>
      </c>
      <c r="D413" s="706" t="s">
        <v>2031</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2032</v>
      </c>
      <c r="D414" s="706" t="s">
        <v>2033</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231337.34</v>
      </c>
      <c r="AM414" s="905">
        <f t="shared" si="25"/>
        <v>-23975</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2034</v>
      </c>
      <c r="D415" s="706" t="s">
        <v>2035</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253962.99</v>
      </c>
      <c r="AM415" s="905">
        <f t="shared" si="25"/>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2036</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2037</v>
      </c>
      <c r="D417" s="706" t="s">
        <v>2038</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2039</v>
      </c>
      <c r="D418" s="706" t="s">
        <v>2040</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2041</v>
      </c>
      <c r="D419" s="706" t="s">
        <v>2042</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9500000</v>
      </c>
      <c r="AM419" s="905">
        <f t="shared" si="25"/>
        <v>1000000</v>
      </c>
      <c r="AN419" s="905">
        <f>INDEX(G419:R419,1,MATCH(Parametres!$B$3,G$1:R$1,0))*IF(OR(F419="L",F419="S",F419="I"),-1,1)</f>
        <v>10500000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2043</v>
      </c>
      <c r="D420" s="706" t="s">
        <v>2044</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2045</v>
      </c>
      <c r="D421" s="706" t="s">
        <v>2046</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2047</v>
      </c>
      <c r="D422" s="706" t="s">
        <v>2048</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-1429956.42</v>
      </c>
      <c r="AM422" s="905">
        <f t="shared" si="25"/>
        <v>912841.84999999986</v>
      </c>
      <c r="AN422" s="905">
        <f>INDEX(G422:R422,1,MATCH(Parametres!$B$3,G$1:R$1,0))*IF(OR(F422="L",F422="S",F422="I"),-1,1)</f>
        <v>-517114.57</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2049</v>
      </c>
      <c r="D423" s="706" t="s">
        <v>2050</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2051</v>
      </c>
      <c r="D424" s="706" t="s">
        <v>2052</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2053</v>
      </c>
      <c r="D425" s="706" t="s">
        <v>2054</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3079.08</v>
      </c>
      <c r="AM425" s="905">
        <f t="shared" si="25"/>
        <v>-7349.61</v>
      </c>
      <c r="AN425" s="905">
        <f>INDEX(G425:R425,1,MATCH(Parametres!$B$3,G$1:R$1,0))*IF(OR(F425="L",F425="S",F425="I"),-1,1)</f>
        <v>-4270.53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2055</v>
      </c>
      <c r="D426" s="706" t="s">
        <v>2056</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-7951</v>
      </c>
      <c r="AM426" s="905">
        <f t="shared" si="25"/>
        <v>4180</v>
      </c>
      <c r="AN426" s="905">
        <f>INDEX(G426:R426,1,MATCH(Parametres!$B$3,G$1:R$1,0))*IF(OR(F426="L",F426="S",F426="I"),-1,1)</f>
        <v>-3771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2057</v>
      </c>
      <c r="D427" s="706" t="s">
        <v>2058</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-144500</v>
      </c>
      <c r="AM427" s="905">
        <f t="shared" si="25"/>
        <v>100000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2059</v>
      </c>
      <c r="D428" s="706" t="s">
        <v>2060</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-1218649</v>
      </c>
      <c r="AM428" s="905">
        <f t="shared" si="25"/>
        <v>-688015.06</v>
      </c>
      <c r="AN428" s="905">
        <f>INDEX(G428:R428,1,MATCH(Parametres!$B$3,G$1:R$1,0))*IF(OR(F428="L",F428="S",F428="I"),-1,1)</f>
        <v>-1906664.06</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2061</v>
      </c>
      <c r="D429" s="706" t="s">
        <v>2062</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2063</v>
      </c>
      <c r="D430" s="706" t="s">
        <v>2064</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100000</v>
      </c>
      <c r="AM430" s="905">
        <f t="shared" si="25"/>
        <v>-100000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2065</v>
      </c>
      <c r="D431" s="706" t="s">
        <v>2066</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0</v>
      </c>
      <c r="AM431" s="905">
        <f t="shared" si="25"/>
        <v>102129</v>
      </c>
      <c r="AN431" s="905">
        <f>INDEX(G431:R431,1,MATCH(Parametres!$B$3,G$1:R$1,0))*IF(OR(F431="L",F431="S",F431="I"),-1,1)</f>
        <v>102129</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2067</v>
      </c>
      <c r="D432" s="706" t="s">
        <v>2068</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-440507.43</v>
      </c>
      <c r="AM432" s="905">
        <f t="shared" si="25"/>
        <v>188468.65</v>
      </c>
      <c r="AN432" s="905">
        <f>INDEX(G432:R432,1,MATCH(Parametres!$B$3,G$1:R$1,0))*IF(OR(F432="L",F432="S",F432="I"),-1,1)</f>
        <v>-252038.78</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2069</v>
      </c>
      <c r="D433" s="706" t="s">
        <v>2070</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2071</v>
      </c>
      <c r="D434" s="706" t="s">
        <v>2072</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-353738.07</v>
      </c>
      <c r="AM434" s="905">
        <f t="shared" si="25"/>
        <v>-611184.58000000007</v>
      </c>
      <c r="AN434" s="905">
        <f>INDEX(G434:R434,1,MATCH(Parametres!$B$3,G$1:R$1,0))*IF(OR(F434="L",F434="S",F434="I"),-1,1)</f>
        <v>-964922.65</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2073</v>
      </c>
      <c r="D435" s="706" t="s">
        <v>2074</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2075</v>
      </c>
      <c r="D436" s="706" t="s">
        <v>2076</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0</v>
      </c>
      <c r="AM436" s="905">
        <f t="shared" si="25"/>
        <v>-100000</v>
      </c>
      <c r="AN436" s="905">
        <f>INDEX(G436:R436,1,MATCH(Parametres!$B$3,G$1:R$1,0))*IF(OR(F436="L",F436="S",F436="I"),-1,1)</f>
        <v>-100000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2077</v>
      </c>
      <c r="D437" s="706" t="s">
        <v>2078</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0</v>
      </c>
      <c r="AM437" s="905">
        <f t="shared" si="25"/>
        <v>-181687</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2081</v>
      </c>
      <c r="D438" s="706" t="s">
        <v>2082</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2084</v>
      </c>
      <c r="D439" s="706" t="s">
        <v>2085</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2086</v>
      </c>
      <c r="D440" s="706" t="s">
        <v>2087</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-42163816.810000002</v>
      </c>
      <c r="AM440" s="905">
        <f t="shared" si="25"/>
        <v>12418003.630000003</v>
      </c>
      <c r="AN440" s="905">
        <f>INDEX(G440:R440,1,MATCH(Parametres!$B$3,G$1:R$1,0))*IF(OR(F440="L",F440="S",F440="I"),-1,1)</f>
        <v>-29745813.18</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2088</v>
      </c>
      <c r="D441" s="706" t="s">
        <v>2089</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-16835557.010000002</v>
      </c>
      <c r="AM441" s="905">
        <f t="shared" si="25"/>
        <v>6182837.2800000012</v>
      </c>
      <c r="AN441" s="905">
        <f>INDEX(G441:R441,1,MATCH(Parametres!$B$3,G$1:R$1,0))*IF(OR(F441="L",F441="S",F441="I"),-1,1)</f>
        <v>-10652719.73</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2090</v>
      </c>
      <c r="D442" s="706" t="s">
        <v>2091</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2092</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2093</v>
      </c>
      <c r="D444" s="706" t="s">
        <v>2094</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2095</v>
      </c>
      <c r="D445" s="706" t="s">
        <v>2096</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73648</v>
      </c>
      <c r="AM445" s="905">
        <f t="shared" si="25"/>
        <v>0</v>
      </c>
      <c r="AN445" s="905">
        <f>INDEX(G445:R445,1,MATCH(Parametres!$B$3,G$1:R$1,0))*IF(OR(F445="L",F445="S",F445="I"),-1,1)</f>
        <v>73648</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2097</v>
      </c>
      <c r="D446" s="706" t="s">
        <v>2098</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-12097.82</v>
      </c>
      <c r="AM446" s="905">
        <f t="shared" si="25"/>
        <v>2333.92</v>
      </c>
      <c r="AN446" s="905">
        <f>INDEX(G446:R446,1,MATCH(Parametres!$B$3,G$1:R$1,0))*IF(OR(F446="L",F446="S",F446="I"),-1,1)</f>
        <v>-9763.9</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2099</v>
      </c>
      <c r="D447" s="706" t="s">
        <v>2100</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0</v>
      </c>
      <c r="AM447" s="905">
        <f t="shared" si="25"/>
        <v>-17378.509999999998</v>
      </c>
      <c r="AN447" s="905">
        <f>INDEX(G447:R447,1,MATCH(Parametres!$B$3,G$1:R$1,0))*IF(OR(F447="L",F447="S",F447="I"),-1,1)</f>
        <v>-17378.509999999998</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2101</v>
      </c>
      <c r="D448" s="706" t="s">
        <v>2102</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-68506.27</v>
      </c>
      <c r="AM448" s="905">
        <f t="shared" si="25"/>
        <v>-12441.759999999995</v>
      </c>
      <c r="AN448" s="905">
        <f>INDEX(G448:R448,1,MATCH(Parametres!$B$3,G$1:R$1,0))*IF(OR(F448="L",F448="S",F448="I"),-1,1)</f>
        <v>-80948.03</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2103</v>
      </c>
      <c r="D449" s="706" t="s">
        <v>2104</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2105</v>
      </c>
      <c r="D450" s="706" t="s">
        <v>2106</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2107</v>
      </c>
      <c r="D451" s="706" t="s">
        <v>2108</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2109</v>
      </c>
      <c r="D452" s="706" t="s">
        <v>2110</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2111</v>
      </c>
      <c r="D453" s="706" t="s">
        <v>2112</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790518</v>
      </c>
      <c r="AM453" s="905">
        <f t="shared" si="29"/>
        <v>-542861.22</v>
      </c>
      <c r="AN453" s="905">
        <f>INDEX(G453:R453,1,MATCH(Parametres!$B$3,G$1:R$1,0))*IF(OR(F453="L",F453="S",F453="I"),-1,1)</f>
        <v>247656.78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2113</v>
      </c>
      <c r="D454" s="706" t="s">
        <v>2114</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2115</v>
      </c>
      <c r="D455" s="706" t="s">
        <v>2116</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632284</v>
      </c>
      <c r="AM455" s="905">
        <f t="shared" si="29"/>
        <v>-311520.27</v>
      </c>
      <c r="AN455" s="905">
        <f>INDEX(G455:R455,1,MATCH(Parametres!$B$3,G$1:R$1,0))*IF(OR(F455="L",F455="S",F455="I"),-1,1)</f>
        <v>320763.73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2117</v>
      </c>
      <c r="D456" s="706" t="s">
        <v>2118</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2119</v>
      </c>
      <c r="D457" s="706" t="s">
        <v>2120</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2121</v>
      </c>
      <c r="D458" s="706" t="s">
        <v>2122</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2123</v>
      </c>
      <c r="D459" s="706" t="s">
        <v>2124</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2125</v>
      </c>
      <c r="D460" s="706" t="s">
        <v>2126</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2127</v>
      </c>
      <c r="D461" s="706" t="s">
        <v>2128</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-4010.14</v>
      </c>
      <c r="AM461" s="905">
        <f t="shared" si="29"/>
        <v>-229.9699999999998</v>
      </c>
      <c r="AN461" s="905">
        <f>INDEX(G461:R461,1,MATCH(Parametres!$B$3,G$1:R$1,0))*IF(OR(F461="L",F461="S",F461="I"),-1,1)</f>
        <v>-4240.1099999999997</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2129</v>
      </c>
      <c r="D462" s="706" t="s">
        <v>2130</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-137697.79999999999</v>
      </c>
      <c r="AM462" s="905">
        <f t="shared" si="29"/>
        <v>-30467.660000000003</v>
      </c>
      <c r="AN462" s="905">
        <f>INDEX(G462:R462,1,MATCH(Parametres!$B$3,G$1:R$1,0))*IF(OR(F462="L",F462="S",F462="I"),-1,1)</f>
        <v>-168165.46</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2131</v>
      </c>
      <c r="D463" s="706" t="s">
        <v>2132</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-1200171.82</v>
      </c>
      <c r="AM463" s="905">
        <f t="shared" si="29"/>
        <v>-70038.479999999981</v>
      </c>
      <c r="AN463" s="905">
        <f>INDEX(G463:R463,1,MATCH(Parametres!$B$3,G$1:R$1,0))*IF(OR(F463="L",F463="S",F463="I"),-1,1)</f>
        <v>-1270210.3</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2133</v>
      </c>
      <c r="D464" s="706" t="s">
        <v>2134</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-753.66</v>
      </c>
      <c r="AM464" s="905">
        <f t="shared" si="29"/>
        <v>142.74</v>
      </c>
      <c r="AN464" s="905">
        <f>INDEX(G464:R464,1,MATCH(Parametres!$B$3,G$1:R$1,0))*IF(OR(F464="L",F464="S",F464="I"),-1,1)</f>
        <v>-610.91999999999996</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2135</v>
      </c>
      <c r="D465" s="706" t="s">
        <v>2136</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-16792.439999999999</v>
      </c>
      <c r="AM465" s="905">
        <f t="shared" si="29"/>
        <v>-4902.8900000000031</v>
      </c>
      <c r="AN465" s="905">
        <f>INDEX(G465:R465,1,MATCH(Parametres!$B$3,G$1:R$1,0))*IF(OR(F465="L",F465="S",F465="I"),-1,1)</f>
        <v>-21695.33</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2137</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-107129.27</v>
      </c>
      <c r="AM466" s="905">
        <f t="shared" si="29"/>
        <v>171553.27000000002</v>
      </c>
      <c r="AN466" s="905">
        <f>INDEX(G466:R466,1,MATCH(Parametres!$B$3,G$1:R$1,0))*IF(OR(F466="L",F466="S",F466="I"),-1,1)</f>
        <v>64424</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2139</v>
      </c>
      <c r="D467" s="706" t="s">
        <v>2140</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88317.21</v>
      </c>
      <c r="AM467" s="905">
        <f t="shared" si="29"/>
        <v>11801.799999999988</v>
      </c>
      <c r="AN467" s="905">
        <f>INDEX(G467:R467,1,MATCH(Parametres!$B$3,G$1:R$1,0))*IF(OR(F467="L",F467="S",F467="I"),-1,1)</f>
        <v>100119.01</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2151</v>
      </c>
      <c r="D468" s="706" t="s">
        <v>2152</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-15827.2</v>
      </c>
      <c r="AM468" s="905">
        <f t="shared" si="29"/>
        <v>-4488.4199999999983</v>
      </c>
      <c r="AN468" s="905">
        <f>INDEX(G468:R468,1,MATCH(Parametres!$B$3,G$1:R$1,0))*IF(OR(F468="L",F468="S",F468="I"),-1,1)</f>
        <v>-20315.62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2153</v>
      </c>
      <c r="D469" s="706" t="s">
        <v>2154</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2155</v>
      </c>
      <c r="D470" s="706" t="s">
        <v>2156</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-262953.65999999997</v>
      </c>
      <c r="AM470" s="905">
        <f t="shared" si="29"/>
        <v>1096.4499999999825</v>
      </c>
      <c r="AN470" s="905">
        <f>INDEX(G470:R470,1,MATCH(Parametres!$B$3,G$1:R$1,0))*IF(OR(F470="L",F470="S",F470="I"),-1,1)</f>
        <v>-261857.21</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2157</v>
      </c>
      <c r="D471" s="706" t="s">
        <v>2158</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-28181.69</v>
      </c>
      <c r="AM471" s="905">
        <f t="shared" si="29"/>
        <v>-8679.4300000000039</v>
      </c>
      <c r="AN471" s="905">
        <f>INDEX(G471:R471,1,MATCH(Parametres!$B$3,G$1:R$1,0))*IF(OR(F471="L",F471="S",F471="I"),-1,1)</f>
        <v>-36861.120000000003</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2159</v>
      </c>
      <c r="D472" s="706" t="s">
        <v>2160</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-121699.93</v>
      </c>
      <c r="AM472" s="905">
        <f t="shared" si="29"/>
        <v>-21688.679999999993</v>
      </c>
      <c r="AN472" s="905">
        <f>INDEX(G472:R472,1,MATCH(Parametres!$B$3,G$1:R$1,0))*IF(OR(F472="L",F472="S",F472="I"),-1,1)</f>
        <v>-143388.60999999999</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2161</v>
      </c>
      <c r="D473" s="706" t="s">
        <v>2162</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-113194.34</v>
      </c>
      <c r="AM473" s="905">
        <f t="shared" si="29"/>
        <v>0</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2163</v>
      </c>
      <c r="D474" s="706" t="s">
        <v>2164</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2165</v>
      </c>
      <c r="D475" s="706" t="s">
        <v>2166</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2167</v>
      </c>
      <c r="D476" s="706" t="s">
        <v>2168</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2169</v>
      </c>
      <c r="D477" s="706" t="s">
        <v>2170</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-9330</v>
      </c>
      <c r="AM477" s="905">
        <f t="shared" si="29"/>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2171</v>
      </c>
      <c r="D478" s="706" t="s">
        <v>2172</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-45750</v>
      </c>
      <c r="AM478" s="905">
        <f t="shared" si="29"/>
        <v>-4000</v>
      </c>
      <c r="AN478" s="905">
        <f>INDEX(G478:R478,1,MATCH(Parametres!$B$3,G$1:R$1,0))*IF(OR(F478="L",F478="S",F478="I"),-1,1)</f>
        <v>-49750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2173</v>
      </c>
      <c r="D479" s="706" t="s">
        <v>2174</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-106400</v>
      </c>
      <c r="AM479" s="905">
        <f t="shared" si="29"/>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2175</v>
      </c>
      <c r="D480" s="706" t="s">
        <v>2176</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-20300</v>
      </c>
      <c r="AM480" s="905">
        <f t="shared" si="29"/>
        <v>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2177</v>
      </c>
      <c r="D481" s="706" t="s">
        <v>2178</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2183</v>
      </c>
      <c r="D482" s="706" t="s">
        <v>2184</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-18579.099999999999</v>
      </c>
      <c r="AM482" s="905">
        <f t="shared" si="29"/>
        <v>-1125</v>
      </c>
      <c r="AN482" s="905">
        <f>INDEX(G482:R482,1,MATCH(Parametres!$B$3,G$1:R$1,0))*IF(OR(F482="L",F482="S",F482="I"),-1,1)</f>
        <v>-19704.099999999999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2185</v>
      </c>
      <c r="D483" s="706" t="s">
        <v>2186</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2187</v>
      </c>
      <c r="D484" s="706" t="s">
        <v>2188</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-1530</v>
      </c>
      <c r="AM484" s="905">
        <f t="shared" si="29"/>
        <v>32492</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2189</v>
      </c>
      <c r="D485" s="706" t="s">
        <v>2190</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2191</v>
      </c>
      <c r="D486" s="706" t="s">
        <v>2192</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101027</v>
      </c>
      <c r="AM486" s="905">
        <f t="shared" si="29"/>
        <v>-38240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2193</v>
      </c>
      <c r="D487" s="706" t="s">
        <v>2194</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2195</v>
      </c>
      <c r="D488" s="706" t="s">
        <v>2196</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-1359100.56</v>
      </c>
      <c r="AM488" s="905">
        <f t="shared" si="29"/>
        <v>-5029.8599999998696</v>
      </c>
      <c r="AN488" s="905">
        <f>INDEX(G488:R488,1,MATCH(Parametres!$B$3,G$1:R$1,0))*IF(OR(F488="L",F488="S",F488="I"),-1,1)</f>
        <v>-1364130.42</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2199</v>
      </c>
      <c r="D489" s="706" t="s">
        <v>2200</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-1887.27</v>
      </c>
      <c r="AM489" s="905">
        <f t="shared" si="29"/>
        <v>1386.6399999999999</v>
      </c>
      <c r="AN489" s="905">
        <f>INDEX(G489:R489,1,MATCH(Parametres!$B$3,G$1:R$1,0))*IF(OR(F489="L",F489="S",F489="I"),-1,1)</f>
        <v>-500.63</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2201</v>
      </c>
      <c r="D490" s="706" t="s">
        <v>2202</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-309224.55</v>
      </c>
      <c r="AM490" s="905">
        <f t="shared" si="29"/>
        <v>-824.96000000002095</v>
      </c>
      <c r="AN490" s="905">
        <f>INDEX(G490:R490,1,MATCH(Parametres!$B$3,G$1:R$1,0))*IF(OR(F490="L",F490="S",F490="I"),-1,1)</f>
        <v>-310049.51</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2203</v>
      </c>
      <c r="D491" s="706" t="s">
        <v>2204</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-64400.19</v>
      </c>
      <c r="AM491" s="905">
        <f t="shared" si="29"/>
        <v>-1739.3600000000006</v>
      </c>
      <c r="AN491" s="905">
        <f>INDEX(G491:R491,1,MATCH(Parametres!$B$3,G$1:R$1,0))*IF(OR(F491="L",F491="S",F491="I"),-1,1)</f>
        <v>-66139.55</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2205</v>
      </c>
      <c r="D492" s="706" t="s">
        <v>2206</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-45327.92</v>
      </c>
      <c r="AM492" s="905">
        <f t="shared" si="29"/>
        <v>-2190.1399999999994</v>
      </c>
      <c r="AN492" s="905">
        <f>INDEX(G492:R492,1,MATCH(Parametres!$B$3,G$1:R$1,0))*IF(OR(F492="L",F492="S",F492="I"),-1,1)</f>
        <v>-47518.06</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2207</v>
      </c>
      <c r="D493" s="706" t="s">
        <v>2208</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-181184.35</v>
      </c>
      <c r="AM493" s="905">
        <f t="shared" si="29"/>
        <v>-767.82000000000698</v>
      </c>
      <c r="AN493" s="905">
        <f>INDEX(G493:R493,1,MATCH(Parametres!$B$3,G$1:R$1,0))*IF(OR(F493="L",F493="S",F493="I"),-1,1)</f>
        <v>-181952.17</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2209</v>
      </c>
      <c r="D494" s="706" t="s">
        <v>2210</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-48291.5</v>
      </c>
      <c r="AM494" s="905">
        <f t="shared" si="29"/>
        <v>-139.7300000000032</v>
      </c>
      <c r="AN494" s="905">
        <f>INDEX(G494:R494,1,MATCH(Parametres!$B$3,G$1:R$1,0))*IF(OR(F494="L",F494="S",F494="I"),-1,1)</f>
        <v>-48431.23</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2211</v>
      </c>
      <c r="D495" s="706" t="s">
        <v>2212</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2213</v>
      </c>
      <c r="D496" s="706" t="s">
        <v>2214</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-185</v>
      </c>
      <c r="AM496" s="905">
        <f t="shared" si="29"/>
        <v>185</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2215</v>
      </c>
      <c r="D497" s="706" t="s">
        <v>2216</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0</v>
      </c>
      <c r="AM497" s="905">
        <f t="shared" si="29"/>
        <v>-15</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2217</v>
      </c>
      <c r="D498" s="706" t="s">
        <v>2218</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0</v>
      </c>
      <c r="AM498" s="905">
        <f t="shared" si="29"/>
        <v>-85</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2219</v>
      </c>
      <c r="D499" s="706" t="s">
        <v>2220</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0</v>
      </c>
      <c r="AM499" s="905">
        <f t="shared" si="29"/>
        <v>-85</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2221</v>
      </c>
      <c r="D500" s="706" t="s">
        <v>2222</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2223</v>
      </c>
      <c r="D501" s="706" t="s">
        <v>2224</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2225</v>
      </c>
      <c r="D502" s="706" t="s">
        <v>2226</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2227</v>
      </c>
      <c r="D503" s="706" t="s">
        <v>2228</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-10113677.68</v>
      </c>
      <c r="AM503" s="905">
        <f t="shared" si="29"/>
        <v>1379732.6799999997</v>
      </c>
      <c r="AN503" s="905">
        <f>INDEX(G503:R503,1,MATCH(Parametres!$B$3,G$1:R$1,0))*IF(OR(F503="L",F503="S",F503="I"),-1,1)</f>
        <v>-8733945</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2229</v>
      </c>
      <c r="D504" s="706" t="s">
        <v>2230</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2231</v>
      </c>
      <c r="D505" s="706" t="s">
        <v>2232</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2233</v>
      </c>
      <c r="D506" s="706" t="s">
        <v>2234</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2235</v>
      </c>
      <c r="D507" s="706" t="s">
        <v>2236</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2237</v>
      </c>
      <c r="D508" s="706" t="s">
        <v>2238</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-29694</v>
      </c>
      <c r="AM508" s="905">
        <f t="shared" si="29"/>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1</v>
      </c>
      <c r="AW508" s="899">
        <f t="shared" si="31"/>
        <v>0</v>
      </c>
      <c r="AX508" s="899">
        <f>INDEX(V508:AG508,1,MATCH(Parametres!$B$3,V$1:AG$1,0))*IF(OR(C508="L",C508="S",C508="I"),-1,1)</f>
        <v>1</v>
      </c>
      <c r="AY508" s="487" t="s">
        <v>337</v>
      </c>
      <c r="AZ508" s="487" t="str">
        <f>+VLOOKUP($AJ508,Data_Validation!$A:$E,5,0)</f>
        <v>Oui</v>
      </c>
    </row>
    <row r="509" spans="1:52" ht="15" customHeight="1">
      <c r="A509" s="706" t="s">
        <v>1148</v>
      </c>
      <c r="B509" s="706">
        <v>2025</v>
      </c>
      <c r="C509" s="706" t="s">
        <v>2239</v>
      </c>
      <c r="D509" s="706" t="s">
        <v>2240</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2241</v>
      </c>
      <c r="D510" s="706" t="s">
        <v>2242</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2243</v>
      </c>
      <c r="D511" s="706" t="s">
        <v>2244</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2245</v>
      </c>
      <c r="D512" s="706" t="s">
        <v>2246</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2247</v>
      </c>
      <c r="D513" s="706" t="s">
        <v>2248</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2249</v>
      </c>
      <c r="D514" s="706" t="s">
        <v>2250</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2251</v>
      </c>
      <c r="D515" s="706" t="s">
        <v>2252</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2253</v>
      </c>
      <c r="D516" s="706" t="s">
        <v>2254</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2255</v>
      </c>
      <c r="D517" s="706" t="s">
        <v>2256</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-353031</v>
      </c>
      <c r="AM517" s="905">
        <f t="shared" si="33"/>
        <v>-103533</v>
      </c>
      <c r="AN517" s="905">
        <f>INDEX(G517:R517,1,MATCH(Parametres!$B$3,G$1:R$1,0))*IF(OR(F517="L",F517="S",F517="I"),-1,1)</f>
        <v>-456564</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3</v>
      </c>
      <c r="AW517" s="899">
        <f t="shared" si="35"/>
        <v>1</v>
      </c>
      <c r="AX517" s="899">
        <f>INDEX(V517:AG517,1,MATCH(Parametres!$B$3,V$1:AG$1,0))*IF(OR(C517="L",C517="S",C517="I"),-1,1)</f>
        <v>4</v>
      </c>
      <c r="AY517" s="487" t="s">
        <v>337</v>
      </c>
      <c r="AZ517" s="487" t="str">
        <f>+VLOOKUP($AJ517,Data_Validation!$A:$E,5,0)</f>
        <v>Oui</v>
      </c>
    </row>
    <row r="518" spans="1:52" ht="15" customHeight="1">
      <c r="A518" s="706" t="s">
        <v>1148</v>
      </c>
      <c r="B518" s="706">
        <v>2025</v>
      </c>
      <c r="C518" s="706" t="s">
        <v>2257</v>
      </c>
      <c r="D518" s="706" t="s">
        <v>2258</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2259</v>
      </c>
      <c r="D519" s="706" t="s">
        <v>2260</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2261</v>
      </c>
      <c r="D520" s="706" t="s">
        <v>2262</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2263</v>
      </c>
      <c r="D521" s="706" t="s">
        <v>2264</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2265</v>
      </c>
      <c r="D522" s="706" t="s">
        <v>2266</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2267</v>
      </c>
      <c r="D523" s="706" t="s">
        <v>2268</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2269</v>
      </c>
      <c r="D524" s="706" t="s">
        <v>2270</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2271</v>
      </c>
      <c r="D525" s="706" t="s">
        <v>2272</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2273</v>
      </c>
      <c r="D526" s="706" t="s">
        <v>2274</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2275</v>
      </c>
      <c r="D527" s="706" t="s">
        <v>2276</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2277</v>
      </c>
      <c r="D528" s="706" t="s">
        <v>2278</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2279</v>
      </c>
      <c r="D529" s="706" t="s">
        <v>2280</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2281</v>
      </c>
      <c r="D530" s="706" t="s">
        <v>2282</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2283</v>
      </c>
      <c r="D531" s="706" t="s">
        <v>2284</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137</v>
      </c>
      <c r="AW531" s="899">
        <f t="shared" si="35"/>
        <v>24</v>
      </c>
      <c r="AX531" s="899">
        <f>INDEX(V531:AG531,1,MATCH(Parametres!$B$3,V$1:AG$1,0))*IF(OR(C531="L",C531="S",C531="I"),-1,1)</f>
        <v>161</v>
      </c>
      <c r="AY531" s="487" t="s">
        <v>337</v>
      </c>
      <c r="AZ531" s="487">
        <f>+VLOOKUP($AJ531,Data_Validation!$A:$E,5,0)</f>
        <v>0</v>
      </c>
    </row>
    <row r="532" spans="1:52" ht="15" customHeight="1">
      <c r="A532" s="706" t="s">
        <v>1148</v>
      </c>
      <c r="B532" s="706">
        <v>2025</v>
      </c>
      <c r="C532" s="706" t="s">
        <v>2285</v>
      </c>
      <c r="D532" s="706" t="s">
        <v>2286</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2287</v>
      </c>
      <c r="D533" s="706" t="s">
        <v>2288</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2289</v>
      </c>
      <c r="D534" s="706" t="s">
        <v>2290</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2291</v>
      </c>
      <c r="D535" s="706" t="s">
        <v>2292</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2293</v>
      </c>
      <c r="D536" s="706" t="s">
        <v>2294</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2295</v>
      </c>
      <c r="D537" s="706" t="s">
        <v>2296</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2297</v>
      </c>
      <c r="D538" s="706" t="s">
        <v>2298</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-288037.98</v>
      </c>
      <c r="AM538" s="905">
        <f t="shared" si="33"/>
        <v>-187382</v>
      </c>
      <c r="AN538" s="905">
        <f>INDEX(G538:R538,1,MATCH(Parametres!$B$3,G$1:R$1,0))*IF(OR(F538="L",F538="S",F538="I"),-1,1)</f>
        <v>-475419.98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7</v>
      </c>
      <c r="AW538" s="899">
        <f t="shared" si="35"/>
        <v>4</v>
      </c>
      <c r="AX538" s="899">
        <f>INDEX(V538:AG538,1,MATCH(Parametres!$B$3,V$1:AG$1,0))*IF(OR(C538="L",C538="S",C538="I"),-1,1)</f>
        <v>11</v>
      </c>
      <c r="AY538" s="487" t="s">
        <v>337</v>
      </c>
      <c r="AZ538" s="487" t="str">
        <f>+VLOOKUP($AJ538,Data_Validation!$A:$E,5,0)</f>
        <v>Oui</v>
      </c>
    </row>
    <row r="539" spans="1:52" ht="15" customHeight="1">
      <c r="A539" s="706" t="s">
        <v>1148</v>
      </c>
      <c r="B539" s="706">
        <v>2025</v>
      </c>
      <c r="C539" s="706" t="s">
        <v>2299</v>
      </c>
      <c r="D539" s="706" t="s">
        <v>2300</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2301</v>
      </c>
      <c r="D540" s="706" t="s">
        <v>2302</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2303</v>
      </c>
      <c r="D541" s="706" t="s">
        <v>2304</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2305</v>
      </c>
      <c r="D542" s="706" t="s">
        <v>2306</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2307</v>
      </c>
      <c r="D543" s="706" t="s">
        <v>2308</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2309</v>
      </c>
      <c r="D544" s="706" t="s">
        <v>2310</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2311</v>
      </c>
      <c r="D545" s="706" t="s">
        <v>2312</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-247600.31</v>
      </c>
      <c r="AM545" s="905">
        <f t="shared" si="33"/>
        <v>-186845.65999999997</v>
      </c>
      <c r="AN545" s="905">
        <f>INDEX(G545:R545,1,MATCH(Parametres!$B$3,G$1:R$1,0))*IF(OR(F545="L",F545="S",F545="I"),-1,1)</f>
        <v>-434445.97</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4</v>
      </c>
      <c r="AW545" s="899">
        <f t="shared" si="35"/>
        <v>3</v>
      </c>
      <c r="AX545" s="899">
        <f>INDEX(V545:AG545,1,MATCH(Parametres!$B$3,V$1:AG$1,0))*IF(OR(C545="L",C545="S",C545="I"),-1,1)</f>
        <v>7</v>
      </c>
      <c r="AY545" s="487" t="s">
        <v>337</v>
      </c>
      <c r="AZ545" s="487" t="str">
        <f>+VLOOKUP($AJ545,Data_Validation!$A:$E,5,0)</f>
        <v>Oui</v>
      </c>
    </row>
    <row r="546" spans="1:52" ht="15" customHeight="1">
      <c r="A546" s="706" t="s">
        <v>1148</v>
      </c>
      <c r="B546" s="706">
        <v>2025</v>
      </c>
      <c r="C546" s="706" t="s">
        <v>2313</v>
      </c>
      <c r="D546" s="706" t="s">
        <v>2314</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-224412.32</v>
      </c>
      <c r="AM546" s="905">
        <f t="shared" si="33"/>
        <v>-55483</v>
      </c>
      <c r="AN546" s="905">
        <f>INDEX(G546:R546,1,MATCH(Parametres!$B$3,G$1:R$1,0))*IF(OR(F546="L",F546="S",F546="I"),-1,1)</f>
        <v>-279895.32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4</v>
      </c>
      <c r="AW546" s="899">
        <f t="shared" si="35"/>
        <v>1</v>
      </c>
      <c r="AX546" s="899">
        <f>INDEX(V546:AG546,1,MATCH(Parametres!$B$3,V$1:AG$1,0))*IF(OR(C546="L",C546="S",C546="I"),-1,1)</f>
        <v>5</v>
      </c>
      <c r="AY546" s="487" t="s">
        <v>337</v>
      </c>
      <c r="AZ546" s="487" t="str">
        <f>+VLOOKUP($AJ546,Data_Validation!$A:$E,5,0)</f>
        <v>Oui</v>
      </c>
    </row>
    <row r="547" spans="1:52" ht="15" customHeight="1">
      <c r="A547" s="706" t="s">
        <v>1148</v>
      </c>
      <c r="B547" s="706">
        <v>2025</v>
      </c>
      <c r="C547" s="706" t="s">
        <v>2315</v>
      </c>
      <c r="D547" s="706" t="s">
        <v>2316</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-315660.46000000002</v>
      </c>
      <c r="AM547" s="905">
        <f t="shared" si="33"/>
        <v>0</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7</v>
      </c>
      <c r="AW547" s="899">
        <f t="shared" si="35"/>
        <v>0</v>
      </c>
      <c r="AX547" s="899">
        <f>INDEX(V547:AG547,1,MATCH(Parametres!$B$3,V$1:AG$1,0))*IF(OR(C547="L",C547="S",C547="I"),-1,1)</f>
        <v>7</v>
      </c>
      <c r="AY547" s="487" t="s">
        <v>337</v>
      </c>
      <c r="AZ547" s="487" t="str">
        <f>+VLOOKUP($AJ547,Data_Validation!$A:$E,5,0)</f>
        <v>Oui</v>
      </c>
    </row>
    <row r="548" spans="1:52" ht="15" customHeight="1">
      <c r="A548" s="706" t="s">
        <v>1148</v>
      </c>
      <c r="B548" s="706">
        <v>2025</v>
      </c>
      <c r="C548" s="706" t="s">
        <v>2317</v>
      </c>
      <c r="D548" s="706" t="s">
        <v>2318</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-338212.93</v>
      </c>
      <c r="AM548" s="905">
        <f t="shared" si="33"/>
        <v>0</v>
      </c>
      <c r="AN548" s="905">
        <f>INDEX(G548:R548,1,MATCH(Parametres!$B$3,G$1:R$1,0))*IF(OR(F548="L",F548="S",F548="I"),-1,1)</f>
        <v>-338212.93</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10</v>
      </c>
      <c r="AW548" s="899">
        <f t="shared" si="35"/>
        <v>0</v>
      </c>
      <c r="AX548" s="899">
        <f>INDEX(V548:AG548,1,MATCH(Parametres!$B$3,V$1:AG$1,0))*IF(OR(C548="L",C548="S",C548="I"),-1,1)</f>
        <v>10</v>
      </c>
      <c r="AY548" s="487" t="s">
        <v>337</v>
      </c>
      <c r="AZ548" s="487" t="str">
        <f>+VLOOKUP($AJ548,Data_Validation!$A:$E,5,0)</f>
        <v>Oui</v>
      </c>
    </row>
    <row r="549" spans="1:52" ht="15" customHeight="1">
      <c r="A549" s="706" t="s">
        <v>1148</v>
      </c>
      <c r="B549" s="706">
        <v>2025</v>
      </c>
      <c r="C549" s="706" t="s">
        <v>2319</v>
      </c>
      <c r="D549" s="706" t="s">
        <v>2320</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2321</v>
      </c>
      <c r="D550" s="706" t="s">
        <v>2322</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-119374.41</v>
      </c>
      <c r="AM550" s="905">
        <f t="shared" si="33"/>
        <v>0</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2</v>
      </c>
      <c r="AW550" s="899">
        <f t="shared" si="35"/>
        <v>0</v>
      </c>
      <c r="AX550" s="899">
        <f>INDEX(V550:AG550,1,MATCH(Parametres!$B$3,V$1:AG$1,0))*IF(OR(C550="L",C550="S",C550="I"),-1,1)</f>
        <v>2</v>
      </c>
      <c r="AY550" s="487" t="s">
        <v>337</v>
      </c>
      <c r="AZ550" s="487" t="str">
        <f>+VLOOKUP($AJ550,Data_Validation!$A:$E,5,0)</f>
        <v>Oui</v>
      </c>
    </row>
    <row r="551" spans="1:52" ht="15" customHeight="1">
      <c r="A551" s="706" t="s">
        <v>1148</v>
      </c>
      <c r="B551" s="706">
        <v>2025</v>
      </c>
      <c r="C551" s="706" t="s">
        <v>2323</v>
      </c>
      <c r="D551" s="706" t="s">
        <v>2324</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-66639.8</v>
      </c>
      <c r="AM551" s="905">
        <f t="shared" si="33"/>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1</v>
      </c>
      <c r="AW551" s="899">
        <f t="shared" si="35"/>
        <v>0</v>
      </c>
      <c r="AX551" s="899">
        <f>INDEX(V551:AG551,1,MATCH(Parametres!$B$3,V$1:AG$1,0))*IF(OR(C551="L",C551="S",C551="I"),-1,1)</f>
        <v>1</v>
      </c>
      <c r="AY551" s="487" t="s">
        <v>337</v>
      </c>
      <c r="AZ551" s="487" t="str">
        <f>+VLOOKUP($AJ551,Data_Validation!$A:$E,5,0)</f>
        <v>Oui</v>
      </c>
    </row>
    <row r="552" spans="1:52" ht="15" customHeight="1">
      <c r="A552" s="706" t="s">
        <v>1148</v>
      </c>
      <c r="B552" s="706">
        <v>2025</v>
      </c>
      <c r="C552" s="706" t="s">
        <v>2325</v>
      </c>
      <c r="D552" s="706" t="s">
        <v>2326</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-147501.49</v>
      </c>
      <c r="AM552" s="905">
        <f t="shared" si="33"/>
        <v>0</v>
      </c>
      <c r="AN552" s="905">
        <f>INDEX(G552:R552,1,MATCH(Parametres!$B$3,G$1:R$1,0))*IF(OR(F552="L",F552="S",F552="I"),-1,1)</f>
        <v>-147501.49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4</v>
      </c>
      <c r="AW552" s="899">
        <f t="shared" si="35"/>
        <v>0</v>
      </c>
      <c r="AX552" s="899">
        <f>INDEX(V552:AG552,1,MATCH(Parametres!$B$3,V$1:AG$1,0))*IF(OR(C552="L",C552="S",C552="I"),-1,1)</f>
        <v>4</v>
      </c>
      <c r="AY552" s="487" t="s">
        <v>337</v>
      </c>
      <c r="AZ552" s="487" t="str">
        <f>+VLOOKUP($AJ552,Data_Validation!$A:$E,5,0)</f>
        <v>Oui</v>
      </c>
    </row>
    <row r="553" spans="1:52" ht="15" customHeight="1">
      <c r="A553" s="706" t="s">
        <v>1148</v>
      </c>
      <c r="B553" s="706">
        <v>2025</v>
      </c>
      <c r="C553" s="706" t="s">
        <v>2327</v>
      </c>
      <c r="D553" s="706" t="s">
        <v>2328</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2329</v>
      </c>
      <c r="D554" s="706" t="s">
        <v>2330</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-465524.99</v>
      </c>
      <c r="AM554" s="905">
        <f t="shared" si="33"/>
        <v>-61547</v>
      </c>
      <c r="AN554" s="905">
        <f>INDEX(G554:R554,1,MATCH(Parametres!$B$3,G$1:R$1,0))*IF(OR(F554="L",F554="S",F554="I"),-1,1)</f>
        <v>-527071.99</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15</v>
      </c>
      <c r="AW554" s="899">
        <f t="shared" si="35"/>
        <v>2</v>
      </c>
      <c r="AX554" s="899">
        <f>INDEX(V554:AG554,1,MATCH(Parametres!$B$3,V$1:AG$1,0))*IF(OR(C554="L",C554="S",C554="I"),-1,1)</f>
        <v>17</v>
      </c>
      <c r="AY554" s="487" t="s">
        <v>337</v>
      </c>
      <c r="AZ554" s="487" t="str">
        <f>+VLOOKUP($AJ554,Data_Validation!$A:$E,5,0)</f>
        <v>Oui</v>
      </c>
    </row>
    <row r="555" spans="1:52" ht="15" customHeight="1">
      <c r="A555" s="706" t="s">
        <v>1148</v>
      </c>
      <c r="B555" s="706">
        <v>2025</v>
      </c>
      <c r="C555" s="706" t="s">
        <v>2331</v>
      </c>
      <c r="D555" s="706" t="s">
        <v>2332</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-981031.34</v>
      </c>
      <c r="AM555" s="905">
        <f t="shared" si="33"/>
        <v>-264611.00000000012</v>
      </c>
      <c r="AN555" s="905">
        <f>INDEX(G555:R555,1,MATCH(Parametres!$B$3,G$1:R$1,0))*IF(OR(F555="L",F555="S",F555="I"),-1,1)</f>
        <v>-1245642.3400000001</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11</v>
      </c>
      <c r="AW555" s="899">
        <f t="shared" si="35"/>
        <v>3</v>
      </c>
      <c r="AX555" s="899">
        <f>INDEX(V555:AG555,1,MATCH(Parametres!$B$3,V$1:AG$1,0))*IF(OR(C555="L",C555="S",C555="I"),-1,1)</f>
        <v>14</v>
      </c>
      <c r="AY555" s="487" t="s">
        <v>337</v>
      </c>
      <c r="AZ555" s="487" t="str">
        <f>+VLOOKUP($AJ555,Data_Validation!$A:$E,5,0)</f>
        <v>Oui</v>
      </c>
    </row>
    <row r="556" spans="1:52" ht="15" customHeight="1">
      <c r="A556" s="706" t="s">
        <v>1148</v>
      </c>
      <c r="B556" s="706">
        <v>2025</v>
      </c>
      <c r="C556" s="706" t="s">
        <v>2333</v>
      </c>
      <c r="D556" s="706" t="s">
        <v>2334</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-3294811.35</v>
      </c>
      <c r="AM556" s="905">
        <f t="shared" si="33"/>
        <v>-1031536.8999999999</v>
      </c>
      <c r="AN556" s="905">
        <f>INDEX(G556:R556,1,MATCH(Parametres!$B$3,G$1:R$1,0))*IF(OR(F556="L",F556="S",F556="I"),-1,1)</f>
        <v>-4326348.25</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45</v>
      </c>
      <c r="AW556" s="899">
        <f t="shared" si="35"/>
        <v>14</v>
      </c>
      <c r="AX556" s="899">
        <f>INDEX(V556:AG556,1,MATCH(Parametres!$B$3,V$1:AG$1,0))*IF(OR(C556="L",C556="S",C556="I"),-1,1)</f>
        <v>59</v>
      </c>
      <c r="AY556" s="487" t="s">
        <v>337</v>
      </c>
      <c r="AZ556" s="487" t="str">
        <f>+VLOOKUP($AJ556,Data_Validation!$A:$E,5,0)</f>
        <v>Oui</v>
      </c>
    </row>
    <row r="557" spans="1:52" ht="15" customHeight="1">
      <c r="A557" s="706" t="s">
        <v>1148</v>
      </c>
      <c r="B557" s="706">
        <v>2025</v>
      </c>
      <c r="C557" s="706" t="s">
        <v>2335</v>
      </c>
      <c r="D557" s="706" t="s">
        <v>2336</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-314062.01</v>
      </c>
      <c r="AM557" s="905">
        <f t="shared" si="33"/>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3</v>
      </c>
      <c r="AW557" s="899">
        <f t="shared" si="35"/>
        <v>0</v>
      </c>
      <c r="AX557" s="899">
        <f>INDEX(V557:AG557,1,MATCH(Parametres!$B$3,V$1:AG$1,0))*IF(OR(C557="L",C557="S",C557="I"),-1,1)</f>
        <v>3</v>
      </c>
      <c r="AY557" s="487" t="s">
        <v>337</v>
      </c>
      <c r="AZ557" s="487" t="str">
        <f>+VLOOKUP($AJ557,Data_Validation!$A:$E,5,0)</f>
        <v>Oui</v>
      </c>
    </row>
    <row r="558" spans="1:52" ht="15" customHeight="1">
      <c r="A558" s="706" t="s">
        <v>1148</v>
      </c>
      <c r="B558" s="706">
        <v>2025</v>
      </c>
      <c r="C558" s="706" t="s">
        <v>2337</v>
      </c>
      <c r="D558" s="706" t="s">
        <v>2338</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-1023599.54</v>
      </c>
      <c r="AM558" s="905">
        <f t="shared" si="33"/>
        <v>-109721.5</v>
      </c>
      <c r="AN558" s="905">
        <f>INDEX(G558:R558,1,MATCH(Parametres!$B$3,G$1:R$1,0))*IF(OR(F558="L",F558="S",F558="I"),-1,1)</f>
        <v>-1133321.04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10</v>
      </c>
      <c r="AW558" s="899">
        <f t="shared" si="35"/>
        <v>1</v>
      </c>
      <c r="AX558" s="899">
        <f>INDEX(V558:AG558,1,MATCH(Parametres!$B$3,V$1:AG$1,0))*IF(OR(C558="L",C558="S",C558="I"),-1,1)</f>
        <v>11</v>
      </c>
      <c r="AY558" s="487" t="s">
        <v>337</v>
      </c>
      <c r="AZ558" s="487" t="str">
        <f>+VLOOKUP($AJ558,Data_Validation!$A:$E,5,0)</f>
        <v>Oui</v>
      </c>
    </row>
    <row r="559" spans="1:52" ht="15" customHeight="1">
      <c r="A559" s="706" t="s">
        <v>1148</v>
      </c>
      <c r="B559" s="706">
        <v>2025</v>
      </c>
      <c r="C559" s="706" t="s">
        <v>2339</v>
      </c>
      <c r="D559" s="706" t="s">
        <v>2340</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2341</v>
      </c>
      <c r="D560" s="706" t="s">
        <v>2342</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-1560491.01</v>
      </c>
      <c r="AM560" s="905">
        <f t="shared" si="33"/>
        <v>-104952.19999999995</v>
      </c>
      <c r="AN560" s="905">
        <f>INDEX(G560:R560,1,MATCH(Parametres!$B$3,G$1:R$1,0))*IF(OR(F560="L",F560="S",F560="I"),-1,1)</f>
        <v>-1665443.21</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16</v>
      </c>
      <c r="AW560" s="899">
        <f t="shared" si="35"/>
        <v>1</v>
      </c>
      <c r="AX560" s="899">
        <f>INDEX(V560:AG560,1,MATCH(Parametres!$B$3,V$1:AG$1,0))*IF(OR(C560="L",C560="S",C560="I"),-1,1)</f>
        <v>17</v>
      </c>
      <c r="AY560" s="487" t="s">
        <v>337</v>
      </c>
      <c r="AZ560" s="487" t="str">
        <f>+VLOOKUP($AJ560,Data_Validation!$A:$E,5,0)</f>
        <v>Oui</v>
      </c>
    </row>
    <row r="561" spans="1:52" ht="15" customHeight="1">
      <c r="A561" s="706" t="s">
        <v>1148</v>
      </c>
      <c r="B561" s="706">
        <v>2025</v>
      </c>
      <c r="C561" s="706" t="s">
        <v>2343</v>
      </c>
      <c r="D561" s="706" t="s">
        <v>2344</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-3641867.79</v>
      </c>
      <c r="AM561" s="905">
        <f t="shared" si="33"/>
        <v>-798502.12000000011</v>
      </c>
      <c r="AN561" s="905">
        <f>INDEX(G561:R561,1,MATCH(Parametres!$B$3,G$1:R$1,0))*IF(OR(F561="L",F561="S",F561="I"),-1,1)</f>
        <v>-4440369.91</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48</v>
      </c>
      <c r="AW561" s="899">
        <f t="shared" si="35"/>
        <v>10</v>
      </c>
      <c r="AX561" s="899">
        <f>INDEX(V561:AG561,1,MATCH(Parametres!$B$3,V$1:AG$1,0))*IF(OR(C561="L",C561="S",C561="I"),-1,1)</f>
        <v>58</v>
      </c>
      <c r="AY561" s="487" t="s">
        <v>337</v>
      </c>
      <c r="AZ561" s="487" t="str">
        <f>+VLOOKUP($AJ561,Data_Validation!$A:$E,5,0)</f>
        <v>Oui</v>
      </c>
    </row>
    <row r="562" spans="1:52" ht="15" customHeight="1">
      <c r="A562" s="706" t="s">
        <v>1148</v>
      </c>
      <c r="B562" s="706">
        <v>2025</v>
      </c>
      <c r="C562" s="706" t="s">
        <v>2345</v>
      </c>
      <c r="D562" s="706" t="s">
        <v>2346</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-589814.81000000006</v>
      </c>
      <c r="AM562" s="905">
        <f t="shared" si="33"/>
        <v>-221713</v>
      </c>
      <c r="AN562" s="905">
        <f>INDEX(G562:R562,1,MATCH(Parametres!$B$3,G$1:R$1,0))*IF(OR(F562="L",F562="S",F562="I"),-1,1)</f>
        <v>-811527.81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5</v>
      </c>
      <c r="AW562" s="899">
        <f t="shared" si="35"/>
        <v>2</v>
      </c>
      <c r="AX562" s="899">
        <f>INDEX(V562:AG562,1,MATCH(Parametres!$B$3,V$1:AG$1,0))*IF(OR(C562="L",C562="S",C562="I"),-1,1)</f>
        <v>7</v>
      </c>
      <c r="AY562" s="487" t="s">
        <v>337</v>
      </c>
      <c r="AZ562" s="487" t="str">
        <f>+VLOOKUP($AJ562,Data_Validation!$A:$E,5,0)</f>
        <v>Oui</v>
      </c>
    </row>
    <row r="563" spans="1:52" ht="15" customHeight="1">
      <c r="A563" s="706" t="s">
        <v>1148</v>
      </c>
      <c r="B563" s="706">
        <v>2025</v>
      </c>
      <c r="C563" s="706" t="s">
        <v>2347</v>
      </c>
      <c r="D563" s="706" t="s">
        <v>2348</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2349</v>
      </c>
      <c r="D564" s="706" t="s">
        <v>2350</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0</v>
      </c>
      <c r="AM564" s="905">
        <f t="shared" si="33"/>
        <v>-92577.91</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0</v>
      </c>
      <c r="AW564" s="899">
        <f t="shared" si="35"/>
        <v>1</v>
      </c>
      <c r="AX564" s="899">
        <f>INDEX(V564:AG564,1,MATCH(Parametres!$B$3,V$1:AG$1,0))*IF(OR(C564="L",C564="S",C564="I"),-1,1)</f>
        <v>1</v>
      </c>
      <c r="AY564" s="487" t="s">
        <v>337</v>
      </c>
      <c r="AZ564" s="487" t="str">
        <f>+VLOOKUP($AJ564,Data_Validation!$A:$E,5,0)</f>
        <v>Oui</v>
      </c>
    </row>
    <row r="565" spans="1:52" ht="15" customHeight="1">
      <c r="A565" s="706" t="s">
        <v>1148</v>
      </c>
      <c r="B565" s="706">
        <v>2025</v>
      </c>
      <c r="C565" s="706" t="s">
        <v>2351</v>
      </c>
      <c r="D565" s="706" t="s">
        <v>2352</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-1837337.96</v>
      </c>
      <c r="AM565" s="905">
        <f t="shared" si="33"/>
        <v>-624439.64999999991</v>
      </c>
      <c r="AN565" s="905">
        <f>INDEX(G565:R565,1,MATCH(Parametres!$B$3,G$1:R$1,0))*IF(OR(F565="L",F565="S",F565="I"),-1,1)</f>
        <v>-2461777.61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16</v>
      </c>
      <c r="AW565" s="899">
        <f t="shared" si="35"/>
        <v>6</v>
      </c>
      <c r="AX565" s="899">
        <f>INDEX(V565:AG565,1,MATCH(Parametres!$B$3,V$1:AG$1,0))*IF(OR(C565="L",C565="S",C565="I"),-1,1)</f>
        <v>22</v>
      </c>
      <c r="AY565" s="487" t="s">
        <v>337</v>
      </c>
      <c r="AZ565" s="487" t="str">
        <f>+VLOOKUP($AJ565,Data_Validation!$A:$E,5,0)</f>
        <v>Oui</v>
      </c>
    </row>
    <row r="566" spans="1:52" ht="15" customHeight="1">
      <c r="A566" s="706" t="s">
        <v>1148</v>
      </c>
      <c r="B566" s="706">
        <v>2025</v>
      </c>
      <c r="C566" s="706" t="s">
        <v>2353</v>
      </c>
      <c r="D566" s="706" t="s">
        <v>2354</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2355</v>
      </c>
      <c r="D567" s="706" t="s">
        <v>2356</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2357</v>
      </c>
      <c r="D568" s="706" t="s">
        <v>2358</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-203473.38</v>
      </c>
      <c r="AM568" s="905">
        <f t="shared" si="33"/>
        <v>-128137</v>
      </c>
      <c r="AN568" s="905">
        <f>INDEX(G568:R568,1,MATCH(Parametres!$B$3,G$1:R$1,0))*IF(OR(F568="L",F568="S",F568="I"),-1,1)</f>
        <v>-331610.38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3</v>
      </c>
      <c r="AW568" s="899">
        <f t="shared" si="35"/>
        <v>2</v>
      </c>
      <c r="AX568" s="899">
        <f>INDEX(V568:AG568,1,MATCH(Parametres!$B$3,V$1:AG$1,0))*IF(OR(C568="L",C568="S",C568="I"),-1,1)</f>
        <v>5</v>
      </c>
      <c r="AY568" s="487" t="s">
        <v>337</v>
      </c>
      <c r="AZ568" s="487" t="str">
        <f>+VLOOKUP($AJ568,Data_Validation!$A:$E,5,0)</f>
        <v>Oui</v>
      </c>
    </row>
    <row r="569" spans="1:52" ht="15" customHeight="1">
      <c r="A569" s="706" t="s">
        <v>1148</v>
      </c>
      <c r="B569" s="706">
        <v>2025</v>
      </c>
      <c r="C569" s="706" t="s">
        <v>2359</v>
      </c>
      <c r="D569" s="706" t="s">
        <v>2360</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2361</v>
      </c>
      <c r="D570" s="706" t="s">
        <v>2362</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-199139.49</v>
      </c>
      <c r="AM570" s="905">
        <f t="shared" si="33"/>
        <v>-82875.5</v>
      </c>
      <c r="AN570" s="905">
        <f>INDEX(G570:R570,1,MATCH(Parametres!$B$3,G$1:R$1,0))*IF(OR(F570="L",F570="S",F570="I"),-1,1)</f>
        <v>-282014.99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5</v>
      </c>
      <c r="AW570" s="899">
        <f t="shared" si="35"/>
        <v>2</v>
      </c>
      <c r="AX570" s="899">
        <f>INDEX(V570:AG570,1,MATCH(Parametres!$B$3,V$1:AG$1,0))*IF(OR(C570="L",C570="S",C570="I"),-1,1)</f>
        <v>7</v>
      </c>
      <c r="AY570" s="487" t="s">
        <v>337</v>
      </c>
      <c r="AZ570" s="487" t="str">
        <f>+VLOOKUP($AJ570,Data_Validation!$A:$E,5,0)</f>
        <v>Oui</v>
      </c>
    </row>
    <row r="571" spans="1:52" ht="15" customHeight="1">
      <c r="A571" s="706" t="s">
        <v>1148</v>
      </c>
      <c r="B571" s="706">
        <v>2025</v>
      </c>
      <c r="C571" s="706" t="s">
        <v>2363</v>
      </c>
      <c r="D571" s="706" t="s">
        <v>2364</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-3206445.36</v>
      </c>
      <c r="AM571" s="905">
        <f t="shared" si="33"/>
        <v>-1027598.5100000002</v>
      </c>
      <c r="AN571" s="905">
        <f>INDEX(G571:R571,1,MATCH(Parametres!$B$3,G$1:R$1,0))*IF(OR(F571="L",F571="S",F571="I"),-1,1)</f>
        <v>-4234043.87</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61</v>
      </c>
      <c r="AW571" s="899">
        <f t="shared" si="35"/>
        <v>20</v>
      </c>
      <c r="AX571" s="899">
        <f>INDEX(V571:AG571,1,MATCH(Parametres!$B$3,V$1:AG$1,0))*IF(OR(C571="L",C571="S",C571="I"),-1,1)</f>
        <v>81</v>
      </c>
      <c r="AY571" s="487" t="s">
        <v>337</v>
      </c>
      <c r="AZ571" s="487" t="str">
        <f>+VLOOKUP($AJ571,Data_Validation!$A:$E,5,0)</f>
        <v>Oui</v>
      </c>
    </row>
    <row r="572" spans="1:52" ht="15" customHeight="1">
      <c r="A572" s="706" t="s">
        <v>1148</v>
      </c>
      <c r="B572" s="706">
        <v>2025</v>
      </c>
      <c r="C572" s="706" t="s">
        <v>2365</v>
      </c>
      <c r="D572" s="706" t="s">
        <v>2366</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2367</v>
      </c>
      <c r="D573" s="706" t="s">
        <v>2368</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2369</v>
      </c>
      <c r="D574" s="706" t="s">
        <v>2370</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-583324.05000000005</v>
      </c>
      <c r="AM574" s="905">
        <f t="shared" si="33"/>
        <v>-139220.5</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5</v>
      </c>
      <c r="AW574" s="899">
        <f t="shared" si="35"/>
        <v>1</v>
      </c>
      <c r="AX574" s="899">
        <f>INDEX(V574:AG574,1,MATCH(Parametres!$B$3,V$1:AG$1,0))*IF(OR(C574="L",C574="S",C574="I"),-1,1)</f>
        <v>6</v>
      </c>
      <c r="AY574" s="487" t="s">
        <v>337</v>
      </c>
      <c r="AZ574" s="487" t="str">
        <f>+VLOOKUP($AJ574,Data_Validation!$A:$E,5,0)</f>
        <v>Oui</v>
      </c>
    </row>
    <row r="575" spans="1:52" ht="15" customHeight="1">
      <c r="A575" s="706" t="s">
        <v>1148</v>
      </c>
      <c r="B575" s="706">
        <v>2025</v>
      </c>
      <c r="C575" s="706" t="s">
        <v>2371</v>
      </c>
      <c r="D575" s="706" t="s">
        <v>2372</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2373</v>
      </c>
      <c r="D576" s="706" t="s">
        <v>2374</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-166398.68</v>
      </c>
      <c r="AM576" s="905">
        <f t="shared" si="33"/>
        <v>-74190.580000000016</v>
      </c>
      <c r="AN576" s="905">
        <f>INDEX(G576:R576,1,MATCH(Parametres!$B$3,G$1:R$1,0))*IF(OR(F576="L",F576="S",F576="I"),-1,1)</f>
        <v>-240589.26</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5</v>
      </c>
      <c r="AW576" s="899">
        <f t="shared" si="35"/>
        <v>2</v>
      </c>
      <c r="AX576" s="899">
        <f>INDEX(V576:AG576,1,MATCH(Parametres!$B$3,V$1:AG$1,0))*IF(OR(C576="L",C576="S",C576="I"),-1,1)</f>
        <v>7</v>
      </c>
      <c r="AY576" s="487" t="s">
        <v>337</v>
      </c>
      <c r="AZ576" s="487" t="str">
        <f>+VLOOKUP($AJ576,Data_Validation!$A:$E,5,0)</f>
        <v>Oui</v>
      </c>
    </row>
    <row r="577" spans="1:52" ht="15" customHeight="1">
      <c r="A577" s="706" t="s">
        <v>1148</v>
      </c>
      <c r="B577" s="706">
        <v>2025</v>
      </c>
      <c r="C577" s="706" t="s">
        <v>2375</v>
      </c>
      <c r="D577" s="706" t="s">
        <v>2376</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-133871</v>
      </c>
      <c r="AM577" s="905">
        <f t="shared" si="33"/>
        <v>-63889</v>
      </c>
      <c r="AN577" s="905">
        <f>INDEX(G577:R577,1,MATCH(Parametres!$B$3,G$1:R$1,0))*IF(OR(F577="L",F577="S",F577="I"),-1,1)</f>
        <v>-197760</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2</v>
      </c>
      <c r="AW577" s="899">
        <f t="shared" si="35"/>
        <v>1</v>
      </c>
      <c r="AX577" s="899">
        <f>INDEX(V577:AG577,1,MATCH(Parametres!$B$3,V$1:AG$1,0))*IF(OR(C577="L",C577="S",C577="I"),-1,1)</f>
        <v>3</v>
      </c>
      <c r="AY577" s="487" t="s">
        <v>337</v>
      </c>
      <c r="AZ577" s="487" t="str">
        <f>+VLOOKUP($AJ577,Data_Validation!$A:$E,5,0)</f>
        <v>Oui</v>
      </c>
    </row>
    <row r="578" spans="1:52" ht="15" customHeight="1">
      <c r="A578" s="706" t="s">
        <v>1148</v>
      </c>
      <c r="B578" s="706">
        <v>2025</v>
      </c>
      <c r="C578" s="706" t="s">
        <v>2377</v>
      </c>
      <c r="D578" s="706" t="s">
        <v>2378</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2379</v>
      </c>
      <c r="D579" s="706" t="s">
        <v>2380</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2381</v>
      </c>
      <c r="D580" s="706" t="s">
        <v>2382</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-45128401.799999997</v>
      </c>
      <c r="AM580" s="905">
        <f t="shared" ref="AM580:AM643" si="37">AN580-AL580</f>
        <v>-13274227.350000001</v>
      </c>
      <c r="AN580" s="905">
        <f>INDEX(G580:R580,1,MATCH(Parametres!$B$3,G$1:R$1,0))*IF(OR(F580="L",F580="S",F580="I"),-1,1)</f>
        <v>-58402629.149999999</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793</v>
      </c>
      <c r="AW580" s="899">
        <f t="shared" ref="AW580:AW643" si="39">AX580-AV580</f>
        <v>230</v>
      </c>
      <c r="AX580" s="899">
        <f>INDEX(V580:AG580,1,MATCH(Parametres!$B$3,V$1:AG$1,0))*IF(OR(C580="L",C580="S",C580="I"),-1,1)</f>
        <v>1023</v>
      </c>
      <c r="AY580" s="487" t="s">
        <v>337</v>
      </c>
      <c r="AZ580" s="487" t="str">
        <f>+VLOOKUP($AJ580,Data_Validation!$A:$E,5,0)</f>
        <v>Oui</v>
      </c>
    </row>
    <row r="581" spans="1:52" ht="15" customHeight="1">
      <c r="A581" s="706" t="s">
        <v>1148</v>
      </c>
      <c r="B581" s="706">
        <v>2025</v>
      </c>
      <c r="C581" s="706" t="s">
        <v>2383</v>
      </c>
      <c r="D581" s="706" t="s">
        <v>2384</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2385</v>
      </c>
      <c r="D582" s="706" t="s">
        <v>2386</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-377401.86</v>
      </c>
      <c r="AM582" s="905">
        <f t="shared" si="37"/>
        <v>-97316</v>
      </c>
      <c r="AN582" s="905">
        <f>INDEX(G582:R582,1,MATCH(Parametres!$B$3,G$1:R$1,0))*IF(OR(F582="L",F582="S",F582="I"),-1,1)</f>
        <v>-474717.86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116</v>
      </c>
      <c r="AW582" s="899">
        <f t="shared" si="39"/>
        <v>27</v>
      </c>
      <c r="AX582" s="899">
        <f>INDEX(V582:AG582,1,MATCH(Parametres!$B$3,V$1:AG$1,0))*IF(OR(C582="L",C582="S",C582="I"),-1,1)</f>
        <v>143</v>
      </c>
      <c r="AY582" s="487" t="s">
        <v>337</v>
      </c>
      <c r="AZ582" s="487" t="str">
        <f>+VLOOKUP($AJ582,Data_Validation!$A:$E,5,0)</f>
        <v>Oui</v>
      </c>
    </row>
    <row r="583" spans="1:52" ht="15" customHeight="1">
      <c r="A583" s="706" t="s">
        <v>1148</v>
      </c>
      <c r="B583" s="706">
        <v>2025</v>
      </c>
      <c r="C583" s="706" t="s">
        <v>2387</v>
      </c>
      <c r="D583" s="706" t="s">
        <v>2388</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2389</v>
      </c>
      <c r="D584" s="706" t="s">
        <v>2390</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-1598</v>
      </c>
      <c r="AM584" s="905">
        <f t="shared" si="37"/>
        <v>-899</v>
      </c>
      <c r="AN584" s="905">
        <f>INDEX(G584:R584,1,MATCH(Parametres!$B$3,G$1:R$1,0))*IF(OR(F584="L",F584="S",F584="I"),-1,1)</f>
        <v>-2497</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2</v>
      </c>
      <c r="AW584" s="899">
        <f t="shared" si="39"/>
        <v>1</v>
      </c>
      <c r="AX584" s="899">
        <f>INDEX(V584:AG584,1,MATCH(Parametres!$B$3,V$1:AG$1,0))*IF(OR(C584="L",C584="S",C584="I"),-1,1)</f>
        <v>3</v>
      </c>
      <c r="AY584" s="487" t="s">
        <v>337</v>
      </c>
      <c r="AZ584" s="487" t="str">
        <f>+VLOOKUP($AJ584,Data_Validation!$A:$E,5,0)</f>
        <v>Oui</v>
      </c>
    </row>
    <row r="585" spans="1:52" ht="15" customHeight="1">
      <c r="A585" s="706" t="s">
        <v>1148</v>
      </c>
      <c r="B585" s="706">
        <v>2025</v>
      </c>
      <c r="C585" s="706" t="s">
        <v>2391</v>
      </c>
      <c r="D585" s="706" t="s">
        <v>2392</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-13226</v>
      </c>
      <c r="AM585" s="905">
        <f t="shared" si="37"/>
        <v>-9014</v>
      </c>
      <c r="AN585" s="905">
        <f>INDEX(G585:R585,1,MATCH(Parametres!$B$3,G$1:R$1,0))*IF(OR(F585="L",F585="S",F585="I"),-1,1)</f>
        <v>-22240</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17</v>
      </c>
      <c r="AW585" s="899">
        <f t="shared" si="39"/>
        <v>16</v>
      </c>
      <c r="AX585" s="899">
        <f>INDEX(V585:AG585,1,MATCH(Parametres!$B$3,V$1:AG$1,0))*IF(OR(C585="L",C585="S",C585="I"),-1,1)</f>
        <v>33</v>
      </c>
      <c r="AY585" s="487" t="s">
        <v>337</v>
      </c>
      <c r="AZ585" s="487" t="str">
        <f>+VLOOKUP($AJ585,Data_Validation!$A:$E,5,0)</f>
        <v>Oui</v>
      </c>
    </row>
    <row r="586" spans="1:52" ht="15" customHeight="1">
      <c r="A586" s="706" t="s">
        <v>1148</v>
      </c>
      <c r="B586" s="706">
        <v>2025</v>
      </c>
      <c r="C586" s="706" t="s">
        <v>2393</v>
      </c>
      <c r="D586" s="706" t="s">
        <v>2394</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-39828</v>
      </c>
      <c r="AM586" s="905">
        <f t="shared" si="37"/>
        <v>-6788</v>
      </c>
      <c r="AN586" s="905">
        <f>INDEX(G586:R586,1,MATCH(Parametres!$B$3,G$1:R$1,0))*IF(OR(F586="L",F586="S",F586="I"),-1,1)</f>
        <v>-46616</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14</v>
      </c>
      <c r="AW586" s="899">
        <f t="shared" si="39"/>
        <v>2</v>
      </c>
      <c r="AX586" s="899">
        <f>INDEX(V586:AG586,1,MATCH(Parametres!$B$3,V$1:AG$1,0))*IF(OR(C586="L",C586="S",C586="I"),-1,1)</f>
        <v>16</v>
      </c>
      <c r="AY586" s="487" t="s">
        <v>337</v>
      </c>
      <c r="AZ586" s="487" t="str">
        <f>+VLOOKUP($AJ586,Data_Validation!$A:$E,5,0)</f>
        <v>Oui</v>
      </c>
    </row>
    <row r="587" spans="1:52" ht="15" customHeight="1">
      <c r="A587" s="706" t="s">
        <v>1148</v>
      </c>
      <c r="B587" s="706">
        <v>2025</v>
      </c>
      <c r="C587" s="706" t="s">
        <v>2395</v>
      </c>
      <c r="D587" s="706" t="s">
        <v>2396</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-18953</v>
      </c>
      <c r="AM587" s="905">
        <f t="shared" si="37"/>
        <v>-3746</v>
      </c>
      <c r="AN587" s="905">
        <f>INDEX(G587:R587,1,MATCH(Parametres!$B$3,G$1:R$1,0))*IF(OR(F587="L",F587="S",F587="I"),-1,1)</f>
        <v>-22699</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43</v>
      </c>
      <c r="AW587" s="899">
        <f t="shared" si="39"/>
        <v>9</v>
      </c>
      <c r="AX587" s="899">
        <f>INDEX(V587:AG587,1,MATCH(Parametres!$B$3,V$1:AG$1,0))*IF(OR(C587="L",C587="S",C587="I"),-1,1)</f>
        <v>52</v>
      </c>
      <c r="AY587" s="487" t="s">
        <v>337</v>
      </c>
      <c r="AZ587" s="487" t="str">
        <f>+VLOOKUP($AJ587,Data_Validation!$A:$E,5,0)</f>
        <v>Oui</v>
      </c>
    </row>
    <row r="588" spans="1:52" ht="15" customHeight="1">
      <c r="A588" s="706" t="s">
        <v>1148</v>
      </c>
      <c r="B588" s="706">
        <v>2025</v>
      </c>
      <c r="C588" s="706" t="s">
        <v>2397</v>
      </c>
      <c r="D588" s="706" t="s">
        <v>2398</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2399</v>
      </c>
      <c r="D589" s="706" t="s">
        <v>2400</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-561025.56000000006</v>
      </c>
      <c r="AM589" s="905">
        <f t="shared" si="37"/>
        <v>-66954.949999999953</v>
      </c>
      <c r="AN589" s="905">
        <f>INDEX(G589:R589,1,MATCH(Parametres!$B$3,G$1:R$1,0))*IF(OR(F589="L",F589="S",F589="I"),-1,1)</f>
        <v>-627980.51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17</v>
      </c>
      <c r="AW589" s="899">
        <f t="shared" si="39"/>
        <v>3</v>
      </c>
      <c r="AX589" s="899">
        <f>INDEX(V589:AG589,1,MATCH(Parametres!$B$3,V$1:AG$1,0))*IF(OR(C589="L",C589="S",C589="I"),-1,1)</f>
        <v>20</v>
      </c>
      <c r="AY589" s="487" t="s">
        <v>337</v>
      </c>
      <c r="AZ589" s="487" t="str">
        <f>+VLOOKUP($AJ589,Data_Validation!$A:$E,5,0)</f>
        <v>Oui</v>
      </c>
    </row>
    <row r="590" spans="1:52" ht="15" customHeight="1">
      <c r="A590" s="706" t="s">
        <v>1148</v>
      </c>
      <c r="B590" s="706">
        <v>2025</v>
      </c>
      <c r="C590" s="706" t="s">
        <v>2401</v>
      </c>
      <c r="D590" s="706" t="s">
        <v>2402</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2403</v>
      </c>
      <c r="D591" s="706" t="s">
        <v>2404</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2405</v>
      </c>
      <c r="D592" s="706" t="s">
        <v>2406</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2407</v>
      </c>
      <c r="D593" s="706" t="s">
        <v>2408</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2409</v>
      </c>
      <c r="D594" s="706" t="s">
        <v>2410</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-839418.87</v>
      </c>
      <c r="AM594" s="905">
        <f t="shared" si="37"/>
        <v>-50700</v>
      </c>
      <c r="AN594" s="905">
        <f>INDEX(G594:R594,1,MATCH(Parametres!$B$3,G$1:R$1,0))*IF(OR(F594="L",F594="S",F594="I"),-1,1)</f>
        <v>-890118.87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39</v>
      </c>
      <c r="AW594" s="899">
        <f t="shared" si="39"/>
        <v>6</v>
      </c>
      <c r="AX594" s="899">
        <f>INDEX(V594:AG594,1,MATCH(Parametres!$B$3,V$1:AG$1,0))*IF(OR(C594="L",C594="S",C594="I"),-1,1)</f>
        <v>45</v>
      </c>
      <c r="AY594" s="487" t="s">
        <v>337</v>
      </c>
      <c r="AZ594" s="487" t="str">
        <f>+VLOOKUP($AJ594,Data_Validation!$A:$E,5,0)</f>
        <v>Oui</v>
      </c>
    </row>
    <row r="595" spans="1:52" ht="15" customHeight="1">
      <c r="A595" s="706" t="s">
        <v>1148</v>
      </c>
      <c r="B595" s="706">
        <v>2025</v>
      </c>
      <c r="C595" s="706" t="s">
        <v>2411</v>
      </c>
      <c r="D595" s="706" t="s">
        <v>2412</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2413</v>
      </c>
      <c r="D596" s="706" t="s">
        <v>2414</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2415</v>
      </c>
      <c r="D597" s="706" t="s">
        <v>2416</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-509648.11</v>
      </c>
      <c r="AM597" s="905">
        <f t="shared" si="37"/>
        <v>-67869.219999999972</v>
      </c>
      <c r="AN597" s="905">
        <f>INDEX(G597:R597,1,MATCH(Parametres!$B$3,G$1:R$1,0))*IF(OR(F597="L",F597="S",F597="I"),-1,1)</f>
        <v>-577517.32999999996</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19</v>
      </c>
      <c r="AW597" s="899">
        <f t="shared" si="39"/>
        <v>2</v>
      </c>
      <c r="AX597" s="899">
        <f>INDEX(V597:AG597,1,MATCH(Parametres!$B$3,V$1:AG$1,0))*IF(OR(C597="L",C597="S",C597="I"),-1,1)</f>
        <v>21</v>
      </c>
      <c r="AY597" s="487" t="s">
        <v>337</v>
      </c>
      <c r="AZ597" s="487" t="str">
        <f>+VLOOKUP($AJ597,Data_Validation!$A:$E,5,0)</f>
        <v>Oui</v>
      </c>
    </row>
    <row r="598" spans="1:52" ht="15" customHeight="1">
      <c r="A598" s="706" t="s">
        <v>1148</v>
      </c>
      <c r="B598" s="706">
        <v>2025</v>
      </c>
      <c r="C598" s="706" t="s">
        <v>2417</v>
      </c>
      <c r="D598" s="706" t="s">
        <v>2418</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2419</v>
      </c>
      <c r="D599" s="706" t="s">
        <v>2420</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2421</v>
      </c>
      <c r="D600" s="706" t="s">
        <v>2422</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2423</v>
      </c>
      <c r="D601" s="706" t="s">
        <v>2424</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2425</v>
      </c>
      <c r="D602" s="706" t="s">
        <v>2426</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-8521104.5500000007</v>
      </c>
      <c r="AM602" s="905">
        <f t="shared" si="37"/>
        <v>-3652253.5199999996</v>
      </c>
      <c r="AN602" s="905">
        <f>INDEX(G602:R602,1,MATCH(Parametres!$B$3,G$1:R$1,0))*IF(OR(F602="L",F602="S",F602="I"),-1,1)</f>
        <v>-12173358.07</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232</v>
      </c>
      <c r="AW602" s="899">
        <f t="shared" si="39"/>
        <v>73</v>
      </c>
      <c r="AX602" s="899">
        <f>INDEX(V602:AG602,1,MATCH(Parametres!$B$3,V$1:AG$1,0))*IF(OR(C602="L",C602="S",C602="I"),-1,1)</f>
        <v>305</v>
      </c>
      <c r="AY602" s="487" t="s">
        <v>337</v>
      </c>
      <c r="AZ602" s="487" t="str">
        <f>+VLOOKUP($AJ602,Data_Validation!$A:$E,5,0)</f>
        <v>Oui</v>
      </c>
    </row>
    <row r="603" spans="1:52" ht="15" customHeight="1">
      <c r="A603" s="706" t="s">
        <v>1148</v>
      </c>
      <c r="B603" s="706">
        <v>2025</v>
      </c>
      <c r="C603" s="706" t="s">
        <v>2427</v>
      </c>
      <c r="D603" s="706" t="s">
        <v>2428</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-12815770</v>
      </c>
      <c r="AM603" s="905">
        <f t="shared" si="37"/>
        <v>-1425400</v>
      </c>
      <c r="AN603" s="905">
        <f>INDEX(G603:R603,1,MATCH(Parametres!$B$3,G$1:R$1,0))*IF(OR(F603="L",F603="S",F603="I"),-1,1)</f>
        <v>-14241170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113</v>
      </c>
      <c r="AW603" s="899">
        <f t="shared" si="39"/>
        <v>9</v>
      </c>
      <c r="AX603" s="899">
        <f>INDEX(V603:AG603,1,MATCH(Parametres!$B$3,V$1:AG$1,0))*IF(OR(C603="L",C603="S",C603="I"),-1,1)</f>
        <v>122</v>
      </c>
      <c r="AY603" s="487" t="s">
        <v>337</v>
      </c>
      <c r="AZ603" s="487" t="str">
        <f>+VLOOKUP($AJ603,Data_Validation!$A:$E,5,0)</f>
        <v>Oui</v>
      </c>
    </row>
    <row r="604" spans="1:52" ht="15" customHeight="1">
      <c r="A604" s="706" t="s">
        <v>1148</v>
      </c>
      <c r="B604" s="706">
        <v>2025</v>
      </c>
      <c r="C604" s="706" t="s">
        <v>2429</v>
      </c>
      <c r="D604" s="706" t="s">
        <v>2430</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2431</v>
      </c>
      <c r="D605" s="706" t="s">
        <v>2432</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-72371</v>
      </c>
      <c r="AM605" s="905">
        <f t="shared" si="37"/>
        <v>0</v>
      </c>
      <c r="AN605" s="905">
        <f>INDEX(G605:R605,1,MATCH(Parametres!$B$3,G$1:R$1,0))*IF(OR(F605="L",F605="S",F605="I"),-1,1)</f>
        <v>-72371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22</v>
      </c>
      <c r="AW605" s="899">
        <f t="shared" si="39"/>
        <v>0</v>
      </c>
      <c r="AX605" s="899">
        <f>INDEX(V605:AG605,1,MATCH(Parametres!$B$3,V$1:AG$1,0))*IF(OR(C605="L",C605="S",C605="I"),-1,1)</f>
        <v>22</v>
      </c>
      <c r="AY605" s="487" t="s">
        <v>337</v>
      </c>
      <c r="AZ605" s="487" t="str">
        <f>+VLOOKUP($AJ605,Data_Validation!$A:$E,5,0)</f>
        <v>Oui</v>
      </c>
    </row>
    <row r="606" spans="1:52" ht="15" customHeight="1">
      <c r="A606" s="706" t="s">
        <v>1148</v>
      </c>
      <c r="B606" s="706">
        <v>2025</v>
      </c>
      <c r="C606" s="706" t="s">
        <v>2433</v>
      </c>
      <c r="D606" s="706" t="s">
        <v>2434</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2435</v>
      </c>
      <c r="D607" s="706" t="s">
        <v>2436</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-4849</v>
      </c>
      <c r="AM607" s="905">
        <f t="shared" si="37"/>
        <v>0</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3</v>
      </c>
      <c r="AW607" s="899">
        <f t="shared" si="39"/>
        <v>0</v>
      </c>
      <c r="AX607" s="899">
        <f>INDEX(V607:AG607,1,MATCH(Parametres!$B$3,V$1:AG$1,0))*IF(OR(C607="L",C607="S",C607="I"),-1,1)</f>
        <v>3</v>
      </c>
      <c r="AY607" s="487" t="s">
        <v>337</v>
      </c>
      <c r="AZ607" s="487" t="str">
        <f>+VLOOKUP($AJ607,Data_Validation!$A:$E,5,0)</f>
        <v>Oui</v>
      </c>
    </row>
    <row r="608" spans="1:52" ht="15" customHeight="1">
      <c r="A608" s="706" t="s">
        <v>1148</v>
      </c>
      <c r="B608" s="706">
        <v>2025</v>
      </c>
      <c r="C608" s="706" t="s">
        <v>2437</v>
      </c>
      <c r="D608" s="706" t="s">
        <v>2438</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-603770.98</v>
      </c>
      <c r="AM608" s="905">
        <f t="shared" si="37"/>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17</v>
      </c>
      <c r="AW608" s="899">
        <f t="shared" si="39"/>
        <v>0</v>
      </c>
      <c r="AX608" s="899">
        <f>INDEX(V608:AG608,1,MATCH(Parametres!$B$3,V$1:AG$1,0))*IF(OR(C608="L",C608="S",C608="I"),-1,1)</f>
        <v>17</v>
      </c>
      <c r="AY608" s="487" t="s">
        <v>337</v>
      </c>
      <c r="AZ608" s="487" t="str">
        <f>+VLOOKUP($AJ608,Data_Validation!$A:$E,5,0)</f>
        <v>Oui</v>
      </c>
    </row>
    <row r="609" spans="1:52" ht="15" customHeight="1">
      <c r="A609" s="706" t="s">
        <v>1148</v>
      </c>
      <c r="B609" s="706">
        <v>2025</v>
      </c>
      <c r="C609" s="706" t="s">
        <v>2439</v>
      </c>
      <c r="D609" s="706" t="s">
        <v>2440</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2441</v>
      </c>
      <c r="D610" s="706" t="s">
        <v>2442</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-15602569.17</v>
      </c>
      <c r="AM610" s="905">
        <f t="shared" si="37"/>
        <v>-5578156.459999999</v>
      </c>
      <c r="AN610" s="905">
        <f>INDEX(G610:R610,1,MATCH(Parametres!$B$3,G$1:R$1,0))*IF(OR(F610="L",F610="S",F610="I"),-1,1)</f>
        <v>-21180725.629999999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290</v>
      </c>
      <c r="AW610" s="899">
        <f t="shared" si="39"/>
        <v>97</v>
      </c>
      <c r="AX610" s="899">
        <f>INDEX(V610:AG610,1,MATCH(Parametres!$B$3,V$1:AG$1,0))*IF(OR(C610="L",C610="S",C610="I"),-1,1)</f>
        <v>387</v>
      </c>
      <c r="AY610" s="487" t="s">
        <v>337</v>
      </c>
      <c r="AZ610" s="487" t="str">
        <f>+VLOOKUP($AJ610,Data_Validation!$A:$E,5,0)</f>
        <v>Oui</v>
      </c>
    </row>
    <row r="611" spans="1:52" ht="15" customHeight="1">
      <c r="A611" s="706" t="s">
        <v>1148</v>
      </c>
      <c r="B611" s="706">
        <v>2025</v>
      </c>
      <c r="C611" s="706" t="s">
        <v>2447</v>
      </c>
      <c r="D611" s="706" t="s">
        <v>2448</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-389766.51</v>
      </c>
      <c r="AM611" s="905">
        <f t="shared" si="37"/>
        <v>-74285.520000000019</v>
      </c>
      <c r="AN611" s="905">
        <f>INDEX(G611:R611,1,MATCH(Parametres!$B$3,G$1:R$1,0))*IF(OR(F611="L",F611="S",F611="I"),-1,1)</f>
        <v>-464052.03</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1017</v>
      </c>
      <c r="AW611" s="899">
        <f t="shared" si="39"/>
        <v>189</v>
      </c>
      <c r="AX611" s="899">
        <f>INDEX(V611:AG611,1,MATCH(Parametres!$B$3,V$1:AG$1,0))*IF(OR(C611="L",C611="S",C611="I"),-1,1)</f>
        <v>1206</v>
      </c>
      <c r="AY611" s="487" t="s">
        <v>337</v>
      </c>
      <c r="AZ611" s="487" t="str">
        <f>+VLOOKUP($AJ611,Data_Validation!$A:$E,5,0)</f>
        <v>Oui</v>
      </c>
    </row>
    <row r="612" spans="1:52" ht="15" customHeight="1">
      <c r="A612" s="706" t="s">
        <v>1148</v>
      </c>
      <c r="B612" s="706">
        <v>2025</v>
      </c>
      <c r="C612" s="706" t="s">
        <v>2449</v>
      </c>
      <c r="D612" s="706" t="s">
        <v>2450</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1:52" ht="15" customHeight="1">
      <c r="A613" s="706" t="s">
        <v>1148</v>
      </c>
      <c r="B613" s="706">
        <v>2025</v>
      </c>
      <c r="C613" s="706" t="s">
        <v>2451</v>
      </c>
      <c r="D613" s="706" t="s">
        <v>2452</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2453</v>
      </c>
      <c r="D614" s="706" t="s">
        <v>2454</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-55263.53</v>
      </c>
      <c r="AM614" s="905">
        <f t="shared" si="37"/>
        <v>-6088.2000000000044</v>
      </c>
      <c r="AN614" s="905">
        <f>INDEX(G614:R614,1,MATCH(Parametres!$B$3,G$1:R$1,0))*IF(OR(F614="L",F614="S",F614="I"),-1,1)</f>
        <v>-61351.73</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289</v>
      </c>
      <c r="AW614" s="899">
        <f t="shared" si="39"/>
        <v>21</v>
      </c>
      <c r="AX614" s="899">
        <f>INDEX(V614:AG614,1,MATCH(Parametres!$B$3,V$1:AG$1,0))*IF(OR(C614="L",C614="S",C614="I"),-1,1)</f>
        <v>310</v>
      </c>
      <c r="AY614" s="487" t="s">
        <v>337</v>
      </c>
      <c r="AZ614" s="487" t="str">
        <f>+VLOOKUP($AJ614,Data_Validation!$A:$E,5,0)</f>
        <v>Oui</v>
      </c>
    </row>
    <row r="615" spans="1:52" ht="15" customHeight="1">
      <c r="A615" s="706" t="s">
        <v>1148</v>
      </c>
      <c r="B615" s="706">
        <v>2025</v>
      </c>
      <c r="C615" s="706" t="s">
        <v>2455</v>
      </c>
      <c r="D615" s="706" t="s">
        <v>2456</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-445138.99</v>
      </c>
      <c r="AM615" s="905">
        <f t="shared" si="37"/>
        <v>-79714.150000000023</v>
      </c>
      <c r="AN615" s="905">
        <f>INDEX(G615:R615,1,MATCH(Parametres!$B$3,G$1:R$1,0))*IF(OR(F615="L",F615="S",F615="I"),-1,1)</f>
        <v>-524853.14</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2985</v>
      </c>
      <c r="AW615" s="899">
        <f t="shared" si="39"/>
        <v>546</v>
      </c>
      <c r="AX615" s="899">
        <f>INDEX(V615:AG615,1,MATCH(Parametres!$B$3,V$1:AG$1,0))*IF(OR(C615="L",C615="S",C615="I"),-1,1)</f>
        <v>3531</v>
      </c>
      <c r="AY615" s="487" t="s">
        <v>337</v>
      </c>
      <c r="AZ615" s="487" t="str">
        <f>+VLOOKUP($AJ615,Data_Validation!$A:$E,5,0)</f>
        <v>Oui</v>
      </c>
    </row>
    <row r="616" spans="1:52" ht="15" customHeight="1">
      <c r="A616" s="706" t="s">
        <v>1148</v>
      </c>
      <c r="B616" s="706">
        <v>2025</v>
      </c>
      <c r="C616" s="706" t="s">
        <v>2457</v>
      </c>
      <c r="D616" s="706" t="s">
        <v>2458</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2459</v>
      </c>
      <c r="D617" s="706" t="s">
        <v>2460</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2461</v>
      </c>
      <c r="D618" s="706" t="s">
        <v>2462</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-260162.71</v>
      </c>
      <c r="AM618" s="905">
        <f t="shared" si="37"/>
        <v>-52490.790000000008</v>
      </c>
      <c r="AN618" s="905">
        <f>INDEX(G618:R618,1,MATCH(Parametres!$B$3,G$1:R$1,0))*IF(OR(F618="L",F618="S",F618="I"),-1,1)</f>
        <v>-312653.5</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1634</v>
      </c>
      <c r="AW618" s="899">
        <f t="shared" si="39"/>
        <v>377</v>
      </c>
      <c r="AX618" s="899">
        <f>INDEX(V618:AG618,1,MATCH(Parametres!$B$3,V$1:AG$1,0))*IF(OR(C618="L",C618="S",C618="I"),-1,1)</f>
        <v>2011</v>
      </c>
      <c r="AY618" s="487" t="s">
        <v>337</v>
      </c>
      <c r="AZ618" s="487" t="str">
        <f>+VLOOKUP($AJ618,Data_Validation!$A:$E,5,0)</f>
        <v>Oui</v>
      </c>
    </row>
    <row r="619" spans="1:52" ht="15" customHeight="1">
      <c r="A619" s="706" t="s">
        <v>1148</v>
      </c>
      <c r="B619" s="706">
        <v>2025</v>
      </c>
      <c r="C619" s="706" t="s">
        <v>2463</v>
      </c>
      <c r="D619" s="706" t="s">
        <v>2464</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-208713.58</v>
      </c>
      <c r="AM619" s="905">
        <f t="shared" si="37"/>
        <v>-40276.420000000013</v>
      </c>
      <c r="AN619" s="905">
        <f>INDEX(G619:R619,1,MATCH(Parametres!$B$3,G$1:R$1,0))*IF(OR(F619="L",F619="S",F619="I"),-1,1)</f>
        <v>-248990</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1707</v>
      </c>
      <c r="AW619" s="899">
        <f t="shared" si="39"/>
        <v>355</v>
      </c>
      <c r="AX619" s="899">
        <f>INDEX(V619:AG619,1,MATCH(Parametres!$B$3,V$1:AG$1,0))*IF(OR(C619="L",C619="S",C619="I"),-1,1)</f>
        <v>2062</v>
      </c>
      <c r="AY619" s="487" t="s">
        <v>337</v>
      </c>
      <c r="AZ619" s="487" t="str">
        <f>+VLOOKUP($AJ619,Data_Validation!$A:$E,5,0)</f>
        <v>Oui</v>
      </c>
    </row>
    <row r="620" spans="1:52" ht="15" customHeight="1">
      <c r="A620" s="706" t="s">
        <v>1148</v>
      </c>
      <c r="B620" s="706">
        <v>2025</v>
      </c>
      <c r="C620" s="706" t="s">
        <v>2465</v>
      </c>
      <c r="D620" s="706" t="s">
        <v>2466</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-1650</v>
      </c>
      <c r="AM620" s="905">
        <f t="shared" si="37"/>
        <v>-1500</v>
      </c>
      <c r="AN620" s="905">
        <f>INDEX(G620:R620,1,MATCH(Parametres!$B$3,G$1:R$1,0))*IF(OR(F620="L",F620="S",F620="I"),-1,1)</f>
        <v>-3150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14</v>
      </c>
      <c r="AW620" s="899">
        <f t="shared" si="39"/>
        <v>13</v>
      </c>
      <c r="AX620" s="899">
        <f>INDEX(V620:AG620,1,MATCH(Parametres!$B$3,V$1:AG$1,0))*IF(OR(C620="L",C620="S",C620="I"),-1,1)</f>
        <v>27</v>
      </c>
      <c r="AY620" s="487" t="s">
        <v>337</v>
      </c>
      <c r="AZ620" s="487" t="str">
        <f>+VLOOKUP($AJ620,Data_Validation!$A:$E,5,0)</f>
        <v>Oui</v>
      </c>
    </row>
    <row r="621" spans="1:52" ht="15" customHeight="1">
      <c r="A621" s="706" t="s">
        <v>1148</v>
      </c>
      <c r="B621" s="706">
        <v>2025</v>
      </c>
      <c r="C621" s="706" t="s">
        <v>2467</v>
      </c>
      <c r="D621" s="706" t="s">
        <v>2468</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-166283.57</v>
      </c>
      <c r="AM621" s="905">
        <f t="shared" si="37"/>
        <v>-50627.94</v>
      </c>
      <c r="AN621" s="905">
        <f>INDEX(G621:R621,1,MATCH(Parametres!$B$3,G$1:R$1,0))*IF(OR(F621="L",F621="S",F621="I"),-1,1)</f>
        <v>-216911.51</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1107</v>
      </c>
      <c r="AW621" s="899">
        <f t="shared" si="39"/>
        <v>336</v>
      </c>
      <c r="AX621" s="899">
        <f>INDEX(V621:AG621,1,MATCH(Parametres!$B$3,V$1:AG$1,0))*IF(OR(C621="L",C621="S",C621="I"),-1,1)</f>
        <v>1443</v>
      </c>
      <c r="AY621" s="487" t="s">
        <v>337</v>
      </c>
      <c r="AZ621" s="487" t="str">
        <f>+VLOOKUP($AJ621,Data_Validation!$A:$E,5,0)</f>
        <v>Oui</v>
      </c>
    </row>
    <row r="622" spans="1:52" ht="15" customHeight="1">
      <c r="A622" s="706" t="s">
        <v>1148</v>
      </c>
      <c r="B622" s="706">
        <v>2025</v>
      </c>
      <c r="C622" s="706" t="s">
        <v>2469</v>
      </c>
      <c r="D622" s="706" t="s">
        <v>2470</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2471</v>
      </c>
      <c r="D623" s="706" t="s">
        <v>2472</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2473</v>
      </c>
      <c r="D624" s="706" t="s">
        <v>2474</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-93001.79</v>
      </c>
      <c r="AM624" s="905">
        <f t="shared" si="37"/>
        <v>-31251.180000000008</v>
      </c>
      <c r="AN624" s="905">
        <f>INDEX(G624:R624,1,MATCH(Parametres!$B$3,G$1:R$1,0))*IF(OR(F624="L",F624="S",F624="I"),-1,1)</f>
        <v>-124252.97</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236</v>
      </c>
      <c r="AW624" s="899">
        <f t="shared" si="39"/>
        <v>62</v>
      </c>
      <c r="AX624" s="899">
        <f>INDEX(V624:AG624,1,MATCH(Parametres!$B$3,V$1:AG$1,0))*IF(OR(C624="L",C624="S",C624="I"),-1,1)</f>
        <v>298</v>
      </c>
      <c r="AY624" s="487" t="s">
        <v>337</v>
      </c>
      <c r="AZ624" s="487" t="str">
        <f>+VLOOKUP($AJ624,Data_Validation!$A:$E,5,0)</f>
        <v>Oui</v>
      </c>
    </row>
    <row r="625" spans="1:52" ht="15" customHeight="1">
      <c r="A625" s="706" t="s">
        <v>1148</v>
      </c>
      <c r="B625" s="706">
        <v>2025</v>
      </c>
      <c r="C625" s="706" t="s">
        <v>2475</v>
      </c>
      <c r="D625" s="706" t="s">
        <v>2476</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2477</v>
      </c>
      <c r="D626" s="706" t="s">
        <v>2478</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2479</v>
      </c>
      <c r="D627" s="706" t="s">
        <v>2480</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-307613.48</v>
      </c>
      <c r="AM627" s="905">
        <f t="shared" si="37"/>
        <v>-50774.790000000037</v>
      </c>
      <c r="AN627" s="905">
        <f>INDEX(G627:R627,1,MATCH(Parametres!$B$3,G$1:R$1,0))*IF(OR(F627="L",F627="S",F627="I"),-1,1)</f>
        <v>-358388.27</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911</v>
      </c>
      <c r="AW627" s="899">
        <f t="shared" si="39"/>
        <v>190</v>
      </c>
      <c r="AX627" s="899">
        <f>INDEX(V627:AG627,1,MATCH(Parametres!$B$3,V$1:AG$1,0))*IF(OR(C627="L",C627="S",C627="I"),-1,1)</f>
        <v>1101</v>
      </c>
      <c r="AY627" s="487" t="s">
        <v>337</v>
      </c>
      <c r="AZ627" s="487" t="str">
        <f>+VLOOKUP($AJ627,Data_Validation!$A:$E,5,0)</f>
        <v>Oui</v>
      </c>
    </row>
    <row r="628" spans="1:52" ht="15" customHeight="1">
      <c r="A628" s="706" t="s">
        <v>1148</v>
      </c>
      <c r="B628" s="706">
        <v>2025</v>
      </c>
      <c r="C628" s="706" t="s">
        <v>2481</v>
      </c>
      <c r="D628" s="706" t="s">
        <v>2482</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2483</v>
      </c>
      <c r="D629" s="706" t="s">
        <v>2484</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2485</v>
      </c>
      <c r="D630" s="706" t="s">
        <v>2486</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2487</v>
      </c>
      <c r="D631" s="706" t="s">
        <v>2488</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2489</v>
      </c>
      <c r="D632" s="706" t="s">
        <v>2490</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2491</v>
      </c>
      <c r="D633" s="706" t="s">
        <v>2492</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-12324.39</v>
      </c>
      <c r="AM633" s="905">
        <f t="shared" si="37"/>
        <v>-3811</v>
      </c>
      <c r="AN633" s="905">
        <f>INDEX(G633:R633,1,MATCH(Parametres!$B$3,G$1:R$1,0))*IF(OR(F633="L",F633="S",F633="I"),-1,1)</f>
        <v>-16135.39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1187</v>
      </c>
      <c r="AW633" s="899">
        <f t="shared" si="39"/>
        <v>354</v>
      </c>
      <c r="AX633" s="899">
        <f>INDEX(V633:AG633,1,MATCH(Parametres!$B$3,V$1:AG$1,0))*IF(OR(C633="L",C633="S",C633="I"),-1,1)</f>
        <v>1541</v>
      </c>
      <c r="AY633" s="487" t="s">
        <v>337</v>
      </c>
      <c r="AZ633" s="487" t="str">
        <f>+VLOOKUP($AJ633,Data_Validation!$A:$E,5,0)</f>
        <v>Oui</v>
      </c>
    </row>
    <row r="634" spans="1:52" ht="15" customHeight="1">
      <c r="A634" s="706" t="s">
        <v>1148</v>
      </c>
      <c r="B634" s="706">
        <v>2025</v>
      </c>
      <c r="C634" s="706" t="s">
        <v>2493</v>
      </c>
      <c r="D634" s="706" t="s">
        <v>2494</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0</v>
      </c>
      <c r="AX634" s="899">
        <f>INDEX(V634:AG634,1,MATCH(Parametres!$B$3,V$1:AG$1,0))*IF(OR(C634="L",C634="S",C634="I"),-1,1)</f>
        <v>0</v>
      </c>
      <c r="AY634" s="487" t="s">
        <v>337</v>
      </c>
      <c r="AZ634" s="487" t="str">
        <f>+VLOOKUP($AJ634,Data_Validation!$A:$E,5,0)</f>
        <v>Oui</v>
      </c>
    </row>
    <row r="635" spans="1:52" ht="15" customHeight="1">
      <c r="A635" s="706" t="s">
        <v>1148</v>
      </c>
      <c r="B635" s="706">
        <v>2025</v>
      </c>
      <c r="C635" s="706" t="s">
        <v>2497</v>
      </c>
      <c r="D635" s="706" t="s">
        <v>2498</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-231135.67</v>
      </c>
      <c r="AM635" s="905">
        <f t="shared" si="37"/>
        <v>-42485.899999999994</v>
      </c>
      <c r="AN635" s="905">
        <f>INDEX(G635:R635,1,MATCH(Parametres!$B$3,G$1:R$1,0))*IF(OR(F635="L",F635="S",F635="I"),-1,1)</f>
        <v>-273621.57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174</v>
      </c>
      <c r="AW635" s="899">
        <f t="shared" si="39"/>
        <v>33</v>
      </c>
      <c r="AX635" s="899">
        <f>INDEX(V635:AG635,1,MATCH(Parametres!$B$3,V$1:AG$1,0))*IF(OR(C635="L",C635="S",C635="I"),-1,1)</f>
        <v>207</v>
      </c>
      <c r="AY635" s="487" t="s">
        <v>337</v>
      </c>
      <c r="AZ635" s="487" t="str">
        <f>+VLOOKUP($AJ635,Data_Validation!$A:$E,5,0)</f>
        <v>Oui</v>
      </c>
    </row>
    <row r="636" spans="1:52" ht="15" customHeight="1">
      <c r="A636" s="706" t="s">
        <v>1148</v>
      </c>
      <c r="B636" s="706">
        <v>2025</v>
      </c>
      <c r="C636" s="706" t="s">
        <v>2507</v>
      </c>
      <c r="D636" s="706" t="s">
        <v>2508</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-301.60000000000002</v>
      </c>
      <c r="AM636" s="905">
        <f t="shared" si="37"/>
        <v>-239.19999999999993</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1</v>
      </c>
      <c r="AW636" s="899">
        <f t="shared" si="39"/>
        <v>1</v>
      </c>
      <c r="AX636" s="899">
        <f>INDEX(V636:AG636,1,MATCH(Parametres!$B$3,V$1:AG$1,0))*IF(OR(C636="L",C636="S",C636="I"),-1,1)</f>
        <v>2</v>
      </c>
      <c r="AY636" s="487" t="s">
        <v>337</v>
      </c>
      <c r="AZ636" s="487" t="str">
        <f>+VLOOKUP($AJ636,Data_Validation!$A:$E,5,0)</f>
        <v>Oui</v>
      </c>
    </row>
    <row r="637" spans="1:52" ht="15" customHeight="1">
      <c r="A637" s="706" t="s">
        <v>1148</v>
      </c>
      <c r="B637" s="706">
        <v>2025</v>
      </c>
      <c r="C637" s="706" t="s">
        <v>2509</v>
      </c>
      <c r="D637" s="706" t="s">
        <v>2510</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-14166.73</v>
      </c>
      <c r="AM637" s="905">
        <f t="shared" si="37"/>
        <v>-5239.1700000000019</v>
      </c>
      <c r="AN637" s="905">
        <f>INDEX(G637:R637,1,MATCH(Parametres!$B$3,G$1:R$1,0))*IF(OR(F637="L",F637="S",F637="I"),-1,1)</f>
        <v>-19405.900000000001</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21</v>
      </c>
      <c r="AW637" s="899">
        <f t="shared" si="39"/>
        <v>8</v>
      </c>
      <c r="AX637" s="899">
        <f>INDEX(V637:AG637,1,MATCH(Parametres!$B$3,V$1:AG$1,0))*IF(OR(C637="L",C637="S",C637="I"),-1,1)</f>
        <v>29</v>
      </c>
      <c r="AY637" s="487" t="s">
        <v>337</v>
      </c>
      <c r="AZ637" s="487" t="str">
        <f>+VLOOKUP($AJ637,Data_Validation!$A:$E,5,0)</f>
        <v>Oui</v>
      </c>
    </row>
    <row r="638" spans="1:52" ht="15" customHeight="1">
      <c r="A638" s="706" t="s">
        <v>1148</v>
      </c>
      <c r="B638" s="706">
        <v>2025</v>
      </c>
      <c r="C638" s="706" t="s">
        <v>2515</v>
      </c>
      <c r="D638" s="706" t="s">
        <v>2516</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2517</v>
      </c>
      <c r="D639" s="706" t="s">
        <v>2518</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-393493.06</v>
      </c>
      <c r="AM639" s="905">
        <f t="shared" si="37"/>
        <v>-70380.56</v>
      </c>
      <c r="AN639" s="905">
        <f>INDEX(G639:R639,1,MATCH(Parametres!$B$3,G$1:R$1,0))*IF(OR(F639="L",F639="S",F639="I"),-1,1)</f>
        <v>-463873.62</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192</v>
      </c>
      <c r="AW639" s="899">
        <f t="shared" si="39"/>
        <v>27</v>
      </c>
      <c r="AX639" s="899">
        <f>INDEX(V639:AG639,1,MATCH(Parametres!$B$3,V$1:AG$1,0))*IF(OR(C639="L",C639="S",C639="I"),-1,1)</f>
        <v>219</v>
      </c>
      <c r="AY639" s="487" t="s">
        <v>337</v>
      </c>
      <c r="AZ639" s="487" t="str">
        <f>+VLOOKUP($AJ639,Data_Validation!$A:$E,5,0)</f>
        <v>Oui</v>
      </c>
    </row>
    <row r="640" spans="1:52" ht="15" customHeight="1">
      <c r="A640" s="706" t="s">
        <v>1148</v>
      </c>
      <c r="B640" s="706">
        <v>2025</v>
      </c>
      <c r="C640" s="706" t="s">
        <v>2535</v>
      </c>
      <c r="D640" s="706" t="s">
        <v>2536</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-18.350000000000001</v>
      </c>
      <c r="AM640" s="905">
        <f t="shared" si="37"/>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1</v>
      </c>
      <c r="AW640" s="899">
        <f t="shared" si="39"/>
        <v>0</v>
      </c>
      <c r="AX640" s="899">
        <f>INDEX(V640:AG640,1,MATCH(Parametres!$B$3,V$1:AG$1,0))*IF(OR(C640="L",C640="S",C640="I"),-1,1)</f>
        <v>1</v>
      </c>
      <c r="AY640" s="487" t="s">
        <v>337</v>
      </c>
      <c r="AZ640" s="487" t="str">
        <f>+VLOOKUP($AJ640,Data_Validation!$A:$E,5,0)</f>
        <v>Oui</v>
      </c>
    </row>
    <row r="641" spans="1:52" ht="15" customHeight="1">
      <c r="A641" s="706" t="s">
        <v>1148</v>
      </c>
      <c r="B641" s="706">
        <v>2025</v>
      </c>
      <c r="C641" s="706" t="s">
        <v>2537</v>
      </c>
      <c r="D641" s="706" t="s">
        <v>2538</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2539</v>
      </c>
      <c r="D642" s="706" t="s">
        <v>2540</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2541</v>
      </c>
      <c r="D643" s="706" t="s">
        <v>2542</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-79431.759999999995</v>
      </c>
      <c r="AM643" s="905">
        <f t="shared" si="37"/>
        <v>-21764.25</v>
      </c>
      <c r="AN643" s="905">
        <f>INDEX(G643:R643,1,MATCH(Parametres!$B$3,G$1:R$1,0))*IF(OR(F643="L",F643="S",F643="I"),-1,1)</f>
        <v>-101196.01</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176</v>
      </c>
      <c r="AW643" s="899">
        <f t="shared" si="39"/>
        <v>37</v>
      </c>
      <c r="AX643" s="899">
        <f>INDEX(V643:AG643,1,MATCH(Parametres!$B$3,V$1:AG$1,0))*IF(OR(C643="L",C643="S",C643="I"),-1,1)</f>
        <v>213</v>
      </c>
      <c r="AY643" s="487" t="s">
        <v>337</v>
      </c>
      <c r="AZ643" s="487" t="str">
        <f>+VLOOKUP($AJ643,Data_Validation!$A:$E,5,0)</f>
        <v>Oui</v>
      </c>
    </row>
    <row r="644" spans="1:52" ht="15" customHeight="1">
      <c r="A644" s="706" t="s">
        <v>1148</v>
      </c>
      <c r="B644" s="706">
        <v>2025</v>
      </c>
      <c r="C644" s="706" t="s">
        <v>2553</v>
      </c>
      <c r="D644" s="706" t="s">
        <v>2554</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-267103.39</v>
      </c>
      <c r="AM644" s="905">
        <f t="shared" ref="AM644:AM707" si="41">AN644-AL644</f>
        <v>-65686.729999999981</v>
      </c>
      <c r="AN644" s="905">
        <f>INDEX(G644:R644,1,MATCH(Parametres!$B$3,G$1:R$1,0))*IF(OR(F644="L",F644="S",F644="I"),-1,1)</f>
        <v>-332790.12</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973</v>
      </c>
      <c r="AW644" s="899">
        <f t="shared" ref="AW644:AW707" si="43">AX644-AV644</f>
        <v>202</v>
      </c>
      <c r="AX644" s="899">
        <f>INDEX(V644:AG644,1,MATCH(Parametres!$B$3,V$1:AG$1,0))*IF(OR(C644="L",C644="S",C644="I"),-1,1)</f>
        <v>1175</v>
      </c>
      <c r="AY644" s="487" t="s">
        <v>337</v>
      </c>
      <c r="AZ644" s="487" t="str">
        <f>+VLOOKUP($AJ644,Data_Validation!$A:$E,5,0)</f>
        <v>Oui</v>
      </c>
    </row>
    <row r="645" spans="1:52" ht="15" customHeight="1">
      <c r="A645" s="706" t="s">
        <v>1148</v>
      </c>
      <c r="B645" s="706">
        <v>2025</v>
      </c>
      <c r="C645" s="706" t="s">
        <v>2555</v>
      </c>
      <c r="D645" s="706" t="s">
        <v>2556</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2557</v>
      </c>
      <c r="D646" s="706" t="s">
        <v>2558</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-359974.49</v>
      </c>
      <c r="AM646" s="905">
        <f t="shared" si="41"/>
        <v>-43048.570000000007</v>
      </c>
      <c r="AN646" s="905">
        <f>INDEX(G646:R646,1,MATCH(Parametres!$B$3,G$1:R$1,0))*IF(OR(F646="L",F646="S",F646="I"),-1,1)</f>
        <v>-403023.06</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901</v>
      </c>
      <c r="AW646" s="899">
        <f t="shared" si="43"/>
        <v>223</v>
      </c>
      <c r="AX646" s="899">
        <f>INDEX(V646:AG646,1,MATCH(Parametres!$B$3,V$1:AG$1,0))*IF(OR(C646="L",C646="S",C646="I"),-1,1)</f>
        <v>1124</v>
      </c>
      <c r="AY646" s="487" t="s">
        <v>337</v>
      </c>
      <c r="AZ646" s="487" t="str">
        <f>+VLOOKUP($AJ646,Data_Validation!$A:$E,5,0)</f>
        <v>Oui</v>
      </c>
    </row>
    <row r="647" spans="1:52" ht="15" customHeight="1">
      <c r="A647" s="706" t="s">
        <v>1148</v>
      </c>
      <c r="B647" s="706">
        <v>2025</v>
      </c>
      <c r="C647" s="706" t="s">
        <v>2559</v>
      </c>
      <c r="D647" s="706" t="s">
        <v>2560</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2561</v>
      </c>
      <c r="D648" s="706" t="s">
        <v>2562</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-154573.35999999999</v>
      </c>
      <c r="AM648" s="905">
        <f t="shared" si="41"/>
        <v>-30596.850000000006</v>
      </c>
      <c r="AN648" s="905">
        <f>INDEX(G648:R648,1,MATCH(Parametres!$B$3,G$1:R$1,0))*IF(OR(F648="L",F648="S",F648="I"),-1,1)</f>
        <v>-185170.21</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793</v>
      </c>
      <c r="AW648" s="899">
        <f t="shared" si="43"/>
        <v>138</v>
      </c>
      <c r="AX648" s="899">
        <f>INDEX(V648:AG648,1,MATCH(Parametres!$B$3,V$1:AG$1,0))*IF(OR(C648="L",C648="S",C648="I"),-1,1)</f>
        <v>931</v>
      </c>
      <c r="AY648" s="487" t="s">
        <v>337</v>
      </c>
      <c r="AZ648" s="487" t="str">
        <f>+VLOOKUP($AJ648,Data_Validation!$A:$E,5,0)</f>
        <v>Oui</v>
      </c>
    </row>
    <row r="649" spans="1:52" ht="15" customHeight="1">
      <c r="A649" s="706" t="s">
        <v>1148</v>
      </c>
      <c r="B649" s="706">
        <v>2025</v>
      </c>
      <c r="C649" s="706" t="s">
        <v>2563</v>
      </c>
      <c r="D649" s="706" t="s">
        <v>2564</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-739427.26</v>
      </c>
      <c r="AM649" s="905">
        <f t="shared" si="41"/>
        <v>-125132.81999999995</v>
      </c>
      <c r="AN649" s="905">
        <f>INDEX(G649:R649,1,MATCH(Parametres!$B$3,G$1:R$1,0))*IF(OR(F649="L",F649="S",F649="I"),-1,1)</f>
        <v>-864560.08</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2013</v>
      </c>
      <c r="AW649" s="899">
        <f t="shared" si="43"/>
        <v>295</v>
      </c>
      <c r="AX649" s="899">
        <f>INDEX(V649:AG649,1,MATCH(Parametres!$B$3,V$1:AG$1,0))*IF(OR(C649="L",C649="S",C649="I"),-1,1)</f>
        <v>2308</v>
      </c>
      <c r="AY649" s="487" t="s">
        <v>337</v>
      </c>
      <c r="AZ649" s="487" t="str">
        <f>+VLOOKUP($AJ649,Data_Validation!$A:$E,5,0)</f>
        <v>Oui</v>
      </c>
    </row>
    <row r="650" spans="1:52" ht="15" customHeight="1">
      <c r="A650" s="706" t="s">
        <v>1148</v>
      </c>
      <c r="B650" s="706">
        <v>2025</v>
      </c>
      <c r="C650" s="706" t="s">
        <v>2565</v>
      </c>
      <c r="D650" s="706" t="s">
        <v>2566</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2567</v>
      </c>
      <c r="D651" s="706" t="s">
        <v>2568</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2569</v>
      </c>
      <c r="D652" s="706" t="s">
        <v>2570</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-61746</v>
      </c>
      <c r="AM652" s="905">
        <f t="shared" si="41"/>
        <v>-3313.4199999999983</v>
      </c>
      <c r="AN652" s="905">
        <f>INDEX(G652:R652,1,MATCH(Parametres!$B$3,G$1:R$1,0))*IF(OR(F652="L",F652="S",F652="I"),-1,1)</f>
        <v>-65059.42</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75</v>
      </c>
      <c r="AW652" s="899">
        <f t="shared" si="43"/>
        <v>8</v>
      </c>
      <c r="AX652" s="899">
        <f>INDEX(V652:AG652,1,MATCH(Parametres!$B$3,V$1:AG$1,0))*IF(OR(C652="L",C652="S",C652="I"),-1,1)</f>
        <v>83</v>
      </c>
      <c r="AY652" s="487" t="s">
        <v>337</v>
      </c>
      <c r="AZ652" s="487" t="str">
        <f>+VLOOKUP($AJ652,Data_Validation!$A:$E,5,0)</f>
        <v>Oui</v>
      </c>
    </row>
    <row r="653" spans="1:52" ht="15" customHeight="1">
      <c r="A653" s="706" t="s">
        <v>1148</v>
      </c>
      <c r="B653" s="706">
        <v>2025</v>
      </c>
      <c r="C653" s="706" t="s">
        <v>2571</v>
      </c>
      <c r="D653" s="706" t="s">
        <v>2572</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-17709.53</v>
      </c>
      <c r="AM653" s="905">
        <f t="shared" si="41"/>
        <v>-10142.23</v>
      </c>
      <c r="AN653" s="905">
        <f>INDEX(G653:R653,1,MATCH(Parametres!$B$3,G$1:R$1,0))*IF(OR(F653="L",F653="S",F653="I"),-1,1)</f>
        <v>-27851.759999999998</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122</v>
      </c>
      <c r="AW653" s="899">
        <f t="shared" si="43"/>
        <v>144</v>
      </c>
      <c r="AX653" s="899">
        <f>INDEX(V653:AG653,1,MATCH(Parametres!$B$3,V$1:AG$1,0))*IF(OR(C653="L",C653="S",C653="I"),-1,1)</f>
        <v>266</v>
      </c>
      <c r="AY653" s="487" t="s">
        <v>337</v>
      </c>
      <c r="AZ653" s="487" t="str">
        <f>+VLOOKUP($AJ653,Data_Validation!$A:$E,5,0)</f>
        <v>Oui</v>
      </c>
    </row>
    <row r="654" spans="1:52" ht="15" customHeight="1">
      <c r="A654" s="706" t="s">
        <v>1148</v>
      </c>
      <c r="B654" s="706">
        <v>2025</v>
      </c>
      <c r="C654" s="706" t="s">
        <v>2573</v>
      </c>
      <c r="D654" s="706" t="s">
        <v>2574</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2575</v>
      </c>
      <c r="D655" s="706" t="s">
        <v>2576</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2872.08</v>
      </c>
      <c r="AM655" s="905">
        <f t="shared" si="41"/>
        <v>0</v>
      </c>
      <c r="AN655" s="905">
        <f>INDEX(G655:R655,1,MATCH(Parametres!$B$3,G$1:R$1,0))*IF(OR(F655="L",F655="S",F655="I"),-1,1)</f>
        <v>2872.08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-5</v>
      </c>
      <c r="AW655" s="899">
        <f t="shared" si="43"/>
        <v>0</v>
      </c>
      <c r="AX655" s="899">
        <f>INDEX(V655:AG655,1,MATCH(Parametres!$B$3,V$1:AG$1,0))*IF(OR(C655="L",C655="S",C655="I"),-1,1)</f>
        <v>-5</v>
      </c>
      <c r="AY655" s="487" t="s">
        <v>337</v>
      </c>
      <c r="AZ655" s="487">
        <f>+VLOOKUP($AJ655,Data_Validation!$A:$E,5,0)</f>
        <v>0</v>
      </c>
    </row>
    <row r="656" spans="1:52" ht="15" customHeight="1">
      <c r="A656" s="706" t="s">
        <v>1148</v>
      </c>
      <c r="B656" s="706">
        <v>2025</v>
      </c>
      <c r="C656" s="706" t="s">
        <v>2577</v>
      </c>
      <c r="D656" s="706" t="s">
        <v>2578</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2579</v>
      </c>
      <c r="D657" s="706" t="s">
        <v>2580</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2581</v>
      </c>
      <c r="D658" s="706" t="s">
        <v>2582</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2583</v>
      </c>
      <c r="D659" s="706" t="s">
        <v>2584</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2585</v>
      </c>
      <c r="D660" s="706" t="s">
        <v>2586</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2587</v>
      </c>
      <c r="D661" s="706" t="s">
        <v>2588</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2589</v>
      </c>
      <c r="D662" s="706" t="s">
        <v>2590</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2591</v>
      </c>
      <c r="D663" s="706" t="s">
        <v>2592</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2593</v>
      </c>
      <c r="D664" s="706" t="s">
        <v>2594</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2595</v>
      </c>
      <c r="D665" s="706" t="s">
        <v>2596</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2597</v>
      </c>
      <c r="D666" s="706" t="s">
        <v>2598</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2599</v>
      </c>
      <c r="D667" s="706" t="s">
        <v>2600</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2601</v>
      </c>
      <c r="D668" s="706" t="s">
        <v>2602</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2603</v>
      </c>
      <c r="D669" s="706" t="s">
        <v>2604</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2605</v>
      </c>
      <c r="D670" s="706" t="s">
        <v>2606</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2607</v>
      </c>
      <c r="D671" s="706" t="s">
        <v>2608</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2609</v>
      </c>
      <c r="D672" s="706" t="s">
        <v>2610</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2611</v>
      </c>
      <c r="D673" s="706" t="s">
        <v>2612</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2613</v>
      </c>
      <c r="D674" s="706" t="s">
        <v>2614</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2615</v>
      </c>
      <c r="D675" s="706" t="s">
        <v>2616</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2617</v>
      </c>
      <c r="D676" s="706" t="s">
        <v>2616</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2618</v>
      </c>
      <c r="D677" s="706" t="s">
        <v>2619</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2620</v>
      </c>
      <c r="D678" s="706" t="s">
        <v>2619</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2621</v>
      </c>
      <c r="D679" s="706" t="s">
        <v>2622</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2623</v>
      </c>
      <c r="D680" s="706" t="s">
        <v>2624</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2625</v>
      </c>
      <c r="D681" s="706" t="s">
        <v>2626</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2627</v>
      </c>
      <c r="D682" s="706" t="s">
        <v>2628</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2629</v>
      </c>
      <c r="D683" s="706" t="s">
        <v>2630</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35093</v>
      </c>
      <c r="AM683" s="905">
        <f t="shared" si="41"/>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2631</v>
      </c>
      <c r="D684" s="706" t="s">
        <v>2632</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2633</v>
      </c>
      <c r="D685" s="706" t="s">
        <v>2634</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2635</v>
      </c>
      <c r="D686" s="706" t="s">
        <v>2636</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2637</v>
      </c>
      <c r="D687" s="706" t="s">
        <v>2638</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2639</v>
      </c>
      <c r="D688" s="706" t="s">
        <v>2640</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2641</v>
      </c>
      <c r="D689" s="706" t="s">
        <v>2642</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2643</v>
      </c>
      <c r="D690" s="706" t="s">
        <v>2644</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2645</v>
      </c>
      <c r="D691" s="706" t="s">
        <v>2646</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2647</v>
      </c>
      <c r="D692" s="706" t="s">
        <v>2648</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2649</v>
      </c>
      <c r="D693" s="706" t="s">
        <v>2650</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331668.28000000003</v>
      </c>
      <c r="AM693" s="905">
        <f t="shared" si="41"/>
        <v>95186.069999999949</v>
      </c>
      <c r="AN693" s="905">
        <f>INDEX(G693:R693,1,MATCH(Parametres!$B$3,G$1:R$1,0))*IF(OR(F693="L",F693="S",F693="I"),-1,1)</f>
        <v>426854.35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2651</v>
      </c>
      <c r="D694" s="706" t="s">
        <v>2652</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2653</v>
      </c>
      <c r="D695" s="706" t="s">
        <v>2654</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2655</v>
      </c>
      <c r="D696" s="706" t="s">
        <v>2656</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2657</v>
      </c>
      <c r="D697" s="706" t="s">
        <v>2658</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2659</v>
      </c>
      <c r="D698" s="706" t="s">
        <v>2660</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2661</v>
      </c>
      <c r="D699" s="706" t="s">
        <v>2662</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2663</v>
      </c>
      <c r="D700" s="706" t="s">
        <v>2664</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2665</v>
      </c>
      <c r="D701" s="706" t="s">
        <v>2666</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2667</v>
      </c>
      <c r="D702" s="706" t="s">
        <v>2668</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2669</v>
      </c>
      <c r="D703" s="706" t="s">
        <v>2670</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2671</v>
      </c>
      <c r="D704" s="706" t="s">
        <v>2672</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2673</v>
      </c>
      <c r="D705" s="706" t="s">
        <v>2674</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2675</v>
      </c>
      <c r="D706" s="706" t="s">
        <v>2676</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2677</v>
      </c>
      <c r="D707" s="706" t="s">
        <v>2678</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2679</v>
      </c>
      <c r="D708" s="706" t="s">
        <v>2680</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2681</v>
      </c>
      <c r="D709" s="706" t="s">
        <v>2682</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2683</v>
      </c>
      <c r="D710" s="706" t="s">
        <v>2684</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2685</v>
      </c>
      <c r="D711" s="706" t="s">
        <v>2686</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2687</v>
      </c>
      <c r="D712" s="706" t="s">
        <v>2688</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2689</v>
      </c>
      <c r="D713" s="706" t="s">
        <v>2690</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2691</v>
      </c>
      <c r="D714" s="706" t="s">
        <v>2692</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279868.21999999997</v>
      </c>
      <c r="AM714" s="905">
        <f t="shared" si="45"/>
        <v>177812.11000000004</v>
      </c>
      <c r="AN714" s="905">
        <f>INDEX(G714:R714,1,MATCH(Parametres!$B$3,G$1:R$1,0))*IF(OR(F714="L",F714="S",F714="I"),-1,1)</f>
        <v>457680.33</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2693</v>
      </c>
      <c r="D715" s="706" t="s">
        <v>2694</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2695</v>
      </c>
      <c r="D716" s="706" t="s">
        <v>2696</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2697</v>
      </c>
      <c r="D717" s="706" t="s">
        <v>2698</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2699</v>
      </c>
      <c r="D718" s="706" t="s">
        <v>2700</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2701</v>
      </c>
      <c r="D719" s="706" t="s">
        <v>2702</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2703</v>
      </c>
      <c r="D720" s="706" t="s">
        <v>2704</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2705</v>
      </c>
      <c r="D721" s="706" t="s">
        <v>2706</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234978.29</v>
      </c>
      <c r="AM721" s="905">
        <f t="shared" si="45"/>
        <v>179474.74999999997</v>
      </c>
      <c r="AN721" s="905">
        <f>INDEX(G721:R721,1,MATCH(Parametres!$B$3,G$1:R$1,0))*IF(OR(F721="L",F721="S",F721="I"),-1,1)</f>
        <v>414453.04</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2707</v>
      </c>
      <c r="D722" s="706" t="s">
        <v>2636</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213024.51</v>
      </c>
      <c r="AM722" s="905">
        <f t="shared" si="45"/>
        <v>54682</v>
      </c>
      <c r="AN722" s="905">
        <f>INDEX(G722:R722,1,MATCH(Parametres!$B$3,G$1:R$1,0))*IF(OR(F722="L",F722="S",F722="I"),-1,1)</f>
        <v>267706.51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2708</v>
      </c>
      <c r="D723" s="706" t="s">
        <v>2709</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306829.92</v>
      </c>
      <c r="AM723" s="905">
        <f t="shared" si="45"/>
        <v>0</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2710</v>
      </c>
      <c r="D724" s="706" t="s">
        <v>2711</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326858.71999999997</v>
      </c>
      <c r="AM724" s="905">
        <f t="shared" si="45"/>
        <v>0</v>
      </c>
      <c r="AN724" s="905">
        <f>INDEX(G724:R724,1,MATCH(Parametres!$B$3,G$1:R$1,0))*IF(OR(F724="L",F724="S",F724="I"),-1,1)</f>
        <v>326858.71999999997</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2712</v>
      </c>
      <c r="D725" s="706" t="s">
        <v>2713</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2714</v>
      </c>
      <c r="D726" s="706" t="s">
        <v>2715</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112883.56</v>
      </c>
      <c r="AM726" s="905">
        <f t="shared" si="45"/>
        <v>0</v>
      </c>
      <c r="AN726" s="905">
        <f>INDEX(G726:R726,1,MATCH(Parametres!$B$3,G$1:R$1,0))*IF(OR(F726="L",F726="S",F726="I"),-1,1)</f>
        <v>112883.56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2716</v>
      </c>
      <c r="D727" s="706" t="s">
        <v>2717</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63346.8</v>
      </c>
      <c r="AM727" s="905">
        <f t="shared" si="45"/>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2718</v>
      </c>
      <c r="D728" s="706" t="s">
        <v>2719</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142877.76000000001</v>
      </c>
      <c r="AM728" s="905">
        <f t="shared" si="45"/>
        <v>0</v>
      </c>
      <c r="AN728" s="905">
        <f>INDEX(G728:R728,1,MATCH(Parametres!$B$3,G$1:R$1,0))*IF(OR(F728="L",F728="S",F728="I"),-1,1)</f>
        <v>142877.76000000001</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2720</v>
      </c>
      <c r="D729" s="706" t="s">
        <v>2721</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2722</v>
      </c>
      <c r="D730" s="706" t="s">
        <v>2723</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449773.68</v>
      </c>
      <c r="AM730" s="905">
        <f t="shared" si="45"/>
        <v>59825</v>
      </c>
      <c r="AN730" s="905">
        <f>INDEX(G730:R730,1,MATCH(Parametres!$B$3,G$1:R$1,0))*IF(OR(F730="L",F730="S",F730="I"),-1,1)</f>
        <v>509598.68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2724</v>
      </c>
      <c r="D731" s="706" t="s">
        <v>2725</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943975.48</v>
      </c>
      <c r="AM731" s="905">
        <f t="shared" si="45"/>
        <v>256191.14000000013</v>
      </c>
      <c r="AN731" s="905">
        <f>INDEX(G731:R731,1,MATCH(Parametres!$B$3,G$1:R$1,0))*IF(OR(F731="L",F731="S",F731="I"),-1,1)</f>
        <v>1200166.6200000001</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2726</v>
      </c>
      <c r="D732" s="706" t="s">
        <v>2727</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3151795.92</v>
      </c>
      <c r="AM732" s="905">
        <f t="shared" si="45"/>
        <v>987717.45000000019</v>
      </c>
      <c r="AN732" s="905">
        <f>INDEX(G732:R732,1,MATCH(Parametres!$B$3,G$1:R$1,0))*IF(OR(F732="L",F732="S",F732="I"),-1,1)</f>
        <v>4139513.37</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2728</v>
      </c>
      <c r="D733" s="706" t="s">
        <v>2729</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303157.34999999998</v>
      </c>
      <c r="AM733" s="905">
        <f t="shared" si="45"/>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2730</v>
      </c>
      <c r="D734" s="706" t="s">
        <v>2731</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974521.42</v>
      </c>
      <c r="AM734" s="905">
        <f t="shared" si="45"/>
        <v>102756.95000000007</v>
      </c>
      <c r="AN734" s="905">
        <f>INDEX(G734:R734,1,MATCH(Parametres!$B$3,G$1:R$1,0))*IF(OR(F734="L",F734="S",F734="I"),-1,1)</f>
        <v>1077278.3700000001</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2732</v>
      </c>
      <c r="D735" s="706" t="s">
        <v>2733</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2734</v>
      </c>
      <c r="D736" s="706" t="s">
        <v>2735</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1478678.29</v>
      </c>
      <c r="AM736" s="905">
        <f t="shared" si="45"/>
        <v>98009.639999999898</v>
      </c>
      <c r="AN736" s="905">
        <f>INDEX(G736:R736,1,MATCH(Parametres!$B$3,G$1:R$1,0))*IF(OR(F736="L",F736="S",F736="I"),-1,1)</f>
        <v>1576687.93</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2736</v>
      </c>
      <c r="D737" s="706" t="s">
        <v>2737</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3458973.51</v>
      </c>
      <c r="AM737" s="905">
        <f t="shared" si="45"/>
        <v>762425.8900000006</v>
      </c>
      <c r="AN737" s="905">
        <f>INDEX(G737:R737,1,MATCH(Parametres!$B$3,G$1:R$1,0))*IF(OR(F737="L",F737="S",F737="I"),-1,1)</f>
        <v>4221399.4000000004</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2738</v>
      </c>
      <c r="D738" s="706" t="s">
        <v>2739</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568404.61</v>
      </c>
      <c r="AM738" s="905">
        <f t="shared" si="45"/>
        <v>212903.57999999996</v>
      </c>
      <c r="AN738" s="905">
        <f>INDEX(G738:R738,1,MATCH(Parametres!$B$3,G$1:R$1,0))*IF(OR(F738="L",F738="S",F738="I"),-1,1)</f>
        <v>781308.19</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2740</v>
      </c>
      <c r="D739" s="706" t="s">
        <v>2741</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2742</v>
      </c>
      <c r="D740" s="706" t="s">
        <v>2743</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0</v>
      </c>
      <c r="AM740" s="905">
        <f t="shared" si="45"/>
        <v>88039.46</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2744</v>
      </c>
      <c r="D741" s="706" t="s">
        <v>2745</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1756411.18</v>
      </c>
      <c r="AM741" s="905">
        <f t="shared" si="45"/>
        <v>594235.50000000023</v>
      </c>
      <c r="AN741" s="905">
        <f>INDEX(G741:R741,1,MATCH(Parametres!$B$3,G$1:R$1,0))*IF(OR(F741="L",F741="S",F741="I"),-1,1)</f>
        <v>2350646.6800000002</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2746</v>
      </c>
      <c r="D742" s="706" t="s">
        <v>2747</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2748</v>
      </c>
      <c r="D743" s="706" t="s">
        <v>2749</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2750</v>
      </c>
      <c r="D744" s="706" t="s">
        <v>2751</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200296.84</v>
      </c>
      <c r="AM744" s="905">
        <f t="shared" si="45"/>
        <v>120349.75000000003</v>
      </c>
      <c r="AN744" s="905">
        <f>INDEX(G744:R744,1,MATCH(Parametres!$B$3,G$1:R$1,0))*IF(OR(F744="L",F744="S",F744="I"),-1,1)</f>
        <v>320646.59000000003</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2752</v>
      </c>
      <c r="D745" s="706" t="s">
        <v>2753</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2754</v>
      </c>
      <c r="D746" s="706" t="s">
        <v>2755</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192114.3</v>
      </c>
      <c r="AM746" s="905">
        <f t="shared" si="45"/>
        <v>81177</v>
      </c>
      <c r="AN746" s="905">
        <f>INDEX(G746:R746,1,MATCH(Parametres!$B$3,G$1:R$1,0))*IF(OR(F746="L",F746="S",F746="I"),-1,1)</f>
        <v>273291.3</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2756</v>
      </c>
      <c r="D747" s="706" t="s">
        <v>2757</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3155515.09</v>
      </c>
      <c r="AM747" s="905">
        <f t="shared" si="45"/>
        <v>1026739.19</v>
      </c>
      <c r="AN747" s="905">
        <f>INDEX(G747:R747,1,MATCH(Parametres!$B$3,G$1:R$1,0))*IF(OR(F747="L",F747="S",F747="I"),-1,1)</f>
        <v>4182254.28</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2758</v>
      </c>
      <c r="D748" s="706" t="s">
        <v>2759</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2760</v>
      </c>
      <c r="D749" s="706" t="s">
        <v>2761</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2762</v>
      </c>
      <c r="D750" s="706" t="s">
        <v>2763</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561201.63</v>
      </c>
      <c r="AM750" s="905">
        <f t="shared" si="45"/>
        <v>136658.45999999996</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2764</v>
      </c>
      <c r="D751" s="706" t="s">
        <v>2765</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2766</v>
      </c>
      <c r="D752" s="706" t="s">
        <v>2767</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165031.84</v>
      </c>
      <c r="AM752" s="905">
        <f t="shared" si="45"/>
        <v>72481.98000000001</v>
      </c>
      <c r="AN752" s="905">
        <f>INDEX(G752:R752,1,MATCH(Parametres!$B$3,G$1:R$1,0))*IF(OR(F752="L",F752="S",F752="I"),-1,1)</f>
        <v>237513.82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2768</v>
      </c>
      <c r="D753" s="706" t="s">
        <v>2769</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126595</v>
      </c>
      <c r="AM753" s="905">
        <f t="shared" si="45"/>
        <v>61790</v>
      </c>
      <c r="AN753" s="905">
        <f>INDEX(G753:R753,1,MATCH(Parametres!$B$3,G$1:R$1,0))*IF(OR(F753="L",F753="S",F753="I"),-1,1)</f>
        <v>188385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2770</v>
      </c>
      <c r="D754" s="706" t="s">
        <v>2771</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2772</v>
      </c>
      <c r="D755" s="706" t="s">
        <v>2773</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2774</v>
      </c>
      <c r="D756" s="706" t="s">
        <v>2775</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44627932.789999999</v>
      </c>
      <c r="AM756" s="905">
        <f t="shared" si="45"/>
        <v>13141517.800000004</v>
      </c>
      <c r="AN756" s="905">
        <f>INDEX(G756:R756,1,MATCH(Parametres!$B$3,G$1:R$1,0))*IF(OR(F756="L",F756="S",F756="I"),-1,1)</f>
        <v>57769450.590000004</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2776</v>
      </c>
      <c r="D757" s="706" t="s">
        <v>2777</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2778</v>
      </c>
      <c r="D758" s="706" t="s">
        <v>2779</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201040.9</v>
      </c>
      <c r="AM758" s="905">
        <f t="shared" si="45"/>
        <v>53251.41</v>
      </c>
      <c r="AN758" s="905">
        <f>INDEX(G758:R758,1,MATCH(Parametres!$B$3,G$1:R$1,0))*IF(OR(F758="L",F758="S",F758="I"),-1,1)</f>
        <v>254292.31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2780</v>
      </c>
      <c r="D759" s="706" t="s">
        <v>2781</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2782</v>
      </c>
      <c r="D760" s="706" t="s">
        <v>2783</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618.29999999999995</v>
      </c>
      <c r="AM760" s="905">
        <f t="shared" si="45"/>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2784</v>
      </c>
      <c r="D761" s="706" t="s">
        <v>2392</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8456</v>
      </c>
      <c r="AM761" s="905">
        <f t="shared" si="45"/>
        <v>4337</v>
      </c>
      <c r="AN761" s="905">
        <f>INDEX(G761:R761,1,MATCH(Parametres!$B$3,G$1:R$1,0))*IF(OR(F761="L",F761="S",F761="I"),-1,1)</f>
        <v>12793</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2785</v>
      </c>
      <c r="D762" s="706" t="s">
        <v>2786</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28361.06</v>
      </c>
      <c r="AM762" s="905">
        <f t="shared" si="45"/>
        <v>4752.3999999999978</v>
      </c>
      <c r="AN762" s="905">
        <f>INDEX(G762:R762,1,MATCH(Parametres!$B$3,G$1:R$1,0))*IF(OR(F762="L",F762="S",F762="I"),-1,1)</f>
        <v>33113.46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2787</v>
      </c>
      <c r="D763" s="706" t="s">
        <v>2788</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16830</v>
      </c>
      <c r="AM763" s="905">
        <f t="shared" si="45"/>
        <v>3630</v>
      </c>
      <c r="AN763" s="905">
        <f>INDEX(G763:R763,1,MATCH(Parametres!$B$3,G$1:R$1,0))*IF(OR(F763="L",F763="S",F763="I"),-1,1)</f>
        <v>20460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2789</v>
      </c>
      <c r="D764" s="706" t="s">
        <v>2790</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2791</v>
      </c>
      <c r="D765" s="706" t="s">
        <v>2792</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581372.28</v>
      </c>
      <c r="AM765" s="905">
        <f t="shared" si="45"/>
        <v>84372.919999999925</v>
      </c>
      <c r="AN765" s="905">
        <f>INDEX(G765:R765,1,MATCH(Parametres!$B$3,G$1:R$1,0))*IF(OR(F765="L",F765="S",F765="I"),-1,1)</f>
        <v>665745.19999999995</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2793</v>
      </c>
      <c r="D766" s="706" t="s">
        <v>2794</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2795</v>
      </c>
      <c r="D767" s="706" t="s">
        <v>2796</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2797</v>
      </c>
      <c r="D768" s="706" t="s">
        <v>2798</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2799</v>
      </c>
      <c r="D769" s="706" t="s">
        <v>2800</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2801</v>
      </c>
      <c r="D770" s="706" t="s">
        <v>2802</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836905.22</v>
      </c>
      <c r="AM770" s="905">
        <f t="shared" si="45"/>
        <v>54246.160000000033</v>
      </c>
      <c r="AN770" s="905">
        <f>INDEX(G770:R770,1,MATCH(Parametres!$B$3,G$1:R$1,0))*IF(OR(F770="L",F770="S",F770="I"),-1,1)</f>
        <v>891151.38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2803</v>
      </c>
      <c r="D771" s="706" t="s">
        <v>2804</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2805</v>
      </c>
      <c r="D772" s="706" t="s">
        <v>2806</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2807</v>
      </c>
      <c r="D773" s="706" t="s">
        <v>2808</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483200.98</v>
      </c>
      <c r="AM773" s="905">
        <f t="shared" si="49"/>
        <v>71826.969999999972</v>
      </c>
      <c r="AN773" s="905">
        <f>INDEX(G773:R773,1,MATCH(Parametres!$B$3,G$1:R$1,0))*IF(OR(F773="L",F773="S",F773="I"),-1,1)</f>
        <v>555027.94999999995</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2809</v>
      </c>
      <c r="D774" s="706" t="s">
        <v>2810</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2811</v>
      </c>
      <c r="D775" s="706" t="s">
        <v>2812</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2813</v>
      </c>
      <c r="D776" s="706" t="s">
        <v>2814</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2815</v>
      </c>
      <c r="D777" s="706" t="s">
        <v>2816</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2817</v>
      </c>
      <c r="D778" s="706" t="s">
        <v>2818</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8184949.5599999996</v>
      </c>
      <c r="AM778" s="905">
        <f t="shared" si="49"/>
        <v>3654864.1600000011</v>
      </c>
      <c r="AN778" s="905">
        <f>INDEX(G778:R778,1,MATCH(Parametres!$B$3,G$1:R$1,0))*IF(OR(F778="L",F778="S",F778="I"),-1,1)</f>
        <v>11839813.720000001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2819</v>
      </c>
      <c r="D779" s="706" t="s">
        <v>2820</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12521887.039999999</v>
      </c>
      <c r="AM779" s="905">
        <f t="shared" si="49"/>
        <v>1393673.6300000008</v>
      </c>
      <c r="AN779" s="905">
        <f>INDEX(G779:R779,1,MATCH(Parametres!$B$3,G$1:R$1,0))*IF(OR(F779="L",F779="S",F779="I"),-1,1)</f>
        <v>13915560.67</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2821</v>
      </c>
      <c r="D780" s="706" t="s">
        <v>2822</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2823</v>
      </c>
      <c r="D781" s="706" t="s">
        <v>2824</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34188.61</v>
      </c>
      <c r="AM781" s="905">
        <f t="shared" si="49"/>
        <v>0</v>
      </c>
      <c r="AN781" s="905">
        <f>INDEX(G781:R781,1,MATCH(Parametres!$B$3,G$1:R$1,0))*IF(OR(F781="L",F781="S",F781="I"),-1,1)</f>
        <v>34188.61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2825</v>
      </c>
      <c r="D782" s="706" t="s">
        <v>2826</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2827</v>
      </c>
      <c r="D783" s="706" t="s">
        <v>2828</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3394.3</v>
      </c>
      <c r="AM783" s="905">
        <f t="shared" si="49"/>
        <v>0</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2829</v>
      </c>
      <c r="D784" s="706" t="s">
        <v>2830</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597577.55000000005</v>
      </c>
      <c r="AM784" s="905">
        <f t="shared" si="49"/>
        <v>0</v>
      </c>
      <c r="AN784" s="905">
        <f>INDEX(G784:R784,1,MATCH(Parametres!$B$3,G$1:R$1,0))*IF(OR(F784="L",F784="S",F784="I"),-1,1)</f>
        <v>597577.55000000005</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2831</v>
      </c>
      <c r="D785" s="706" t="s">
        <v>2832</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2833</v>
      </c>
      <c r="D786" s="706" t="s">
        <v>2834</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14970767.51</v>
      </c>
      <c r="AM786" s="905">
        <f t="shared" si="49"/>
        <v>5538653.1399999987</v>
      </c>
      <c r="AN786" s="905">
        <f>INDEX(G786:R786,1,MATCH(Parametres!$B$3,G$1:R$1,0))*IF(OR(F786="L",F786="S",F786="I"),-1,1)</f>
        <v>20509420.649999999</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2839</v>
      </c>
      <c r="D787" s="706" t="s">
        <v>2840</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88268.58</v>
      </c>
      <c r="AM787" s="905">
        <f t="shared" si="49"/>
        <v>16506.880000000005</v>
      </c>
      <c r="AN787" s="905">
        <f>INDEX(G787:R787,1,MATCH(Parametres!$B$3,G$1:R$1,0))*IF(OR(F787="L",F787="S",F787="I"),-1,1)</f>
        <v>104775.46</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2841</v>
      </c>
      <c r="D788" s="706" t="s">
        <v>2842</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2843</v>
      </c>
      <c r="D789" s="706" t="s">
        <v>2844</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2845</v>
      </c>
      <c r="D790" s="706" t="s">
        <v>2846</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12845.2</v>
      </c>
      <c r="AM790" s="905">
        <f t="shared" si="49"/>
        <v>1191.3899999999994</v>
      </c>
      <c r="AN790" s="905">
        <f>INDEX(G790:R790,1,MATCH(Parametres!$B$3,G$1:R$1,0))*IF(OR(F790="L",F790="S",F790="I"),-1,1)</f>
        <v>14036.59</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2847</v>
      </c>
      <c r="D791" s="706" t="s">
        <v>2848</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109964.12</v>
      </c>
      <c r="AM791" s="905">
        <f t="shared" si="49"/>
        <v>20081.460000000006</v>
      </c>
      <c r="AN791" s="905">
        <f>INDEX(G791:R791,1,MATCH(Parametres!$B$3,G$1:R$1,0))*IF(OR(F791="L",F791="S",F791="I"),-1,1)</f>
        <v>130045.58</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2849</v>
      </c>
      <c r="D792" s="706" t="s">
        <v>2850</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2851</v>
      </c>
      <c r="D793" s="706" t="s">
        <v>2852</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2853</v>
      </c>
      <c r="D794" s="706" t="s">
        <v>2854</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83403.23</v>
      </c>
      <c r="AM794" s="905">
        <f t="shared" si="55"/>
        <v>14972.010000000009</v>
      </c>
      <c r="AN794" s="905">
        <f>INDEX(G794:R794,1,MATCH(Parametres!$B$3,G$1:R$1,0))*IF(OR(F794="L",F794="S",F794="I"),-1,1)</f>
        <v>98375.24</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2855</v>
      </c>
      <c r="D795" s="706" t="s">
        <v>2856</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76082.3</v>
      </c>
      <c r="AM795" s="905">
        <f t="shared" si="55"/>
        <v>10039.470000000001</v>
      </c>
      <c r="AN795" s="905">
        <f>INDEX(G795:R795,1,MATCH(Parametres!$B$3,G$1:R$1,0))*IF(OR(F795="L",F795="S",F795="I"),-1,1)</f>
        <v>86121.77</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2857</v>
      </c>
      <c r="D796" s="706" t="s">
        <v>2858</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624.79</v>
      </c>
      <c r="AM796" s="905">
        <f t="shared" si="55"/>
        <v>450.03</v>
      </c>
      <c r="AN796" s="905">
        <f>INDEX(G796:R796,1,MATCH(Parametres!$B$3,G$1:R$1,0))*IF(OR(F796="L",F796="S",F796="I"),-1,1)</f>
        <v>1074.82</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2859</v>
      </c>
      <c r="D797" s="706" t="s">
        <v>2860</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33052.15</v>
      </c>
      <c r="AM797" s="905">
        <f t="shared" si="55"/>
        <v>8333.4700000000012</v>
      </c>
      <c r="AN797" s="905">
        <f>INDEX(G797:R797,1,MATCH(Parametres!$B$3,G$1:R$1,0))*IF(OR(F797="L",F797="S",F797="I"),-1,1)</f>
        <v>41385.620000000003</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2861</v>
      </c>
      <c r="D798" s="706" t="s">
        <v>2862</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2863</v>
      </c>
      <c r="D799" s="706" t="s">
        <v>2864</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-23942.25</v>
      </c>
      <c r="AM799" s="905">
        <f t="shared" si="55"/>
        <v>3746.4000000000015</v>
      </c>
      <c r="AN799" s="905">
        <f>INDEX(G799:R799,1,MATCH(Parametres!$B$3,G$1:R$1,0))*IF(OR(F799="L",F799="S",F799="I"),-1,1)</f>
        <v>-20195.849999999999</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2865</v>
      </c>
      <c r="D800" s="706" t="s">
        <v>2866</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75610.89</v>
      </c>
      <c r="AM800" s="905">
        <f t="shared" si="55"/>
        <v>27471.180000000008</v>
      </c>
      <c r="AN800" s="905">
        <f>INDEX(G800:R800,1,MATCH(Parametres!$B$3,G$1:R$1,0))*IF(OR(F800="L",F800="S",F800="I"),-1,1)</f>
        <v>103082.07</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2867</v>
      </c>
      <c r="D801" s="706" t="s">
        <v>2868</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2869</v>
      </c>
      <c r="D802" s="706" t="s">
        <v>2870</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2871</v>
      </c>
      <c r="D803" s="706" t="s">
        <v>2872</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198181.41</v>
      </c>
      <c r="AM803" s="905">
        <f t="shared" si="55"/>
        <v>29873.23000000001</v>
      </c>
      <c r="AN803" s="905">
        <f>INDEX(G803:R803,1,MATCH(Parametres!$B$3,G$1:R$1,0))*IF(OR(F803="L",F803="S",F803="I"),-1,1)</f>
        <v>228054.64</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2873</v>
      </c>
      <c r="D804" s="706" t="s">
        <v>2874</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2875</v>
      </c>
      <c r="D805" s="706" t="s">
        <v>2876</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2877</v>
      </c>
      <c r="D806" s="706" t="s">
        <v>2878</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2879</v>
      </c>
      <c r="D807" s="706" t="s">
        <v>2880</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2881</v>
      </c>
      <c r="D808" s="706" t="s">
        <v>2882</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2883</v>
      </c>
      <c r="D809" s="706" t="s">
        <v>2884</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0</v>
      </c>
      <c r="AM809" s="905">
        <f t="shared" si="55"/>
        <v>8092.18</v>
      </c>
      <c r="AN809" s="905">
        <f>INDEX(G809:R809,1,MATCH(Parametres!$B$3,G$1:R$1,0))*IF(OR(F809="L",F809="S",F809="I"),-1,1)</f>
        <v>8092.18</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2885</v>
      </c>
      <c r="D810" s="706" t="s">
        <v>2886</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2889</v>
      </c>
      <c r="D811" s="706" t="s">
        <v>2890</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95083.67</v>
      </c>
      <c r="AM811" s="905">
        <f t="shared" si="55"/>
        <v>12319.630000000005</v>
      </c>
      <c r="AN811" s="905">
        <f>INDEX(G811:R811,1,MATCH(Parametres!$B$3,G$1:R$1,0))*IF(OR(F811="L",F811="S",F811="I"),-1,1)</f>
        <v>107403.3</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2899</v>
      </c>
      <c r="D812" s="706" t="s">
        <v>2900</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82.84</v>
      </c>
      <c r="AM812" s="905">
        <f t="shared" si="55"/>
        <v>171.67</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2901</v>
      </c>
      <c r="D813" s="706" t="s">
        <v>2902</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6148.51</v>
      </c>
      <c r="AM813" s="905">
        <f t="shared" si="55"/>
        <v>3638.5</v>
      </c>
      <c r="AN813" s="905">
        <f>INDEX(G813:R813,1,MATCH(Parametres!$B$3,G$1:R$1,0))*IF(OR(F813="L",F813="S",F813="I"),-1,1)</f>
        <v>9787.01</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2907</v>
      </c>
      <c r="D814" s="706" t="s">
        <v>2908</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2206.7800000000002</v>
      </c>
      <c r="AM814" s="905">
        <f t="shared" si="55"/>
        <v>624.55999999999995</v>
      </c>
      <c r="AN814" s="905">
        <f>INDEX(G814:R814,1,MATCH(Parametres!$B$3,G$1:R$1,0))*IF(OR(F814="L",F814="S",F814="I"),-1,1)</f>
        <v>2831.34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2909</v>
      </c>
      <c r="D815" s="706" t="s">
        <v>2910</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301773.95</v>
      </c>
      <c r="AM815" s="905">
        <f t="shared" si="55"/>
        <v>59199.27999999997</v>
      </c>
      <c r="AN815" s="905">
        <f>INDEX(G815:R815,1,MATCH(Parametres!$B$3,G$1:R$1,0))*IF(OR(F815="L",F815="S",F815="I"),-1,1)</f>
        <v>360973.23</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2927</v>
      </c>
      <c r="D816" s="706" t="s">
        <v>2928</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11.84</v>
      </c>
      <c r="AM816" s="905">
        <f t="shared" si="5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2929</v>
      </c>
      <c r="D817" s="706" t="s">
        <v>2930</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2931</v>
      </c>
      <c r="D818" s="706" t="s">
        <v>2932</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2933</v>
      </c>
      <c r="D819" s="706" t="s">
        <v>2934</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26746.46</v>
      </c>
      <c r="AM819" s="905">
        <f t="shared" si="55"/>
        <v>6649.0400000000009</v>
      </c>
      <c r="AN819" s="905">
        <f>INDEX(G819:R819,1,MATCH(Parametres!$B$3,G$1:R$1,0))*IF(OR(F819="L",F819="S",F819="I"),-1,1)</f>
        <v>33395.5</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2945</v>
      </c>
      <c r="D820" s="706" t="s">
        <v>2946</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193885.36</v>
      </c>
      <c r="AM820" s="905">
        <f t="shared" si="55"/>
        <v>46705.66</v>
      </c>
      <c r="AN820" s="905">
        <f>INDEX(G820:R820,1,MATCH(Parametres!$B$3,G$1:R$1,0))*IF(OR(F820="L",F820="S",F820="I"),-1,1)</f>
        <v>240591.02</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2947</v>
      </c>
      <c r="D821" s="706" t="s">
        <v>2948</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2949</v>
      </c>
      <c r="D822" s="706" t="s">
        <v>2950</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259750.99</v>
      </c>
      <c r="AM822" s="905">
        <f t="shared" si="55"/>
        <v>29645.030000000028</v>
      </c>
      <c r="AN822" s="905">
        <f>INDEX(G822:R822,1,MATCH(Parametres!$B$3,G$1:R$1,0))*IF(OR(F822="L",F822="S",F822="I"),-1,1)</f>
        <v>289396.02</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2951</v>
      </c>
      <c r="D823" s="706" t="s">
        <v>2952</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2953</v>
      </c>
      <c r="D824" s="706" t="s">
        <v>2954</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121104.63</v>
      </c>
      <c r="AM824" s="905">
        <f t="shared" si="55"/>
        <v>25425.570000000007</v>
      </c>
      <c r="AN824" s="905">
        <f>INDEX(G824:R824,1,MATCH(Parametres!$B$3,G$1:R$1,0))*IF(OR(F824="L",F824="S",F824="I"),-1,1)</f>
        <v>146530.20000000001</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2955</v>
      </c>
      <c r="D825" s="706" t="s">
        <v>2956</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644822.94999999995</v>
      </c>
      <c r="AM825" s="905">
        <f t="shared" si="55"/>
        <v>113746.87</v>
      </c>
      <c r="AN825" s="905">
        <f>INDEX(G825:R825,1,MATCH(Parametres!$B$3,G$1:R$1,0))*IF(OR(F825="L",F825="S",F825="I"),-1,1)</f>
        <v>758569.82</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2957</v>
      </c>
      <c r="D826" s="706" t="s">
        <v>2958</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-35948.54</v>
      </c>
      <c r="AM826" s="905">
        <f t="shared" si="55"/>
        <v>-8585.1999999999971</v>
      </c>
      <c r="AN826" s="905">
        <f>INDEX(G826:R826,1,MATCH(Parametres!$B$3,G$1:R$1,0))*IF(OR(F826="L",F826="S",F826="I"),-1,1)</f>
        <v>-44533.74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2959</v>
      </c>
      <c r="D827" s="706" t="s">
        <v>2960</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-15602.56</v>
      </c>
      <c r="AM827" s="905">
        <f t="shared" si="55"/>
        <v>-5286.5500000000011</v>
      </c>
      <c r="AN827" s="905">
        <f>INDEX(G827:R827,1,MATCH(Parametres!$B$3,G$1:R$1,0))*IF(OR(F827="L",F827="S",F827="I"),-1,1)</f>
        <v>-20889.11</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2961</v>
      </c>
      <c r="D828" s="706" t="s">
        <v>2962</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48424.62</v>
      </c>
      <c r="AM828" s="905">
        <f t="shared" si="55"/>
        <v>2823.6199999999953</v>
      </c>
      <c r="AN828" s="905">
        <f>INDEX(G828:R828,1,MATCH(Parametres!$B$3,G$1:R$1,0))*IF(OR(F828="L",F828="S",F828="I"),-1,1)</f>
        <v>51248.24</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2963</v>
      </c>
      <c r="D829" s="706" t="s">
        <v>2964</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13946.1</v>
      </c>
      <c r="AM829" s="905">
        <f t="shared" si="55"/>
        <v>10331.789999999999</v>
      </c>
      <c r="AN829" s="905">
        <f>INDEX(G829:R829,1,MATCH(Parametres!$B$3,G$1:R$1,0))*IF(OR(F829="L",F829="S",F829="I"),-1,1)</f>
        <v>24277.89</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2965</v>
      </c>
      <c r="D830" s="706" t="s">
        <v>2966</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2967</v>
      </c>
      <c r="D831" s="706" t="s">
        <v>2968</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2969</v>
      </c>
      <c r="D832" s="706" t="s">
        <v>2970</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2971</v>
      </c>
      <c r="D833" s="706" t="s">
        <v>2972</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2973</v>
      </c>
      <c r="D834" s="706" t="s">
        <v>2974</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2975</v>
      </c>
      <c r="D835" s="706" t="s">
        <v>2976</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2977</v>
      </c>
      <c r="D836" s="706" t="s">
        <v>2978</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2979</v>
      </c>
      <c r="D837" s="706" t="s">
        <v>2980</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2981</v>
      </c>
      <c r="D838" s="706" t="s">
        <v>2982</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2983</v>
      </c>
      <c r="D839" s="706" t="s">
        <v>2984</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2985</v>
      </c>
      <c r="D840" s="706" t="s">
        <v>2986</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2987</v>
      </c>
      <c r="D841" s="706" t="s">
        <v>2988</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2989</v>
      </c>
      <c r="D842" s="706" t="s">
        <v>2990</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2991</v>
      </c>
      <c r="D843" s="706" t="s">
        <v>2992</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2993</v>
      </c>
      <c r="D844" s="706" t="s">
        <v>2994</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2995</v>
      </c>
      <c r="D845" s="706" t="s">
        <v>2996</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2997</v>
      </c>
      <c r="D846" s="706" t="s">
        <v>2998</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2999</v>
      </c>
      <c r="D847" s="706" t="s">
        <v>3000</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3001</v>
      </c>
      <c r="D848" s="706" t="s">
        <v>3002</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3003</v>
      </c>
      <c r="D849" s="706" t="s">
        <v>3004</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3005</v>
      </c>
      <c r="D850" s="706" t="s">
        <v>3006</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3007</v>
      </c>
      <c r="D851" s="706" t="s">
        <v>3008</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3009</v>
      </c>
      <c r="D852" s="706" t="s">
        <v>3010</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3011</v>
      </c>
      <c r="D853" s="706" t="s">
        <v>3012</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3013</v>
      </c>
      <c r="D854" s="706" t="s">
        <v>3014</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3015</v>
      </c>
      <c r="D855" s="706" t="s">
        <v>3016</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3017</v>
      </c>
      <c r="D856" s="706" t="s">
        <v>3018</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3019</v>
      </c>
      <c r="D857" s="706" t="s">
        <v>3020</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3021</v>
      </c>
      <c r="D858" s="706" t="s">
        <v>3022</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3023</v>
      </c>
      <c r="D859" s="706" t="s">
        <v>3024</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3025</v>
      </c>
      <c r="D860" s="706" t="s">
        <v>3026</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3027</v>
      </c>
      <c r="D861" s="706" t="s">
        <v>3028</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3029</v>
      </c>
      <c r="D862" s="706" t="s">
        <v>3030</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3031</v>
      </c>
      <c r="D863" s="706" t="s">
        <v>3032</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3033</v>
      </c>
      <c r="D864" s="706" t="s">
        <v>3034</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-3088.92</v>
      </c>
      <c r="AM864" s="905">
        <f t="shared" si="61"/>
        <v>-488.25</v>
      </c>
      <c r="AN864" s="905">
        <f>INDEX(G864:R864,1,MATCH(Parametres!$B$3,G$1:R$1,0))*IF(OR(F864="L",F864="S",F864="I"),-1,1)</f>
        <v>-3577.17</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9</v>
      </c>
      <c r="AW864" s="899">
        <f t="shared" si="64"/>
        <v>1</v>
      </c>
      <c r="AX864" s="899">
        <f>INDEX(V864:AG864,1,MATCH(Parametres!$B$3,V$1:AG$1,0))*IF(OR(C864="L",C864="S",C864="I"),-1,1)</f>
        <v>10</v>
      </c>
      <c r="AY864" s="487" t="s">
        <v>337</v>
      </c>
      <c r="AZ864" s="487" t="str">
        <f>+VLOOKUP($AJ864,Data_Validation!$A:$E,5,0)</f>
        <v>Oui</v>
      </c>
    </row>
    <row r="865" spans="1:52" ht="15" customHeight="1">
      <c r="A865" s="706" t="s">
        <v>1148</v>
      </c>
      <c r="B865" s="706">
        <v>2025</v>
      </c>
      <c r="C865" s="706" t="s">
        <v>3035</v>
      </c>
      <c r="D865" s="706" t="s">
        <v>3036</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3037</v>
      </c>
      <c r="D866" s="706" t="s">
        <v>3038</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-15831.85</v>
      </c>
      <c r="AM866" s="905">
        <f t="shared" si="61"/>
        <v>-2900.1900000000005</v>
      </c>
      <c r="AN866" s="905">
        <f>INDEX(G866:R866,1,MATCH(Parametres!$B$3,G$1:R$1,0))*IF(OR(F866="L",F866="S",F866="I"),-1,1)</f>
        <v>-18732.04</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3039</v>
      </c>
      <c r="D867" s="706" t="s">
        <v>3040</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3041</v>
      </c>
      <c r="D868" s="706" t="s">
        <v>3042</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-7440.39</v>
      </c>
      <c r="AM868" s="905">
        <f t="shared" si="61"/>
        <v>-4060.4800000000005</v>
      </c>
      <c r="AN868" s="905">
        <f>INDEX(G868:R868,1,MATCH(Parametres!$B$3,G$1:R$1,0))*IF(OR(F868="L",F868="S",F868="I"),-1,1)</f>
        <v>-11500.87</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12</v>
      </c>
      <c r="AW868" s="899">
        <f t="shared" si="64"/>
        <v>2</v>
      </c>
      <c r="AX868" s="899">
        <f>INDEX(V868:AG868,1,MATCH(Parametres!$B$3,V$1:AG$1,0))*IF(OR(C868="L",C868="S",C868="I"),-1,1)</f>
        <v>14</v>
      </c>
      <c r="AY868" s="487" t="s">
        <v>337</v>
      </c>
      <c r="AZ868" s="487" t="str">
        <f>+VLOOKUP($AJ868,Data_Validation!$A:$E,5,0)</f>
        <v>Oui</v>
      </c>
    </row>
    <row r="869" spans="1:52" ht="15" customHeight="1">
      <c r="A869" s="706" t="s">
        <v>1148</v>
      </c>
      <c r="B869" s="706">
        <v>2025</v>
      </c>
      <c r="C869" s="706" t="s">
        <v>3043</v>
      </c>
      <c r="D869" s="706" t="s">
        <v>3044</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3045</v>
      </c>
      <c r="D870" s="706" t="s">
        <v>3046</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-762.02</v>
      </c>
      <c r="AM870" s="905">
        <f t="shared" si="6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3047</v>
      </c>
      <c r="D871" s="706" t="s">
        <v>3048</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3049</v>
      </c>
      <c r="D872" s="706" t="s">
        <v>3050</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3051</v>
      </c>
      <c r="D873" s="706" t="s">
        <v>3052</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3053</v>
      </c>
      <c r="D874" s="706" t="s">
        <v>3054</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3055</v>
      </c>
      <c r="D875" s="706" t="s">
        <v>3056</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3057</v>
      </c>
      <c r="D876" s="706" t="s">
        <v>3058</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3059</v>
      </c>
      <c r="D877" s="706" t="s">
        <v>3060</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3061</v>
      </c>
      <c r="D878" s="706" t="s">
        <v>3062</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3063</v>
      </c>
      <c r="D879" s="706" t="s">
        <v>3064</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3065</v>
      </c>
      <c r="D880" s="706" t="s">
        <v>3064</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3066</v>
      </c>
      <c r="D881" s="706" t="s">
        <v>3067</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3068</v>
      </c>
      <c r="D882" s="706" t="s">
        <v>3069</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3070</v>
      </c>
      <c r="D883" s="706" t="s">
        <v>3071</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3072</v>
      </c>
      <c r="D884" s="706" t="s">
        <v>3073</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60180.22</v>
      </c>
      <c r="AM884" s="905">
        <f t="shared" si="61"/>
        <v>15438.959999999992</v>
      </c>
      <c r="AN884" s="905">
        <f>INDEX(G884:R884,1,MATCH(Parametres!$B$3,G$1:R$1,0))*IF(OR(F884="L",F884="S",F884="I"),-1,1)</f>
        <v>75619.179999999993</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3074</v>
      </c>
      <c r="D885" s="706" t="s">
        <v>3075</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3076</v>
      </c>
      <c r="D886" s="706" t="s">
        <v>3077</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12388.15</v>
      </c>
      <c r="AM886" s="905">
        <f t="shared" si="61"/>
        <v>201.6200000000008</v>
      </c>
      <c r="AN886" s="905">
        <f>INDEX(G886:R886,1,MATCH(Parametres!$B$3,G$1:R$1,0))*IF(OR(F886="L",F886="S",F886="I"),-1,1)</f>
        <v>12589.77</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3078</v>
      </c>
      <c r="D887" s="706" t="s">
        <v>3056</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3079</v>
      </c>
      <c r="D888" s="706" t="s">
        <v>3080</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3081</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3082</v>
      </c>
      <c r="D890" s="706" t="s">
        <v>3083</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3084</v>
      </c>
      <c r="D891" s="706" t="s">
        <v>3085</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3086</v>
      </c>
      <c r="D892" s="706" t="s">
        <v>3087</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3088</v>
      </c>
      <c r="D893" s="706" t="s">
        <v>3087</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-147338.01</v>
      </c>
      <c r="AM893" s="905">
        <f t="shared" si="67"/>
        <v>-96310.289999999979</v>
      </c>
      <c r="AN893" s="905">
        <f>INDEX(G893:R893,1,MATCH(Parametres!$B$3,G$1:R$1,0))*IF(OR(F893="L",F893="S",F893="I"),-1,1)</f>
        <v>-243648.3</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47</v>
      </c>
      <c r="AW893" s="899">
        <f t="shared" si="70"/>
        <v>12</v>
      </c>
      <c r="AX893" s="899">
        <f>INDEX(V893:AG893,1,MATCH(Parametres!$B$3,V$1:AG$1,0))*IF(OR(C893="L",C893="S",C893="I"),-1,1)</f>
        <v>59</v>
      </c>
      <c r="AY893" s="487" t="s">
        <v>337</v>
      </c>
      <c r="AZ893" s="487">
        <f>+VLOOKUP($AJ893,Data_Validation!$A:$E,5,0)</f>
        <v>0</v>
      </c>
    </row>
    <row r="894" spans="1:52" ht="15" customHeight="1">
      <c r="A894" s="706" t="s">
        <v>1148</v>
      </c>
      <c r="B894" s="706">
        <v>2025</v>
      </c>
      <c r="C894" s="706" t="s">
        <v>3093</v>
      </c>
      <c r="D894" s="706" t="s">
        <v>3094</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-142305.12</v>
      </c>
      <c r="AM894" s="905">
        <f t="shared" si="67"/>
        <v>-10883.369999999995</v>
      </c>
      <c r="AN894" s="905">
        <f>INDEX(G894:R894,1,MATCH(Parametres!$B$3,G$1:R$1,0))*IF(OR(F894="L",F894="S",F894="I"),-1,1)</f>
        <v>-153188.49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2</v>
      </c>
      <c r="AW894" s="899">
        <f t="shared" si="70"/>
        <v>3</v>
      </c>
      <c r="AX894" s="899">
        <f>INDEX(V894:AG894,1,MATCH(Parametres!$B$3,V$1:AG$1,0))*IF(OR(C894="L",C894="S",C894="I"),-1,1)</f>
        <v>5</v>
      </c>
      <c r="AY894" s="487" t="s">
        <v>337</v>
      </c>
      <c r="AZ894" s="487">
        <f>+VLOOKUP($AJ894,Data_Validation!$A:$E,5,0)</f>
        <v>0</v>
      </c>
    </row>
    <row r="895" spans="1:52" ht="15" customHeight="1">
      <c r="A895" s="706" t="s">
        <v>1148</v>
      </c>
      <c r="B895" s="706">
        <v>2025</v>
      </c>
      <c r="C895" s="706" t="s">
        <v>3095</v>
      </c>
      <c r="D895" s="706" t="s">
        <v>3096</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3097</v>
      </c>
      <c r="D896" s="706" t="s">
        <v>3098</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3099</v>
      </c>
      <c r="D897" s="706" t="s">
        <v>3098</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3018.51</v>
      </c>
      <c r="AM897" s="905">
        <f t="shared" si="67"/>
        <v>295.77999999999975</v>
      </c>
      <c r="AN897" s="905">
        <f>INDEX(G897:R897,1,MATCH(Parametres!$B$3,G$1:R$1,0))*IF(OR(F897="L",F897="S",F897="I"),-1,1)</f>
        <v>3314.29</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3102</v>
      </c>
      <c r="D898" s="706" t="s">
        <v>1789</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3103</v>
      </c>
      <c r="D899" s="706" t="s">
        <v>3104</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26446.45</v>
      </c>
      <c r="AM899" s="905">
        <f t="shared" si="67"/>
        <v>0</v>
      </c>
      <c r="AN899" s="905">
        <f>INDEX(G899:R899,1,MATCH(Parametres!$B$3,G$1:R$1,0))*IF(OR(F899="L",F899="S",F899="I"),-1,1)</f>
        <v>26446.45</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1428-94CD-4EEE-863A-4A065795C25A}">
  <sheetPr>
    <tabColor rgb="FF00B0F0"/>
  </sheetPr>
  <dimension ref="B2:H70"/>
  <sheetViews>
    <sheetView showGridLines="0" topLeftCell="A28" workbookViewId="0">
      <selection activeCell="H16" sqref="H16"/>
    </sheetView>
  </sheetViews>
  <sheetFormatPr baseColWidth="10" defaultColWidth="11" defaultRowHeight="13.8"/>
  <cols>
    <col min="1" max="1" width="11" style="1059"/>
    <col min="2" max="2" width="23.19921875" style="1059" bestFit="1" customWidth="1"/>
    <col min="3" max="3" width="13.19921875" style="1060" customWidth="1"/>
    <col min="4" max="4" width="13.19921875" style="1060" hidden="1" customWidth="1"/>
    <col min="5" max="5" width="13.19921875" style="1059" hidden="1" customWidth="1"/>
    <col min="6" max="8" width="13.19921875" style="1059" customWidth="1"/>
    <col min="9" max="16384" width="11" style="1059"/>
  </cols>
  <sheetData>
    <row r="2" spans="2:7" ht="15" customHeight="1"/>
    <row r="3" spans="2:7" ht="14.4" thickBot="1"/>
    <row r="4" spans="2:7" ht="21.6" thickBot="1">
      <c r="C4" s="1263" t="s">
        <v>12</v>
      </c>
      <c r="D4" s="1264"/>
      <c r="E4" s="1264"/>
      <c r="F4" s="1264"/>
      <c r="G4" s="1265"/>
    </row>
    <row r="5" spans="2:7" s="1061" customFormat="1" ht="28.2" thickBot="1">
      <c r="C5" s="1062" t="s">
        <v>3231</v>
      </c>
      <c r="D5" s="1063" t="s">
        <v>282</v>
      </c>
      <c r="E5" s="1064" t="s">
        <v>3210</v>
      </c>
      <c r="F5" s="1063">
        <v>2025</v>
      </c>
      <c r="G5" s="1064" t="s">
        <v>3211</v>
      </c>
    </row>
    <row r="6" spans="2:7" s="1061" customFormat="1" ht="14.4" thickBot="1">
      <c r="B6" s="1065" t="s">
        <v>3212</v>
      </c>
      <c r="C6" s="1066">
        <f>Print_Mois!J13</f>
        <v>36</v>
      </c>
      <c r="D6" s="1067"/>
      <c r="E6" s="1068">
        <f t="shared" ref="E6:E19" si="0">C6-D6</f>
        <v>36</v>
      </c>
      <c r="F6" s="1069">
        <f>Print_Mois!O13</f>
        <v>77</v>
      </c>
      <c r="G6" s="1101">
        <f t="shared" ref="G6:G19" si="1">C6-F6</f>
        <v>-41</v>
      </c>
    </row>
    <row r="7" spans="2:7" s="1061" customFormat="1">
      <c r="B7" s="1099" t="s">
        <v>3233</v>
      </c>
      <c r="C7" s="1095">
        <f>Print_Mois!J17</f>
        <v>121</v>
      </c>
      <c r="D7" s="1096"/>
      <c r="E7" s="1068">
        <f t="shared" si="0"/>
        <v>121</v>
      </c>
      <c r="F7" s="1098">
        <f>Print_Mois!O17</f>
        <v>230</v>
      </c>
      <c r="G7" s="1097">
        <f t="shared" si="1"/>
        <v>-109</v>
      </c>
    </row>
    <row r="8" spans="2:7" s="1061" customFormat="1" ht="14.4" thickBot="1">
      <c r="B8" s="1070" t="s">
        <v>3213</v>
      </c>
      <c r="C8" s="1071">
        <f>Print_Mois!J97</f>
        <v>19</v>
      </c>
      <c r="D8" s="1072"/>
      <c r="E8" s="1073">
        <f t="shared" si="0"/>
        <v>19</v>
      </c>
      <c r="F8" s="1074">
        <f>Print_Mois!O97</f>
        <v>5</v>
      </c>
      <c r="G8" s="1073">
        <f t="shared" si="1"/>
        <v>14</v>
      </c>
    </row>
    <row r="9" spans="2:7">
      <c r="B9" s="1075" t="s">
        <v>3214</v>
      </c>
      <c r="C9" s="1076">
        <f>Print_Mois!L27</f>
        <v>178481.52000000328</v>
      </c>
      <c r="D9" s="1077"/>
      <c r="E9" s="1078">
        <f t="shared" si="0"/>
        <v>178481.52000000328</v>
      </c>
      <c r="F9" s="1077">
        <f>Print_Mois!Q27</f>
        <v>378190.28999999631</v>
      </c>
      <c r="G9" s="1078">
        <f t="shared" si="1"/>
        <v>-199708.76999999303</v>
      </c>
    </row>
    <row r="10" spans="2:7">
      <c r="B10" s="1075" t="s">
        <v>3215</v>
      </c>
      <c r="C10" s="1076">
        <f>Print_Mois!L109</f>
        <v>39673.800000000687</v>
      </c>
      <c r="D10" s="1077"/>
      <c r="E10" s="1078">
        <f t="shared" si="0"/>
        <v>39673.800000000687</v>
      </c>
      <c r="F10" s="1077">
        <f>Print_Mois!Q109</f>
        <v>-23472.040000001649</v>
      </c>
      <c r="G10" s="1078">
        <f t="shared" si="1"/>
        <v>63145.840000002339</v>
      </c>
    </row>
    <row r="11" spans="2:7">
      <c r="B11" s="1100" t="s">
        <v>3234</v>
      </c>
      <c r="C11" s="1076">
        <f>Print_Mois!L182</f>
        <v>68702.259999998845</v>
      </c>
      <c r="D11" s="1077"/>
      <c r="E11" s="1078"/>
      <c r="F11" s="1077">
        <f>Print_Mois!Q182</f>
        <v>71229.689999999478</v>
      </c>
      <c r="G11" s="1078">
        <f t="shared" si="1"/>
        <v>-2527.4300000006333</v>
      </c>
    </row>
    <row r="12" spans="2:7">
      <c r="B12" s="1075" t="s">
        <v>3216</v>
      </c>
      <c r="C12" s="1076">
        <f>Print_Mois!L268</f>
        <v>141837.11000000007</v>
      </c>
      <c r="D12" s="1077"/>
      <c r="E12" s="1078">
        <f t="shared" si="0"/>
        <v>141837.11000000007</v>
      </c>
      <c r="F12" s="1077">
        <f>Print_Mois!Q268</f>
        <v>168478.07000000004</v>
      </c>
      <c r="G12" s="1078">
        <f t="shared" si="1"/>
        <v>-26640.959999999963</v>
      </c>
    </row>
    <row r="13" spans="2:7">
      <c r="B13" s="1100" t="s">
        <v>3236</v>
      </c>
      <c r="C13" s="1076">
        <f>Print_Mois!L448</f>
        <v>66996.689999999973</v>
      </c>
      <c r="D13" s="1077"/>
      <c r="E13" s="1078"/>
      <c r="F13" s="1077">
        <f>Print_Mois!Q448</f>
        <v>60682.660000000018</v>
      </c>
      <c r="G13" s="1078">
        <f t="shared" si="1"/>
        <v>6314.0299999999552</v>
      </c>
    </row>
    <row r="14" spans="2:7">
      <c r="B14" s="1100" t="s">
        <v>3235</v>
      </c>
      <c r="C14" s="1076">
        <f>Print_Mois!L326</f>
        <v>81511.930000000008</v>
      </c>
      <c r="D14" s="1077"/>
      <c r="E14" s="1078"/>
      <c r="F14" s="1077">
        <f>Print_Mois!Q326</f>
        <v>57506.400000000023</v>
      </c>
      <c r="G14" s="1078">
        <f t="shared" si="1"/>
        <v>24005.529999999984</v>
      </c>
    </row>
    <row r="15" spans="2:7" ht="14.4" thickBot="1">
      <c r="B15" s="1075" t="s">
        <v>3217</v>
      </c>
      <c r="C15" s="1076">
        <f>Print_Mois!L390</f>
        <v>105841.98999999996</v>
      </c>
      <c r="D15" s="1077"/>
      <c r="E15" s="1078">
        <f t="shared" si="0"/>
        <v>105841.98999999996</v>
      </c>
      <c r="F15" s="1077">
        <f>Print_Mois!Q390</f>
        <v>84015.389999999941</v>
      </c>
      <c r="G15" s="1078">
        <f t="shared" si="1"/>
        <v>21826.60000000002</v>
      </c>
    </row>
    <row r="16" spans="2:7" ht="14.4" thickTop="1">
      <c r="B16" s="1079" t="s">
        <v>3218</v>
      </c>
      <c r="C16" s="1080">
        <f>SUM(C9:C15)</f>
        <v>683045.30000000284</v>
      </c>
      <c r="D16" s="1081">
        <f>SUM(D9:D15)</f>
        <v>0</v>
      </c>
      <c r="E16" s="1082">
        <f t="shared" si="0"/>
        <v>683045.30000000284</v>
      </c>
      <c r="F16" s="1081">
        <f>SUM(F9:F15)</f>
        <v>796630.45999999414</v>
      </c>
      <c r="G16" s="1082">
        <f t="shared" si="1"/>
        <v>-113585.1599999913</v>
      </c>
    </row>
    <row r="17" spans="2:7">
      <c r="B17" s="1075" t="s">
        <v>3219</v>
      </c>
      <c r="C17" s="1076">
        <f>Print_Mois!AF568</f>
        <v>60349.119999999995</v>
      </c>
      <c r="D17" s="1077"/>
      <c r="E17" s="1078">
        <f t="shared" si="0"/>
        <v>60349.119999999995</v>
      </c>
      <c r="F17" s="1077">
        <f>Print_Mois!AL568</f>
        <v>106897.87999999998</v>
      </c>
      <c r="G17" s="1078">
        <f t="shared" si="1"/>
        <v>-46548.75999999998</v>
      </c>
    </row>
    <row r="18" spans="2:7">
      <c r="B18" s="1075" t="s">
        <v>3220</v>
      </c>
      <c r="C18" s="1076">
        <f>-Print_Mois!AF555</f>
        <v>-498068.66</v>
      </c>
      <c r="D18" s="1077"/>
      <c r="E18" s="1078">
        <f t="shared" si="0"/>
        <v>-498068.66</v>
      </c>
      <c r="F18" s="1077">
        <f>-Print_Mois!AL555</f>
        <v>-675977.96</v>
      </c>
      <c r="G18" s="1078">
        <f t="shared" si="1"/>
        <v>177909.3</v>
      </c>
    </row>
    <row r="19" spans="2:7" ht="14.4" thickBot="1">
      <c r="B19" s="1075" t="s">
        <v>3221</v>
      </c>
      <c r="C19" s="1076">
        <f>-Print_Mois!AF578-Print_Mois!AF579-Print_Mois!AF580-Print_Mois!AF581-Print_Mois!AF583</f>
        <v>-16881.839999999997</v>
      </c>
      <c r="D19" s="1077"/>
      <c r="E19" s="1078">
        <f t="shared" si="0"/>
        <v>-16881.839999999997</v>
      </c>
      <c r="F19" s="1077">
        <f>-Print_Mois!AL578-Print_Mois!AL579-Print_Mois!AL580-Print_Mois!AL581-Print_Mois!AL583</f>
        <v>-10786.23</v>
      </c>
      <c r="G19" s="1078">
        <f t="shared" si="1"/>
        <v>-6095.6099999999969</v>
      </c>
    </row>
    <row r="20" spans="2:7" ht="15" thickTop="1" thickBot="1">
      <c r="B20" s="1083" t="s">
        <v>3222</v>
      </c>
      <c r="C20" s="1084">
        <f>SUM(C16:C19)</f>
        <v>228443.92000000286</v>
      </c>
      <c r="D20" s="1085">
        <f t="shared" ref="D20:G20" si="2">SUM(D16:D19)</f>
        <v>0</v>
      </c>
      <c r="E20" s="1086">
        <f t="shared" si="2"/>
        <v>228443.92000000286</v>
      </c>
      <c r="F20" s="1085">
        <f t="shared" si="2"/>
        <v>216764.14999999417</v>
      </c>
      <c r="G20" s="1086">
        <f t="shared" si="2"/>
        <v>11679.77000000871</v>
      </c>
    </row>
    <row r="21" spans="2:7" ht="14.4" thickBot="1"/>
    <row r="22" spans="2:7" ht="21.6" thickBot="1">
      <c r="C22" s="1263" t="s">
        <v>3374</v>
      </c>
      <c r="D22" s="1264"/>
      <c r="E22" s="1264"/>
      <c r="F22" s="1264"/>
      <c r="G22" s="1265"/>
    </row>
    <row r="23" spans="2:7" ht="28.2" thickBot="1">
      <c r="B23" s="1061"/>
      <c r="C23" s="1062" t="s">
        <v>3232</v>
      </c>
      <c r="D23" s="1063" t="s">
        <v>3223</v>
      </c>
      <c r="E23" s="1064" t="s">
        <v>3210</v>
      </c>
      <c r="F23" s="1063" t="s">
        <v>3224</v>
      </c>
      <c r="G23" s="1064" t="s">
        <v>3211</v>
      </c>
    </row>
    <row r="24" spans="2:7" ht="14.4" thickBot="1">
      <c r="B24" s="1065" t="s">
        <v>3212</v>
      </c>
      <c r="C24" s="1066">
        <f>Print_AAD!J13</f>
        <v>249</v>
      </c>
      <c r="D24" s="1067"/>
      <c r="E24" s="1068">
        <f t="shared" ref="E24:E37" si="3">C24-D24</f>
        <v>249</v>
      </c>
      <c r="F24" s="1069">
        <f>Print_AAD!O13</f>
        <v>370</v>
      </c>
      <c r="G24" s="1101">
        <f t="shared" ref="G24:G37" si="4">C24-F24</f>
        <v>-121</v>
      </c>
    </row>
    <row r="25" spans="2:7">
      <c r="B25" s="1099" t="s">
        <v>3233</v>
      </c>
      <c r="C25" s="1095">
        <f>Print_AAD!J17</f>
        <v>846</v>
      </c>
      <c r="D25" s="1096"/>
      <c r="E25" s="1068">
        <f t="shared" si="3"/>
        <v>846</v>
      </c>
      <c r="F25" s="1098">
        <f>Print_AAD!O17</f>
        <v>1023</v>
      </c>
      <c r="G25" s="1097">
        <f t="shared" si="4"/>
        <v>-177</v>
      </c>
    </row>
    <row r="26" spans="2:7" ht="14.4" thickBot="1">
      <c r="B26" s="1070" t="s">
        <v>3213</v>
      </c>
      <c r="C26" s="1071">
        <f>Print_AAD!J97</f>
        <v>124</v>
      </c>
      <c r="D26" s="1072"/>
      <c r="E26" s="1073">
        <f t="shared" si="3"/>
        <v>124</v>
      </c>
      <c r="F26" s="1074">
        <f>Print_AAD!O97</f>
        <v>41</v>
      </c>
      <c r="G26" s="1073">
        <f t="shared" si="4"/>
        <v>83</v>
      </c>
    </row>
    <row r="27" spans="2:7">
      <c r="B27" s="1075" t="s">
        <v>3214</v>
      </c>
      <c r="C27" s="1076">
        <f>Print_AAD!L27</f>
        <v>1282775.0399999954</v>
      </c>
      <c r="D27" s="1077"/>
      <c r="E27" s="1078">
        <f t="shared" si="3"/>
        <v>1282775.0399999954</v>
      </c>
      <c r="F27" s="1077">
        <f>Print_AAD!Q27</f>
        <v>1890762.9299999964</v>
      </c>
      <c r="G27" s="1078">
        <f t="shared" si="4"/>
        <v>-607987.89000000106</v>
      </c>
    </row>
    <row r="28" spans="2:7">
      <c r="B28" s="1075" t="s">
        <v>3215</v>
      </c>
      <c r="C28" s="1076">
        <f>Print_AAD!L109</f>
        <v>404724.51000000152</v>
      </c>
      <c r="D28" s="1077"/>
      <c r="E28" s="1078">
        <f t="shared" si="3"/>
        <v>404724.51000000152</v>
      </c>
      <c r="F28" s="1077">
        <f>Print_AAD!Q109</f>
        <v>369136.50999999791</v>
      </c>
      <c r="G28" s="1078">
        <f t="shared" si="4"/>
        <v>35588.000000003609</v>
      </c>
    </row>
    <row r="29" spans="2:7">
      <c r="B29" s="1100" t="s">
        <v>3234</v>
      </c>
      <c r="C29" s="1076">
        <f>Print_AAD!L182</f>
        <v>1162495.4500000002</v>
      </c>
      <c r="D29" s="1077"/>
      <c r="E29" s="1078"/>
      <c r="F29" s="1077">
        <f>Print_AAD!Q182</f>
        <v>1003107.7400000002</v>
      </c>
      <c r="G29" s="1078">
        <f t="shared" si="4"/>
        <v>159387.70999999996</v>
      </c>
    </row>
    <row r="30" spans="2:7">
      <c r="B30" s="1075" t="s">
        <v>3216</v>
      </c>
      <c r="C30" s="1076">
        <f>Print_AAD!L268</f>
        <v>860248.9</v>
      </c>
      <c r="D30" s="1077"/>
      <c r="E30" s="1078"/>
      <c r="F30" s="1077">
        <f>Print_AAD!Q268</f>
        <v>1008674.0499999999</v>
      </c>
      <c r="G30" s="1078">
        <f t="shared" si="4"/>
        <v>-148425.14999999991</v>
      </c>
    </row>
    <row r="31" spans="2:7">
      <c r="B31" s="1100" t="s">
        <v>3236</v>
      </c>
      <c r="C31" s="1076">
        <f>Print_AAD!L448</f>
        <v>432128.11</v>
      </c>
      <c r="D31" s="1077"/>
      <c r="E31" s="1078"/>
      <c r="F31" s="1077">
        <f>Print_AAD!Q448</f>
        <v>396882.74</v>
      </c>
      <c r="G31" s="1078">
        <f t="shared" si="4"/>
        <v>35245.369999999995</v>
      </c>
    </row>
    <row r="32" spans="2:7">
      <c r="B32" s="1100" t="s">
        <v>3235</v>
      </c>
      <c r="C32" s="1076">
        <f>Print_AAD!L326</f>
        <v>426513.68</v>
      </c>
      <c r="D32" s="1077"/>
      <c r="E32" s="1078">
        <f t="shared" si="3"/>
        <v>426513.68</v>
      </c>
      <c r="F32" s="1077">
        <f>Print_AAD!Q326</f>
        <v>343993.00999999989</v>
      </c>
      <c r="G32" s="1078">
        <f t="shared" si="4"/>
        <v>82520.6700000001</v>
      </c>
    </row>
    <row r="33" spans="2:8" ht="14.4" thickBot="1">
      <c r="B33" s="1075" t="s">
        <v>3217</v>
      </c>
      <c r="C33" s="1076">
        <f>Print_AAD!L390</f>
        <v>592329.49999999988</v>
      </c>
      <c r="D33" s="1077"/>
      <c r="E33" s="1078">
        <f t="shared" si="3"/>
        <v>592329.49999999988</v>
      </c>
      <c r="F33" s="1077">
        <f>Print_AAD!Q390</f>
        <v>563604.44999999995</v>
      </c>
      <c r="G33" s="1078">
        <f t="shared" si="4"/>
        <v>28725.04999999993</v>
      </c>
    </row>
    <row r="34" spans="2:8" ht="14.4" thickTop="1">
      <c r="B34" s="1079" t="s">
        <v>3218</v>
      </c>
      <c r="C34" s="1080">
        <f>SUM(C27:C33)</f>
        <v>5161215.1899999967</v>
      </c>
      <c r="D34" s="1081">
        <f>SUM(D27:D33)</f>
        <v>0</v>
      </c>
      <c r="E34" s="1082">
        <f t="shared" si="3"/>
        <v>5161215.1899999967</v>
      </c>
      <c r="F34" s="1081">
        <f>SUM(F27:F33)</f>
        <v>5576161.429999995</v>
      </c>
      <c r="G34" s="1082">
        <f t="shared" si="4"/>
        <v>-414946.23999999836</v>
      </c>
    </row>
    <row r="35" spans="2:8">
      <c r="B35" s="1075" t="s">
        <v>3219</v>
      </c>
      <c r="C35" s="1076">
        <f>Print_AAD!AF568</f>
        <v>287447.88</v>
      </c>
      <c r="D35" s="1077"/>
      <c r="E35" s="1078">
        <f t="shared" si="3"/>
        <v>287447.88</v>
      </c>
      <c r="F35" s="1077">
        <f>Print_AAD!AL568</f>
        <v>393522.5</v>
      </c>
      <c r="G35" s="1078">
        <f t="shared" si="4"/>
        <v>-106074.62</v>
      </c>
    </row>
    <row r="36" spans="2:8">
      <c r="B36" s="1075" t="s">
        <v>3220</v>
      </c>
      <c r="C36" s="1076">
        <f>-Print_AAD!AF555</f>
        <v>-3505711.91</v>
      </c>
      <c r="D36" s="1077"/>
      <c r="E36" s="1078">
        <f t="shared" si="3"/>
        <v>-3505711.91</v>
      </c>
      <c r="F36" s="1077">
        <f>-Print_AAD!AL555</f>
        <v>-3588193.290000001</v>
      </c>
      <c r="G36" s="1078">
        <f t="shared" si="4"/>
        <v>82481.38000000082</v>
      </c>
      <c r="H36" s="1102" t="s">
        <v>3237</v>
      </c>
    </row>
    <row r="37" spans="2:8" ht="14.4" thickBot="1">
      <c r="B37" s="1075" t="s">
        <v>3225</v>
      </c>
      <c r="C37" s="1076">
        <f>-Print_AAD!AF578-Print_AAD!AF579-Print_AAD!AF580-Print_AAD!AF581-Print_AAD!AF583</f>
        <v>-83235.22</v>
      </c>
      <c r="D37" s="1077"/>
      <c r="E37" s="1078">
        <f t="shared" si="3"/>
        <v>-83235.22</v>
      </c>
      <c r="F37" s="1077">
        <f>-Print_AAD!AL578-Print_AAD!AL579-Print_AAD!AL580-Print_AAD!AL581-Print_AAD!AL583</f>
        <v>-68365.329999999987</v>
      </c>
      <c r="G37" s="1078">
        <f t="shared" si="4"/>
        <v>-14869.890000000014</v>
      </c>
    </row>
    <row r="38" spans="2:8" ht="15" thickTop="1" thickBot="1">
      <c r="B38" s="1083" t="s">
        <v>3222</v>
      </c>
      <c r="C38" s="1084">
        <f t="shared" ref="C38:G38" si="5">SUM(C34:C37)</f>
        <v>1859715.9399999965</v>
      </c>
      <c r="D38" s="1085">
        <f t="shared" si="5"/>
        <v>0</v>
      </c>
      <c r="E38" s="1086">
        <f t="shared" si="5"/>
        <v>1859715.9399999965</v>
      </c>
      <c r="F38" s="1085">
        <f t="shared" si="5"/>
        <v>2313125.309999994</v>
      </c>
      <c r="G38" s="1086">
        <f t="shared" si="5"/>
        <v>-453409.36999999755</v>
      </c>
    </row>
    <row r="39" spans="2:8" ht="14.4" thickBot="1"/>
    <row r="40" spans="2:8" ht="21.6" hidden="1" thickBot="1">
      <c r="C40" s="1263" t="s">
        <v>3226</v>
      </c>
      <c r="D40" s="1264"/>
      <c r="E40" s="1264"/>
      <c r="F40" s="1264"/>
      <c r="G40" s="1265"/>
    </row>
    <row r="41" spans="2:8" ht="27.6" hidden="1">
      <c r="B41" s="1061"/>
      <c r="C41" s="1087" t="s">
        <v>3227</v>
      </c>
      <c r="D41" s="1087" t="s">
        <v>3228</v>
      </c>
      <c r="E41" s="1064" t="s">
        <v>3210</v>
      </c>
      <c r="F41" s="1063" t="s">
        <v>3229</v>
      </c>
      <c r="G41" s="1064" t="s">
        <v>3230</v>
      </c>
    </row>
    <row r="42" spans="2:8" hidden="1">
      <c r="B42" s="1065" t="s">
        <v>3212</v>
      </c>
      <c r="C42" s="1066">
        <v>56</v>
      </c>
      <c r="D42" s="1067">
        <v>65</v>
      </c>
      <c r="E42" s="1068">
        <f t="shared" ref="E42:E51" si="6">C42-D42</f>
        <v>-9</v>
      </c>
      <c r="F42" s="1069">
        <v>58</v>
      </c>
      <c r="G42" s="1068">
        <f t="shared" ref="G42:G51" si="7">C42-F42</f>
        <v>-2</v>
      </c>
    </row>
    <row r="43" spans="2:8" ht="14.4" hidden="1" thickBot="1">
      <c r="B43" s="1070" t="s">
        <v>3213</v>
      </c>
      <c r="C43" s="1071">
        <v>44</v>
      </c>
      <c r="D43" s="1072">
        <v>63</v>
      </c>
      <c r="E43" s="1073">
        <f t="shared" si="6"/>
        <v>-19</v>
      </c>
      <c r="F43" s="1074">
        <v>54</v>
      </c>
      <c r="G43" s="1073">
        <f t="shared" si="7"/>
        <v>-10</v>
      </c>
    </row>
    <row r="44" spans="2:8" hidden="1">
      <c r="B44" s="1088" t="s">
        <v>3214</v>
      </c>
      <c r="C44" s="1089">
        <v>326564.40000000002</v>
      </c>
      <c r="D44" s="1089">
        <v>348933.47566909145</v>
      </c>
      <c r="E44" s="1090">
        <f t="shared" si="6"/>
        <v>-22369.075669091428</v>
      </c>
      <c r="F44" s="1091">
        <v>341892.38999999937</v>
      </c>
      <c r="G44" s="1090">
        <f t="shared" si="7"/>
        <v>-15327.98999999935</v>
      </c>
    </row>
    <row r="45" spans="2:8" hidden="1">
      <c r="B45" s="1075" t="s">
        <v>3215</v>
      </c>
      <c r="C45" s="1092">
        <v>147940.90999999997</v>
      </c>
      <c r="D45" s="1092">
        <v>226800</v>
      </c>
      <c r="E45" s="1078">
        <f t="shared" si="6"/>
        <v>-78859.090000000026</v>
      </c>
      <c r="F45" s="1077">
        <v>184032.50999999978</v>
      </c>
      <c r="G45" s="1078">
        <f t="shared" si="7"/>
        <v>-36091.599999999802</v>
      </c>
    </row>
    <row r="46" spans="2:8" hidden="1">
      <c r="B46" s="1075" t="s">
        <v>3216</v>
      </c>
      <c r="C46" s="1092">
        <v>359854.26999999996</v>
      </c>
      <c r="D46" s="1092">
        <v>288781.92808234587</v>
      </c>
      <c r="E46" s="1078">
        <f t="shared" si="6"/>
        <v>71072.341917654092</v>
      </c>
      <c r="F46" s="1077">
        <v>264658.05999999976</v>
      </c>
      <c r="G46" s="1078">
        <f t="shared" si="7"/>
        <v>95196.210000000196</v>
      </c>
    </row>
    <row r="47" spans="2:8" hidden="1">
      <c r="B47" s="1075" t="s">
        <v>3217</v>
      </c>
      <c r="C47" s="1092">
        <v>284289.85000000003</v>
      </c>
      <c r="D47" s="1092">
        <v>267554.72640354349</v>
      </c>
      <c r="E47" s="1078">
        <f t="shared" si="6"/>
        <v>16735.123596456542</v>
      </c>
      <c r="F47" s="1077">
        <v>242648.23999999929</v>
      </c>
      <c r="G47" s="1078">
        <f t="shared" si="7"/>
        <v>41641.610000000743</v>
      </c>
    </row>
    <row r="48" spans="2:8" ht="14.4" hidden="1" thickTop="1">
      <c r="B48" s="1079" t="s">
        <v>3218</v>
      </c>
      <c r="C48" s="1093">
        <f>SUM(C44:C47)</f>
        <v>1118649.43</v>
      </c>
      <c r="D48" s="1093">
        <f>SUM(D44:D47)</f>
        <v>1132070.1301549808</v>
      </c>
      <c r="E48" s="1082">
        <f t="shared" si="6"/>
        <v>-13420.700154980877</v>
      </c>
      <c r="F48" s="1081">
        <f>SUM(F44:F47)</f>
        <v>1033231.1999999983</v>
      </c>
      <c r="G48" s="1082">
        <f t="shared" si="7"/>
        <v>85418.230000001611</v>
      </c>
    </row>
    <row r="49" spans="2:7" hidden="1">
      <c r="B49" s="1075" t="s">
        <v>3219</v>
      </c>
      <c r="C49" s="1092">
        <v>286755.76</v>
      </c>
      <c r="D49" s="1092">
        <v>351835.41934545455</v>
      </c>
      <c r="E49" s="1078">
        <f t="shared" si="6"/>
        <v>-65079.659345454536</v>
      </c>
      <c r="F49" s="1077">
        <v>321148.83999999997</v>
      </c>
      <c r="G49" s="1078">
        <f t="shared" si="7"/>
        <v>-34393.079999999958</v>
      </c>
    </row>
    <row r="50" spans="2:7" hidden="1">
      <c r="B50" s="1075" t="s">
        <v>3220</v>
      </c>
      <c r="C50" s="1092">
        <v>-1173970.97</v>
      </c>
      <c r="D50" s="1092">
        <v>-1205682.9484484862</v>
      </c>
      <c r="E50" s="1078">
        <f t="shared" si="6"/>
        <v>31711.978448486188</v>
      </c>
      <c r="F50" s="1077">
        <v>-1114700.0099999998</v>
      </c>
      <c r="G50" s="1078">
        <f t="shared" si="7"/>
        <v>-59270.960000000196</v>
      </c>
    </row>
    <row r="51" spans="2:7" hidden="1">
      <c r="B51" s="1075" t="s">
        <v>3225</v>
      </c>
      <c r="C51" s="1092">
        <v>-123080.80000000002</v>
      </c>
      <c r="D51" s="1092">
        <v>-145151.28674768884</v>
      </c>
      <c r="E51" s="1078">
        <f t="shared" si="6"/>
        <v>22070.486747688818</v>
      </c>
      <c r="F51" s="1077">
        <v>-156754.43999999997</v>
      </c>
      <c r="G51" s="1078">
        <f t="shared" si="7"/>
        <v>33673.639999999956</v>
      </c>
    </row>
    <row r="52" spans="2:7" ht="15" hidden="1" thickTop="1" thickBot="1">
      <c r="B52" s="1083" t="s">
        <v>3222</v>
      </c>
      <c r="C52" s="1094">
        <f>SUM(C48:C51)</f>
        <v>108353.41999999995</v>
      </c>
      <c r="D52" s="1094">
        <f t="shared" ref="D52:G52" si="8">SUM(D48:D51)</f>
        <v>133071.31430426036</v>
      </c>
      <c r="E52" s="1086">
        <f t="shared" si="8"/>
        <v>-24717.894304260408</v>
      </c>
      <c r="F52" s="1085">
        <f t="shared" si="8"/>
        <v>82925.589999998425</v>
      </c>
      <c r="G52" s="1086">
        <f t="shared" si="8"/>
        <v>25427.830000001413</v>
      </c>
    </row>
    <row r="53" spans="2:7" hidden="1"/>
    <row r="54" spans="2:7" ht="21.6" thickBot="1">
      <c r="C54" s="1263" t="s">
        <v>3375</v>
      </c>
      <c r="D54" s="1264"/>
      <c r="E54" s="1264"/>
      <c r="F54" s="1264"/>
      <c r="G54" s="1265"/>
    </row>
    <row r="55" spans="2:7" ht="28.2" thickBot="1">
      <c r="B55" s="1061"/>
      <c r="C55" s="1062" t="s">
        <v>3232</v>
      </c>
      <c r="D55" s="1063" t="s">
        <v>3223</v>
      </c>
      <c r="E55" s="1064" t="s">
        <v>3210</v>
      </c>
      <c r="F55" s="1063" t="s">
        <v>3224</v>
      </c>
      <c r="G55" s="1064" t="s">
        <v>3211</v>
      </c>
    </row>
    <row r="56" spans="2:7" ht="14.4" thickBot="1">
      <c r="B56" s="1065" t="s">
        <v>3212</v>
      </c>
      <c r="C56" s="1066">
        <f>'Q2'!J13</f>
        <v>151</v>
      </c>
      <c r="D56" s="1067"/>
      <c r="E56" s="1068">
        <f t="shared" ref="E56:E60" si="9">C56-D56</f>
        <v>151</v>
      </c>
      <c r="F56" s="1069">
        <f>'Q2'!O13</f>
        <v>221</v>
      </c>
      <c r="G56" s="1101">
        <f t="shared" ref="G56:G69" si="10">C56-F56</f>
        <v>-70</v>
      </c>
    </row>
    <row r="57" spans="2:7">
      <c r="B57" s="1099" t="s">
        <v>3233</v>
      </c>
      <c r="C57" s="1095">
        <f>'Q2'!J17</f>
        <v>453</v>
      </c>
      <c r="D57" s="1096"/>
      <c r="E57" s="1068">
        <f t="shared" si="9"/>
        <v>453</v>
      </c>
      <c r="F57" s="1098">
        <f>'Q2'!O17</f>
        <v>665</v>
      </c>
      <c r="G57" s="1097">
        <f t="shared" si="10"/>
        <v>-212</v>
      </c>
    </row>
    <row r="58" spans="2:7" ht="14.4" thickBot="1">
      <c r="B58" s="1070" t="s">
        <v>3213</v>
      </c>
      <c r="C58" s="1071">
        <f>'Q2'!J97</f>
        <v>78</v>
      </c>
      <c r="D58" s="1072"/>
      <c r="E58" s="1073">
        <f t="shared" si="9"/>
        <v>78</v>
      </c>
      <c r="F58" s="1074">
        <f>'Q2'!O97</f>
        <v>25</v>
      </c>
      <c r="G58" s="1073">
        <f t="shared" si="10"/>
        <v>53</v>
      </c>
    </row>
    <row r="59" spans="2:7">
      <c r="B59" s="1075" t="s">
        <v>3214</v>
      </c>
      <c r="C59" s="1076">
        <f>'Q2'!L27</f>
        <v>689777.04999999935</v>
      </c>
      <c r="D59" s="1077"/>
      <c r="E59" s="1078">
        <f t="shared" si="9"/>
        <v>689777.04999999935</v>
      </c>
      <c r="F59" s="1077">
        <f>'Q2'!Q27</f>
        <v>1052725.3699999976</v>
      </c>
      <c r="G59" s="1078">
        <f t="shared" si="10"/>
        <v>-362948.3199999982</v>
      </c>
    </row>
    <row r="60" spans="2:7">
      <c r="B60" s="1075" t="s">
        <v>3215</v>
      </c>
      <c r="C60" s="1076">
        <f>'Q2'!L109</f>
        <v>54454.92000000074</v>
      </c>
      <c r="D60" s="1077"/>
      <c r="E60" s="1078">
        <f t="shared" si="9"/>
        <v>54454.92000000074</v>
      </c>
      <c r="F60" s="1077">
        <f>'Q2'!Q109</f>
        <v>98989.489999999365</v>
      </c>
      <c r="G60" s="1078">
        <f t="shared" si="10"/>
        <v>-44534.569999998625</v>
      </c>
    </row>
    <row r="61" spans="2:7">
      <c r="B61" s="1100" t="s">
        <v>3234</v>
      </c>
      <c r="C61" s="1076">
        <f>'Q2'!L182</f>
        <v>706801.81000000099</v>
      </c>
      <c r="D61" s="1077"/>
      <c r="E61" s="1078"/>
      <c r="F61" s="1077">
        <f>'Q2'!Q182</f>
        <v>772829.44999999925</v>
      </c>
      <c r="G61" s="1078">
        <f t="shared" si="10"/>
        <v>-66027.639999998268</v>
      </c>
    </row>
    <row r="62" spans="2:7">
      <c r="B62" s="1075" t="s">
        <v>3216</v>
      </c>
      <c r="C62" s="1076">
        <f>'Q2'!L268</f>
        <v>392209.56000000011</v>
      </c>
      <c r="D62" s="1077"/>
      <c r="E62" s="1078"/>
      <c r="F62" s="1077">
        <f>'Q2'!Q268</f>
        <v>557481.50000000012</v>
      </c>
      <c r="G62" s="1078">
        <f t="shared" si="10"/>
        <v>-165271.94</v>
      </c>
    </row>
    <row r="63" spans="2:7">
      <c r="B63" s="1100" t="s">
        <v>3236</v>
      </c>
      <c r="C63" s="1076">
        <f>'Q2'!L448</f>
        <v>225140.02999999997</v>
      </c>
      <c r="D63" s="1077"/>
      <c r="E63" s="1078"/>
      <c r="F63" s="1077">
        <f>'Q2'!Q448</f>
        <v>200189.34999999998</v>
      </c>
      <c r="G63" s="1078">
        <f t="shared" si="10"/>
        <v>24950.679999999993</v>
      </c>
    </row>
    <row r="64" spans="2:7">
      <c r="B64" s="1100" t="s">
        <v>3235</v>
      </c>
      <c r="C64" s="1076">
        <f>'Q2'!L326</f>
        <v>214717.93</v>
      </c>
      <c r="D64" s="1077"/>
      <c r="E64" s="1078">
        <f t="shared" ref="E64:E69" si="11">C64-D64</f>
        <v>214717.93</v>
      </c>
      <c r="F64" s="1077">
        <f>'Q2'!Q326</f>
        <v>188746.04</v>
      </c>
      <c r="G64" s="1078">
        <f t="shared" si="10"/>
        <v>25971.889999999985</v>
      </c>
    </row>
    <row r="65" spans="2:7" ht="14.4" thickBot="1">
      <c r="B65" s="1075" t="s">
        <v>3217</v>
      </c>
      <c r="C65" s="1076">
        <f>'Q2'!L390</f>
        <v>298770.57999999996</v>
      </c>
      <c r="D65" s="1077"/>
      <c r="E65" s="1078">
        <f t="shared" si="11"/>
        <v>298770.57999999996</v>
      </c>
      <c r="F65" s="1077">
        <f>'Q2'!Q390</f>
        <v>295186.97999999992</v>
      </c>
      <c r="G65" s="1078">
        <f t="shared" si="10"/>
        <v>3583.6000000000349</v>
      </c>
    </row>
    <row r="66" spans="2:7" ht="14.4" thickTop="1">
      <c r="B66" s="1079" t="s">
        <v>3218</v>
      </c>
      <c r="C66" s="1080">
        <f>SUM(C59:C65)</f>
        <v>2581871.8800000013</v>
      </c>
      <c r="D66" s="1081">
        <f>SUM(D59:D65)</f>
        <v>0</v>
      </c>
      <c r="E66" s="1082">
        <f t="shared" si="11"/>
        <v>2581871.8800000013</v>
      </c>
      <c r="F66" s="1081">
        <f>SUM(F59:F65)</f>
        <v>3166148.1799999964</v>
      </c>
      <c r="G66" s="1082">
        <f t="shared" si="10"/>
        <v>-584276.29999999516</v>
      </c>
    </row>
    <row r="67" spans="2:7">
      <c r="B67" s="1075" t="s">
        <v>3219</v>
      </c>
      <c r="C67" s="1076">
        <f>'Q2'!AF568</f>
        <v>125604.00999999998</v>
      </c>
      <c r="D67" s="1077"/>
      <c r="E67" s="1078">
        <f t="shared" si="11"/>
        <v>125604.00999999998</v>
      </c>
      <c r="F67" s="1077">
        <f>'Q2'!AL568</f>
        <v>268398.77999999997</v>
      </c>
      <c r="G67" s="1078">
        <f t="shared" si="10"/>
        <v>-142794.76999999999</v>
      </c>
    </row>
    <row r="68" spans="2:7">
      <c r="B68" s="1075" t="s">
        <v>3220</v>
      </c>
      <c r="C68" s="1076">
        <f>-'Q2'!AF555</f>
        <v>-1771686.6099999994</v>
      </c>
      <c r="D68" s="1077"/>
      <c r="E68" s="1078">
        <f t="shared" si="11"/>
        <v>-1771686.6099999994</v>
      </c>
      <c r="F68" s="1077">
        <f>-'Q2'!AL555</f>
        <v>-2344906.9400000004</v>
      </c>
      <c r="G68" s="1078">
        <f t="shared" si="10"/>
        <v>573220.33000000101</v>
      </c>
    </row>
    <row r="69" spans="2:7" ht="14.4" thickBot="1">
      <c r="B69" s="1075" t="s">
        <v>3225</v>
      </c>
      <c r="C69" s="1076">
        <f>-'Q2'!AF578-'Q2'!AF579-'Q2'!AF580-'Q2'!AF581-'Q2'!AF583</f>
        <v>-50805.22</v>
      </c>
      <c r="D69" s="1077"/>
      <c r="E69" s="1078">
        <f t="shared" si="11"/>
        <v>-50805.22</v>
      </c>
      <c r="F69" s="1077">
        <f>-'Q2'!AL578-'Q2'!AL579-'Q2'!AL580-'Q2'!AL581-'Q2'!AL583</f>
        <v>-36006.639999999999</v>
      </c>
      <c r="G69" s="1078">
        <f t="shared" si="10"/>
        <v>-14798.580000000002</v>
      </c>
    </row>
    <row r="70" spans="2:7" ht="15" thickTop="1" thickBot="1">
      <c r="B70" s="1083" t="s">
        <v>3222</v>
      </c>
      <c r="C70" s="1084">
        <f t="shared" ref="C70:G70" si="12">SUM(C66:C69)</f>
        <v>884984.06000000169</v>
      </c>
      <c r="D70" s="1085">
        <f t="shared" si="12"/>
        <v>0</v>
      </c>
      <c r="E70" s="1086">
        <f t="shared" si="12"/>
        <v>884984.06000000169</v>
      </c>
      <c r="F70" s="1085">
        <f t="shared" si="12"/>
        <v>1053633.3799999959</v>
      </c>
      <c r="G70" s="1086">
        <f t="shared" si="12"/>
        <v>-168649.31999999419</v>
      </c>
    </row>
  </sheetData>
  <mergeCells count="4">
    <mergeCell ref="C4:G4"/>
    <mergeCell ref="C22:G22"/>
    <mergeCell ref="C40:G40"/>
    <mergeCell ref="C54:G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2</vt:i4>
      </vt:variant>
    </vt:vector>
  </HeadingPairs>
  <TitlesOfParts>
    <vt:vector size="19" baseType="lpstr">
      <vt:lpstr>Parametres</vt:lpstr>
      <vt:lpstr>Bilan</vt:lpstr>
      <vt:lpstr>Budget original</vt:lpstr>
      <vt:lpstr>Réel 2024</vt:lpstr>
      <vt:lpstr>Capex</vt:lpstr>
      <vt:lpstr>Inventaire_Used</vt:lpstr>
      <vt:lpstr>Inventaire_Neuf</vt:lpstr>
      <vt:lpstr>2pager</vt:lpstr>
      <vt:lpstr>Print_Mois</vt:lpstr>
      <vt:lpstr>Print_AAD</vt:lpstr>
      <vt:lpstr>Q2</vt:lpstr>
      <vt:lpstr>Carrosserie_Mois</vt:lpstr>
      <vt:lpstr>Carrosserie_AAD</vt:lpstr>
      <vt:lpstr>BV_Data_An_Cour</vt:lpstr>
      <vt:lpstr>Data_Validation</vt:lpstr>
      <vt:lpstr>BV_Data_An_Prec</vt:lpstr>
      <vt:lpstr>Résumé</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2026-07-20T17:47:18Z</cp:lastPrinted>
  <dcterms:created xsi:type="dcterms:W3CDTF">2023-01-24T17:19:21Z</dcterms:created>
  <dcterms:modified xsi:type="dcterms:W3CDTF">2026-07-22T20:14:57Z</dcterms:modified>
</cp:coreProperties>
</file>