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G:\Shared drives\Volkswagen PA - Contrôleurs\1- Dossier de fin de mois\a) BV ; ÉF réalisé\2025\"/>
    </mc:Choice>
  </mc:AlternateContent>
  <xr:revisionPtr revIDLastSave="0" documentId="13_ncr:1_{92D38D98-CB7E-4D1C-826C-F62EE349522C}" xr6:coauthVersionLast="47" xr6:coauthVersionMax="47" xr10:uidLastSave="{00000000-0000-0000-0000-000000000000}"/>
  <bookViews>
    <workbookView xWindow="-96" yWindow="-96" windowWidth="23232" windowHeight="13872" firstSheet="1" activeTab="7"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BV_Data_An_Cour!$A$1:$X$469</definedName>
    <definedName name="_xlnm._FilterDatabase" localSheetId="19" hidden="1">BV_Data_An_Prec!$A$1:$X$1055</definedName>
    <definedName name="_xlnm._FilterDatabase" localSheetId="18" hidden="1">Data_Validation!$A$1:$G$946</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J78" i="9" l="1"/>
  <c r="S474" i="15" l="1"/>
  <c r="R474" i="15"/>
  <c r="Q474" i="15"/>
  <c r="O474" i="15" s="1"/>
  <c r="M474" i="15"/>
  <c r="L474" i="15"/>
  <c r="W474" i="15" s="1"/>
  <c r="S473" i="15"/>
  <c r="R473" i="15"/>
  <c r="Q473" i="15"/>
  <c r="P473" i="15" s="1"/>
  <c r="M473" i="15"/>
  <c r="L473" i="15"/>
  <c r="X473" i="15" s="1"/>
  <c r="S472" i="15"/>
  <c r="R472" i="15"/>
  <c r="Q472" i="15"/>
  <c r="O472" i="15" s="1"/>
  <c r="N472" i="15"/>
  <c r="M472" i="15"/>
  <c r="L472" i="15"/>
  <c r="X472" i="15" s="1"/>
  <c r="S471" i="15"/>
  <c r="R471" i="15"/>
  <c r="Q471" i="15"/>
  <c r="N471" i="15" s="1"/>
  <c r="O471" i="15"/>
  <c r="M471" i="15"/>
  <c r="L471" i="15"/>
  <c r="W471" i="15" s="1"/>
  <c r="S470" i="15"/>
  <c r="R470" i="15"/>
  <c r="Q470" i="15"/>
  <c r="O470" i="15" s="1"/>
  <c r="M470" i="15"/>
  <c r="L470" i="15"/>
  <c r="X470" i="15" s="1"/>
  <c r="P472" i="15" l="1"/>
  <c r="P474" i="15"/>
  <c r="P471" i="15"/>
  <c r="P470" i="15"/>
  <c r="U470" i="15"/>
  <c r="U471" i="15"/>
  <c r="V472" i="15"/>
  <c r="V470" i="15"/>
  <c r="V471" i="15"/>
  <c r="W470" i="15"/>
  <c r="T472" i="15"/>
  <c r="T473" i="15"/>
  <c r="T470" i="15"/>
  <c r="T471" i="15"/>
  <c r="U472" i="15"/>
  <c r="X474" i="15"/>
  <c r="U473" i="15"/>
  <c r="T474" i="15"/>
  <c r="X471" i="15"/>
  <c r="W472" i="15"/>
  <c r="V473" i="15"/>
  <c r="U474" i="15"/>
  <c r="N470" i="15"/>
  <c r="W473" i="15"/>
  <c r="V474" i="15"/>
  <c r="N473" i="15"/>
  <c r="O473" i="15"/>
  <c r="N474"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0"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1" i="16"/>
  <c r="G933" i="16"/>
  <c r="G925" i="16"/>
  <c r="G917" i="16"/>
  <c r="G909" i="16"/>
  <c r="G940" i="16"/>
  <c r="G932" i="16"/>
  <c r="G924" i="16"/>
  <c r="G916" i="16"/>
  <c r="G908" i="16"/>
  <c r="G939" i="16"/>
  <c r="G931" i="16"/>
  <c r="G923" i="16"/>
  <c r="G915" i="16"/>
  <c r="G946" i="16"/>
  <c r="G938" i="16"/>
  <c r="G930" i="16"/>
  <c r="G922" i="16"/>
  <c r="G914" i="16"/>
  <c r="G944" i="16"/>
  <c r="G936" i="16"/>
  <c r="G928" i="16"/>
  <c r="G920" i="16"/>
  <c r="G912" i="16"/>
  <c r="G943" i="16"/>
  <c r="G935" i="16"/>
  <c r="G927" i="16"/>
  <c r="G919" i="16"/>
  <c r="G911" i="16"/>
  <c r="G929" i="16"/>
  <c r="G926" i="16"/>
  <c r="G921" i="16"/>
  <c r="G918" i="16"/>
  <c r="G945" i="16"/>
  <c r="G913" i="16"/>
  <c r="G937" i="16"/>
  <c r="G934" i="16"/>
  <c r="G942"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93" i="9" l="1"/>
  <c r="Q191" i="12" a="1"/>
  <c r="Q191" i="12" s="1"/>
  <c r="Q188" i="12" a="1"/>
  <c r="Q188" i="12" s="1"/>
  <c r="D26" i="8"/>
  <c r="D112" i="9"/>
  <c r="L13" i="9"/>
  <c r="L192" i="9"/>
  <c r="M191" i="9"/>
  <c r="K113" i="9"/>
  <c r="J113" i="9"/>
  <c r="K14" i="2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R99" i="12"/>
  <c r="S344"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J193" i="9" l="1"/>
  <c r="L193" i="9" s="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S185" i="12" l="1"/>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P54" i="12"/>
  <c r="AL468" i="12"/>
  <c r="AL483" i="12" s="1"/>
  <c r="AL489" i="12" s="1"/>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J433"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H407" i="9" l="1"/>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<sst xmlns="http://schemas.openxmlformats.org/spreadsheetml/2006/main" count="18439" uniqueCount="3963">
  <si>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</si>
  <si>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</si>
  <si>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</si>
  <si>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</si>
  <si>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</si>
  <si>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</si>
  <si>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</si>
  <si>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</si>
  <si>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</si>
  <si>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</si>
  <si>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</si>
  <si>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</si>
  <si>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</si>
  <si>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</si>
  <si>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</si>
  <si>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</si>
  <si>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</si>
  <si>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</si>
  <si>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</si>
  <si>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</si>
  <si>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</si>
  <si>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</si>
  <si>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</si>
  <si>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</si>
  <si>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</si>
  <si>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</si>
  <si>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</si>
  <si>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</si>
  <si>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</si>
  <si>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</si>
  <si>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</si>
  <si>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</si>
  <si>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</si>
  <si>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</si>
  <si>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</si>
  <si>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</si>
  <si>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</si>
  <si>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</si>
  <si>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</si>
  <si>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</si>
  <si>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</si>
  <si>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</si>
  <si>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</si>
  <si>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</si>
  <si>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</si>
  <si>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</si>
  <si>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</si>
  <si>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</si>
  <si>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</si>
  <si>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</si>
  <si>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</si>
  <si>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</si>
  <si>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</si>
  <si>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</si>
  <si>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</si>
  <si>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</si>
  <si>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</si>
  <si>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</si>
  <si>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</si>
  <si>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</si>
  <si>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</si>
  <si>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</si>
  <si>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</si>
  <si>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</si>
  <si>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</si>
  <si>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</si>
  <si>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</si>
  <si>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</si>
  <si>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</si>
  <si>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</si>
  <si>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</si>
  <si>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</si>
  <si>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</si>
  <si>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</si>
  <si>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</si>
  <si>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</si>
  <si>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</si>
  <si>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</si>
  <si>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</si>
  <si>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</si>
  <si>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</si>
  <si>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</si>
  <si>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</si>
  <si>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</si>
  <si>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</si>
  <si>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</si>
  <si>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</si>
  <si>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</si>
  <si>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</si>
  <si>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</si>
  <si>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</si>
  <si>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</si>
  <si>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</si>
  <si>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</si>
  <si>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</si>
  <si>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</si>
  <si>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</si>
  <si>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</si>
  <si>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</si>
  <si>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</si>
  <si>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</si>
  <si>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</si>
  <si>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</si>
  <si>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</si>
  <si>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</si>
  <si>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</si>
  <si>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</si>
  <si>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</si>
  <si>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</si>
  <si>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</si>
  <si>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</si>
  <si>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</si>
  <si>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</si>
  <si>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</si>
  <si>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</si>
  <si>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</si>
  <si>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</si>
  <si>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</si>
  <si>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</si>
  <si>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</si>
  <si>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</si>
  <si>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</si>
  <si>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</si>
  <si>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</si>
  <si>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</si>
  <si>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</si>
  <si>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</si>
  <si>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</si>
  <si>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</si>
  <si>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</si>
  <si>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</si>
  <si>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</si>
  <si>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</si>
  <si>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</si>
  <si>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</si>
  <si>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</si>
  <si>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</si>
  <si>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</si>
  <si>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</si>
  <si>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</si>
  <si>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</si>
  <si>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</si>
  <si>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</si>
  <si>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</si>
  <si>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</si>
  <si>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</si>
  <si>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</si>
  <si>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</si>
  <si>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</si>
  <si>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</si>
  <si>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</si>
  <si>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</si>
  <si>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</si>
  <si>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</si>
  <si>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</si>
  <si>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</si>
  <si>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</si>
  <si>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</si>
  <si>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</si>
  <si>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</si>
  <si>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</si>
  <si>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</si>
  <si>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</si>
  <si>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</si>
  <si>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</si>
  <si>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</si>
  <si>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</si>
  <si>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</si>
  <si>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</si>
  <si>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</si>
  <si>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</si>
  <si>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</si>
  <si>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</si>
  <si>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</si>
  <si>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</si>
  <si>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</si>
  <si>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</si>
  <si>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</si>
  <si>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</si>
  <si>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</si>
  <si>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</si>
  <si>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</si>
  <si>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</si>
  <si>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</si>
  <si>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</si>
  <si>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</si>
  <si>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</si>
  <si>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</si>
  <si>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</si>
  <si>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</si>
  <si>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</si>
  <si>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</si>
  <si>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</si>
  <si>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</si>
  <si>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</si>
  <si>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</si>
  <si>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</si>
  <si>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</si>
  <si>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</si>
  <si>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</si>
  <si>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</si>
  <si>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</si>
  <si>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</si>
  <si>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</si>
  <si>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</si>
  <si>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</si>
  <si>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</si>
  <si>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</si>
  <si>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</si>
  <si>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</si>
  <si>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</si>
  <si>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</si>
  <si>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</si>
  <si>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</si>
  <si>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</si>
  <si>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</si>
  <si>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</si>
  <si>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</si>
  <si>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</si>
  <si>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</si>
  <si>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</si>
  <si>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</si>
  <si>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</si>
  <si>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</si>
  <si>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</si>
  <si>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</si>
  <si>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</si>
  <si>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</si>
  <si>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</si>
  <si>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</si>
  <si>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</si>
  <si>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</si>
  <si>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</si>
  <si>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</si>
  <si>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</si>
  <si>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</si>
  <si>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</si>
  <si>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</si>
  <si>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</si>
  <si>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</si>
  <si>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</si>
  <si>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</si>
  <si>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</si>
  <si>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</si>
  <si>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</si>
  <si>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</si>
  <si>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</si>
  <si>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</si>
  <si>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</si>
  <si>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</si>
  <si>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</si>
  <si>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</si>
  <si>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</si>
  <si>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</si>
  <si>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</si>
  <si>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</si>
  <si>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</si>
  <si>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</si>
  <si>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</si>
  <si>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</si>
  <si>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</si>
  <si>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</si>
  <si>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</si>
  <si>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</si>
  <si>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</si>
  <si>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</si>
  <si>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</si>
  <si>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</si>
  <si>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</si>
  <si>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</si>
  <si>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</si>
  <si>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</si>
  <si>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</si>
  <si>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</si>
  <si>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</si>
  <si>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</si>
  <si>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</si>
  <si>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</si>
  <si>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</si>
  <si>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</si>
  <si>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</si>
  <si>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</si>
  <si>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</si>
  <si>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</si>
  <si>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</si>
  <si>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</si>
  <si>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</si>
  <si>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</si>
  <si>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</si>
  <si>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</si>
  <si>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</si>
  <si>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</si>
  <si>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</si>
  <si>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</si>
  <si>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</si>
  <si>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</si>
  <si>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</si>
  <si>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</si>
  <si>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</si>
  <si>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</si>
  <si>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</si>
  <si>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</si>
  <si>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</si>
  <si>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</si>
  <si>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</si>
  <si>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</si>
  <si>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</si>
  <si>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</si>
  <si>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</si>
  <si>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</si>
  <si>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</si>
  <si>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</si>
  <si>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</si>
  <si>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</si>
  <si>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</si>
  <si>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</si>
  <si>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</si>
  <si>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</si>
  <si>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</si>
  <si>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</si>
  <si>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</si>
  <si>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</si>
  <si>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</si>
  <si>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</si>
  <si>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</si>
  <si>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</si>
  <si>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</si>
  <si>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</si>
  <si>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</si>
  <si>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</si>
  <si>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</si>
  <si>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</si>
  <si>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</si>
  <si>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</si>
  <si>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</si>
  <si>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</si>
  <si>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</si>
  <si>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</si>
  <si>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</si>
  <si>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</si>
  <si>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</si>
  <si>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</si>
  <si>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</si>
  <si>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</si>
  <si>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</si>
  <si>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</si>
  <si>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</si>
  <si>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</si>
  <si>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</si>
  <si>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</si>
  <si>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</si>
  <si>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</si>
  <si>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</si>
  <si>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</si>
  <si>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</si>
  <si>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</si>
  <si>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</si>
  <si>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</si>
  <si>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</si>
  <si>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</si>
  <si>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</si>
  <si>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</si>
  <si>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</si>
  <si>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</si>
  <si>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</si>
  <si>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</si>
  <si>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</si>
  <si>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</si>
  <si>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</si>
  <si>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</si>
  <si>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</si>
  <si>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</si>
  <si>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</si>
  <si>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</si>
  <si>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</si>
  <si>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</si>
  <si>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</si>
  <si>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</si>
  <si>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</si>
  <si>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</si>
  <si>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</si>
  <si>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</si>
  <si>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</si>
  <si>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</si>
  <si>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</si>
  <si>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</si>
  <si>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</si>
  <si>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</si>
  <si>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</si>
  <si>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</si>
  <si>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</si>
  <si>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</si>
  <si>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</si>
  <si>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</si>
  <si>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</si>
  <si>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</si>
  <si>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</si>
  <si>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</si>
  <si>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</si>
  <si>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</si>
  <si>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</si>
  <si>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</si>
  <si>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</si>
  <si>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</si>
  <si>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</si>
  <si>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</si>
  <si>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</si>
  <si>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</si>
  <si>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</si>
  <si>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</si>
  <si>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</si>
  <si>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</si>
  <si>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</si>
  <si>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</si>
  <si>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</si>
  <si>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</si>
  <si>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</si>
  <si>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</si>
  <si>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</si>
  <si>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</si>
  <si>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</si>
  <si>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</si>
  <si>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</si>
  <si>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</si>
  <si>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</si>
  <si>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</si>
  <si>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</si>
  <si>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</si>
  <si>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</si>
  <si>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</si>
  <si>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</si>
  <si>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</si>
  <si>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</si>
  <si>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</si>
  <si>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</si>
  <si>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</si>
  <si>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</si>
  <si>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</si>
  <si>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</si>
  <si>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</si>
  <si>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</si>
  <si>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</si>
  <si>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</si>
  <si>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</si>
  <si>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</si>
  <si>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</si>
  <si>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</si>
  <si>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</si>
  <si>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</si>
  <si>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</si>
  <si>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</si>
  <si>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</si>
  <si>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</si>
  <si>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</si>
  <si>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</si>
  <si>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</si>
  <si>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</si>
  <si>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</si>
  <si>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</si>
  <si>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</si>
  <si>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</si>
  <si>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</si>
  <si>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</si>
  <si>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</si>
  <si>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</si>
  <si>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</si>
  <si>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</si>
  <si>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</si>
  <si>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</si>
  <si>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</si>
  <si>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</si>
  <si>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</si>
  <si>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</si>
  <si>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</si>
  <si>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</si>
  <si>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</si>
  <si>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</si>
  <si>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</si>
  <si>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</si>
  <si>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</si>
  <si>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</si>
  <si>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</si>
  <si>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</si>
  <si>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</si>
  <si>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</si>
  <si>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</si>
  <si>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</si>
  <si>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</si>
  <si>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</si>
  <si>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</si>
  <si>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</si>
  <si>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</si>
  <si>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</si>
  <si>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</si>
  <si>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</si>
  <si>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</si>
  <si>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</si>
  <si>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</si>
  <si>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</si>
  <si>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</si>
  <si>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</si>
  <si>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</si>
  <si>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</si>
  <si>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</si>
  <si>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</si>
  <si>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</si>
  <si>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</si>
  <si>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</si>
  <si>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</si>
  <si>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</si>
  <si>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</si>
  <si>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</si>
  <si>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</si>
  <si>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</si>
  <si>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</si>
  <si>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</si>
  <si>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</si>
  <si>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</si>
  <si>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</si>
  <si>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</si>
  <si>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</si>
  <si>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</si>
  <si>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</si>
  <si>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</si>
  <si>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</si>
  <si>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</si>
  <si>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</si>
  <si>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</si>
  <si>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</si>
  <si>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</si>
  <si>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</si>
  <si>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</si>
  <si>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</si>
  <si>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</si>
  <si>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</si>
  <si>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</si>
  <si>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</si>
  <si>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</si>
  <si>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</si>
  <si>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</si>
  <si>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</si>
  <si>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</si>
  <si>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</si>
  <si>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</si>
  <si>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</si>
  <si>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</si>
  <si>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</si>
  <si>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</si>
  <si>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</si>
  <si>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</si>
  <si>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</si>
  <si>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</si>
  <si>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</si>
  <si>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</si>
  <si>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</si>
  <si>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</si>
  <si>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</si>
  <si>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</si>
  <si>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</si>
  <si>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</si>
  <si>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</si>
  <si>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</si>
  <si>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</si>
  <si>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</si>
  <si>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</si>
  <si>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</si>
  <si>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</si>
  <si>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</si>
  <si>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</si>
  <si>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</si>
  <si>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</si>
  <si>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</si>
  <si>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</si>
  <si>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</si>
  <si>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</si>
  <si>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</si>
  <si>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</si>
  <si>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</si>
  <si>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</si>
  <si>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</si>
  <si>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</si>
  <si>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</si>
  <si>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</si>
  <si>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</si>
  <si>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</si>
  <si>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</si>
  <si>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</si>
  <si>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</si>
  <si>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</si>
  <si>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</si>
  <si>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</si>
  <si>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</si>
  <si>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</si>
  <si>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</si>
  <si>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</si>
  <si>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</si>
  <si>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</si>
  <si>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</si>
  <si>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</si>
  <si>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</si>
  <si>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</si>
  <si>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</si>
  <si>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</si>
  <si>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</si>
  <si>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</si>
  <si>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</si>
  <si>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</si>
  <si>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</si>
  <si>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</si>
  <si>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</si>
  <si>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</si>
  <si>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</si>
  <si>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</si>
  <si>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</si>
  <si>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</si>
  <si>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</si>
  <si>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</si>
  <si>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</si>
  <si>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</si>
  <si>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</si>
  <si>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</si>
  <si>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</si>
  <si>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</si>
  <si>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</si>
  <si>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</si>
  <si>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</si>
  <si>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</si>
  <si>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</si>
  <si>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</si>
  <si>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</si>
  <si>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</si>
  <si>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</si>
  <si>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</si>
  <si>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</si>
  <si>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</si>
  <si>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</si>
  <si>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</si>
  <si>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</si>
  <si>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</si>
  <si>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</si>
  <si>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</si>
  <si>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</si>
  <si>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</si>
  <si>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</si>
  <si>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</si>
  <si>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</si>
  <si>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</si>
  <si>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</si>
  <si>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</si>
  <si>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</si>
  <si>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</si>
  <si>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</si>
  <si>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</si>
  <si>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</si>
  <si>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</si>
  <si>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</si>
  <si>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</si>
  <si>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</si>
  <si>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</si>
  <si>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</si>
  <si>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</si>
  <si>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</si>
  <si>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</si>
  <si>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</si>
  <si>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</si>
  <si>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</si>
  <si>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</si>
  <si>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</si>
  <si>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</si>
  <si>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</si>
  <si>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</si>
  <si>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</si>
  <si>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</si>
  <si>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</si>
  <si>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</si>
  <si>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</si>
  <si>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</si>
  <si>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</si>
  <si>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</si>
  <si>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</si>
  <si>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</si>
  <si>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</si>
  <si>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</si>
  <si>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</si>
  <si>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</si>
  <si>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</si>
  <si>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</si>
  <si>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</si>
  <si>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</si>
  <si>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</si>
  <si>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</si>
  <si>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</si>
  <si>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</si>
  <si>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</si>
  <si>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</si>
  <si>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</si>
  <si>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</si>
  <si>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</si>
  <si>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</si>
  <si>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</si>
  <si>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</si>
  <si>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</si>
  <si>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</si>
  <si>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</si>
  <si>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</si>
  <si>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</si>
  <si>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</si>
  <si>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</si>
  <si>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</si>
  <si>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</si>
  <si>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</si>
  <si>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</si>
  <si>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</si>
  <si>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</si>
  <si>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</si>
  <si>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</si>
  <si>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</si>
  <si>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</si>
  <si>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</si>
  <si>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</si>
  <si>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</si>
  <si>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</si>
  <si>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</si>
  <si>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</si>
  <si>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</si>
  <si>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</si>
  <si>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</si>
  <si>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</si>
  <si>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</si>
  <si>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</si>
  <si>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</si>
  <si>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</si>
  <si>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</si>
  <si>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</si>
  <si>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</si>
  <si>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</si>
  <si>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</si>
  <si>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</si>
  <si>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</si>
  <si>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</si>
  <si>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</si>
  <si>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</si>
  <si>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</si>
  <si>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</si>
  <si>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</si>
  <si>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</si>
  <si>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</si>
  <si>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</si>
  <si>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</si>
  <si>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</si>
  <si>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</si>
  <si>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</si>
  <si>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</si>
  <si>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</si>
  <si>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</si>
  <si>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</si>
  <si>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</si>
  <si>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</si>
  <si>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</si>
  <si>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</si>
  <si>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</si>
  <si>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</si>
  <si>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</si>
  <si>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</si>
  <si>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</si>
  <si>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</si>
  <si>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</si>
  <si>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</si>
  <si>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</si>
  <si>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</si>
  <si>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</si>
  <si>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</si>
  <si>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</si>
  <si>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</si>
  <si>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</si>
  <si>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</si>
  <si>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</si>
  <si>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</si>
  <si>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</si>
  <si>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</si>
  <si>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</si>
  <si>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</si>
  <si>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</si>
  <si>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</si>
  <si>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</si>
  <si>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</si>
  <si>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</si>
  <si>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</si>
  <si>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</si>
  <si>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</si>
  <si>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</si>
  <si>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</si>
  <si>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</si>
  <si>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</si>
  <si>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</si>
  <si>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</si>
  <si>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</si>
  <si>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</si>
  <si>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</si>
  <si>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</si>
  <si>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</si>
  <si>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</si>
  <si>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</si>
  <si>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</si>
  <si>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</si>
  <si>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</si>
  <si>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</si>
  <si>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</si>
  <si>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</si>
  <si>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</si>
  <si>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</si>
  <si>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</si>
  <si>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</si>
  <si>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</si>
  <si>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</si>
  <si>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</si>
  <si>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</si>
  <si>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</si>
  <si>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</si>
  <si>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</si>
  <si>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</si>
  <si>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</si>
  <si>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</si>
  <si>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</si>
  <si>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</si>
  <si>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</si>
  <si>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</si>
  <si>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</si>
  <si>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</si>
  <si>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</si>
  <si>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</si>
  <si>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</si>
  <si>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</si>
  <si>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</si>
  <si>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</si>
  <si>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</si>
  <si>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</si>
  <si>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</si>
  <si>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</si>
  <si>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</si>
  <si>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</si>
  <si>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</si>
  <si>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</si>
  <si>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</si>
  <si>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</si>
  <si>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</si>
  <si>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</si>
  <si>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</si>
  <si>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</si>
  <si>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</si>
  <si>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</si>
  <si>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</si>
  <si>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</si>
  <si>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</si>
  <si>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</si>
  <si>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</si>
  <si>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</si>
  <si>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</si>
  <si>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</si>
  <si>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</si>
  <si>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</si>
  <si>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</si>
  <si>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</si>
  <si>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</si>
  <si>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</si>
  <si>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</si>
  <si>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</si>
  <si>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</si>
  <si>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</si>
  <si>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</si>
  <si>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</si>
  <si>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</si>
  <si>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</si>
  <si>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</si>
  <si>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</si>
  <si>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</si>
  <si>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</si>
  <si>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</si>
  <si>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</si>
  <si>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</si>
  <si>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</si>
  <si>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</si>
  <si>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</si>
  <si>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</si>
  <si>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</si>
  <si>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</si>
  <si>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</si>
  <si>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</si>
  <si>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</si>
  <si>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</si>
  <si>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</si>
  <si>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</si>
  <si>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</si>
  <si>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</si>
  <si>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</si>
  <si>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</si>
  <si>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</si>
  <si>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</si>
  <si>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</si>
  <si>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</si>
  <si>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</si>
  <si>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</si>
  <si>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</si>
  <si>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</si>
  <si>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</si>
  <si>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</si>
  <si>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</si>
  <si>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</si>
  <si>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</si>
  <si>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</si>
  <si>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</si>
  <si>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</si>
  <si>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</si>
  <si>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</si>
  <si>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</si>
  <si>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</si>
  <si>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</si>
  <si>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</si>
  <si>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</si>
  <si>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</si>
  <si>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</si>
  <si>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</si>
  <si>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</si>
  <si>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</si>
  <si>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</si>
  <si>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</si>
  <si>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</si>
  <si>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</si>
  <si>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</si>
  <si>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</si>
  <si>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</si>
  <si>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</si>
  <si>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</si>
  <si>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</si>
  <si>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</si>
  <si>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</si>
  <si>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</si>
  <si>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</si>
  <si>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</si>
  <si>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</si>
  <si>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</si>
  <si>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</si>
  <si>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</si>
  <si>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</si>
  <si>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</si>
  <si>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</si>
  <si>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</si>
  <si>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</si>
  <si>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</si>
  <si>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</si>
  <si>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</si>
  <si>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</si>
  <si>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</si>
  <si>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</si>
  <si>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</si>
  <si>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</si>
  <si>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</si>
  <si>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</si>
  <si>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</si>
  <si>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</si>
  <si>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</si>
  <si>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</si>
  <si>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</si>
  <si>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</si>
  <si>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</si>
  <si>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</si>
  <si>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</si>
  <si>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</si>
  <si>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</si>
  <si>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</si>
  <si>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</si>
  <si>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</si>
  <si>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</si>
  <si>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</si>
  <si>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</si>
  <si>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</si>
  <si>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</si>
  <si>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</si>
  <si>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</si>
  <si>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</si>
  <si>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</si>
  <si>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</si>
  <si>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</si>
  <si>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</si>
  <si>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</si>
  <si>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</si>
  <si>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</si>
  <si>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</si>
  <si>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</si>
  <si>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</si>
  <si>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</si>
  <si>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</si>
  <si>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</si>
  <si>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</si>
  <si>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</si>
  <si>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</si>
  <si>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</si>
  <si>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</si>
  <si>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</si>
  <si>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</si>
  <si>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</si>
  <si>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</si>
  <si>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</si>
  <si>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</si>
  <si>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</si>
  <si>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</si>
  <si>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</si>
  <si>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</si>
  <si>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</si>
  <si>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</si>
  <si>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</si>
  <si>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</si>
  <si>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</si>
  <si>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</si>
  <si>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</si>
  <si>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</si>
  <si>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</si>
  <si>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</si>
  <si>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</si>
  <si>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</si>
  <si>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</si>
  <si>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</si>
  <si>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</si>
  <si>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</si>
  <si>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</si>
  <si>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</si>
  <si>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</si>
  <si>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</si>
  <si>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</si>
  <si>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</si>
  <si>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</si>
  <si>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</si>
  <si>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</si>
  <si>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</si>
  <si>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</si>
  <si>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</si>
  <si>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</si>
  <si>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</si>
  <si>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</si>
  <si>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</si>
  <si>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</si>
  <si>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</si>
  <si>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</si>
  <si>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</si>
  <si>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</si>
  <si>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</si>
  <si>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</si>
  <si>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</si>
  <si>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</si>
  <si>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</si>
  <si>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</si>
  <si>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</si>
  <si>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</si>
  <si>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</si>
  <si>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</si>
  <si>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</si>
  <si>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</si>
  <si>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</si>
  <si>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</si>
  <si>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</si>
  <si>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</si>
  <si>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</si>
  <si>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</si>
  <si>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</si>
  <si>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</si>
  <si>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</si>
  <si>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</si>
  <si>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</si>
  <si>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</si>
  <si>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</si>
  <si>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</si>
  <si>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</si>
  <si>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</si>
  <si>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</si>
  <si>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</si>
  <si>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</si>
  <si>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</si>
  <si>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</si>
  <si>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</si>
  <si>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</si>
  <si>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</si>
  <si>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</si>
  <si>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</si>
  <si>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</si>
  <si>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</si>
  <si>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</si>
  <si>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</si>
  <si>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</si>
  <si>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</si>
  <si>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</si>
  <si>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</si>
  <si>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</si>
  <si>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</si>
  <si>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</si>
  <si>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</si>
  <si>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</si>
  <si>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</si>
  <si>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</si>
  <si>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</si>
  <si>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</si>
  <si>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</si>
  <si>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</si>
  <si>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</si>
  <si>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</si>
  <si>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</si>
  <si>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</si>
  <si>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</si>
  <si>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</si>
  <si>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</si>
  <si>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</si>
  <si>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</si>
  <si>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</si>
  <si>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</si>
  <si>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</si>
  <si>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</si>
  <si>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</si>
  <si>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</si>
  <si>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</si>
  <si>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</si>
  <si>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</si>
  <si>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</si>
  <si>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</si>
  <si>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</si>
  <si>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</si>
  <si>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</si>
  <si>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</si>
  <si>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</si>
  <si>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</si>
  <si>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</si>
  <si>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</si>
  <si>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</si>
  <si>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</si>
  <si>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</si>
  <si>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</si>
  <si>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</si>
  <si>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</si>
  <si>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</si>
  <si>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</si>
  <si>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</si>
  <si>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</si>
  <si>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</si>
  <si>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</si>
  <si>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</si>
  <si>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</si>
  <si>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</si>
  <si>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</si>
  <si>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</si>
  <si>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</si>
  <si>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</si>
  <si>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</si>
  <si>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</si>
  <si>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</si>
  <si>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</si>
  <si>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</si>
  <si>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</si>
  <si>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</si>
  <si>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</si>
  <si>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</si>
  <si>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</si>
  <si>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</si>
  <si>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</si>
  <si>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</si>
  <si>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</si>
  <si>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</si>
  <si>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</si>
  <si>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</si>
  <si>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</si>
  <si>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</si>
  <si>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</si>
  <si>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</si>
  <si>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</si>
  <si>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</si>
  <si>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</si>
  <si>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</si>
  <si>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</si>
  <si>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</si>
  <si>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</si>
  <si>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</si>
  <si>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</si>
  <si>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</si>
  <si>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</si>
  <si>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</si>
  <si>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</si>
  <si>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</si>
  <si>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</si>
  <si>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</si>
  <si>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</si>
  <si>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</si>
  <si>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</si>
  <si>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</si>
  <si>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</si>
  <si>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</si>
  <si>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</si>
  <si>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</si>
  <si>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</si>
  <si>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</si>
  <si>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</si>
  <si>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</si>
  <si>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</si>
  <si>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</si>
  <si>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</si>
  <si>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</si>
  <si>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</si>
  <si>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</si>
  <si>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</si>
  <si>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</si>
  <si>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</si>
  <si>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</si>
  <si>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</si>
  <si>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</si>
  <si>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</si>
  <si>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</si>
  <si>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</si>
  <si>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</si>
  <si>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</si>
  <si>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</si>
  <si>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</si>
  <si>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</si>
  <si>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</si>
  <si>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</si>
  <si>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</si>
  <si>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</si>
  <si>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</si>
  <si>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</si>
  <si>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</si>
  <si>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</si>
  <si>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</si>
  <si>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</si>
  <si>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</si>
  <si>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</si>
  <si>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</si>
  <si>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</si>
  <si>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</si>
  <si>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</si>
  <si>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</si>
  <si>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</si>
  <si>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</si>
  <si>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</si>
  <si>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</si>
  <si>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</si>
  <si>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</si>
  <si>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</si>
  <si>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</si>
  <si>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</si>
  <si>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</si>
  <si>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</si>
  <si>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</si>
  <si>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</si>
  <si>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</si>
  <si>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</si>
  <si>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</si>
  <si>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</si>
  <si>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</si>
  <si>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</si>
  <si>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</si>
  <si>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</si>
  <si>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</si>
  <si>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</si>
  <si>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</si>
  <si>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</si>
  <si>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</si>
  <si>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</si>
  <si>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</si>
  <si>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</si>
  <si>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</si>
  <si>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</si>
  <si>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</si>
  <si>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</si>
  <si>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</si>
  <si>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</si>
  <si>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</si>
  <si>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</si>
  <si>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</si>
  <si>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</si>
  <si>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</si>
  <si>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</si>
  <si>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</si>
  <si>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</si>
  <si>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</si>
  <si>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</si>
  <si>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</si>
  <si>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</si>
  <si>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</si>
  <si>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</si>
  <si>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</si>
  <si>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</si>
  <si>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</si>
  <si>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</si>
  <si>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</si>
  <si>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</si>
  <si>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</si>
  <si>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</si>
  <si>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</si>
  <si>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</si>
  <si>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</si>
  <si>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</si>
  <si>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</si>
  <si>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</si>
  <si>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</si>
  <si>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</si>
  <si>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</si>
  <si>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</si>
  <si>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</si>
  <si>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</si>
  <si>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</si>
  <si>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</si>
  <si>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</si>
  <si>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</si>
  <si>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</si>
  <si>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</si>
  <si>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</si>
  <si>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</si>
  <si>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</si>
  <si>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</si>
  <si>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</si>
  <si>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</si>
  <si>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</si>
  <si>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</si>
  <si>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</si>
  <si>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</si>
  <si>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</si>
  <si>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</si>
  <si>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</si>
  <si>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</si>
  <si>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</si>
  <si>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</si>
  <si>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</si>
  <si>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</si>
  <si>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</si>
  <si>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</si>
  <si>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</si>
  <si>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</si>
  <si>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</si>
  <si>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</si>
  <si>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</si>
  <si>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</si>
  <si>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</si>
  <si>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</si>
  <si>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</si>
  <si>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</si>
  <si>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</si>
  <si>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</si>
  <si>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</si>
  <si>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</si>
  <si>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</si>
  <si>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</si>
  <si>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</si>
  <si>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</si>
  <si>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</si>
  <si>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</si>
  <si>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</si>
  <si>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</si>
  <si>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</si>
  <si>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</si>
  <si>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</si>
  <si>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</si>
  <si>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</si>
  <si>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</si>
  <si>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</si>
  <si>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</si>
  <si>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</si>
  <si>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</si>
  <si>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</si>
  <si>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</si>
  <si>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</si>
  <si>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</si>
  <si>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</si>
  <si>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</si>
  <si>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</si>
  <si>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</si>
  <si>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</si>
  <si>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</si>
  <si>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</si>
  <si>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</si>
  <si>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</si>
  <si>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</si>
  <si>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</si>
  <si>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</si>
  <si>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</si>
  <si>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</si>
  <si>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</si>
  <si>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</si>
  <si>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</si>
  <si>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</si>
  <si>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</si>
  <si>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</si>
  <si>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</si>
  <si>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</si>
  <si>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</si>
  <si>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</si>
  <si>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</si>
  <si>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</si>
  <si>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</si>
  <si>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</si>
  <si>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</si>
  <si>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</si>
  <si>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</si>
  <si>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</si>
  <si>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</si>
  <si>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</si>
  <si>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</si>
  <si>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</si>
  <si>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</si>
  <si>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</si>
  <si>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</si>
  <si>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</si>
  <si>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</si>
  <si>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</si>
  <si>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</si>
  <si>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</si>
  <si>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</si>
  <si>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</si>
  <si>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</si>
  <si>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</si>
  <si>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</si>
  <si>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</si>
  <si>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</si>
  <si>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</si>
  <si>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</si>
  <si>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</si>
  <si>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</si>
  <si>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</si>
  <si>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</si>
  <si>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</si>
  <si>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</si>
  <si>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</si>
  <si>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</si>
  <si>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</si>
  <si>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</si>
  <si>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</si>
  <si>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</si>
  <si>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</si>
  <si>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</si>
  <si>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</si>
  <si>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</si>
  <si>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</si>
  <si>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</si>
  <si>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</si>
  <si>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</si>
  <si>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</si>
  <si>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</si>
  <si>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</si>
  <si>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</si>
  <si>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</si>
  <si>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</si>
  <si>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</si>
  <si>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</si>
  <si>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</si>
  <si>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</si>
  <si>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</si>
  <si>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</si>
  <si>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</si>
  <si>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</si>
  <si>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</si>
  <si>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</si>
  <si>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</si>
  <si>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</si>
  <si>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</si>
  <si>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</si>
  <si>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</si>
  <si>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</si>
  <si>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</si>
  <si>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</si>
  <si>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</si>
  <si>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</si>
  <si>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</si>
  <si>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</si>
  <si>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</si>
  <si>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</si>
  <si>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</si>
  <si>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</si>
  <si>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</si>
  <si>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</si>
  <si>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</si>
  <si>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</si>
  <si>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</si>
  <si>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</si>
  <si>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</si>
  <si>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</si>
  <si>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</si>
  <si>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</si>
  <si>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</si>
  <si>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</si>
  <si>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</si>
  <si>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</si>
  <si>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</si>
  <si>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</si>
  <si>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</si>
  <si>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</si>
  <si>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</si>
  <si>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</si>
  <si>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</si>
  <si>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</si>
  <si>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</si>
  <si>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</si>
  <si>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</si>
  <si>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</si>
  <si>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</si>
  <si>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</si>
  <si>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</si>
  <si>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</si>
  <si>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</si>
  <si>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</si>
  <si>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</si>
  <si>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</si>
  <si>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</si>
  <si>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</si>
  <si>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</si>
  <si>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</si>
  <si>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</si>
  <si>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</si>
  <si>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</si>
  <si>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</si>
  <si>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</si>
  <si>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</si>
  <si>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</si>
  <si>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</si>
  <si>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</si>
  <si>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</si>
  <si>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</si>
  <si>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</si>
  <si>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</si>
  <si>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</si>
  <si>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</si>
  <si>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</si>
  <si>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</si>
  <si>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</si>
  <si>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</si>
  <si>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</si>
  <si>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</si>
  <si>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</si>
  <si>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</si>
  <si>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</si>
  <si>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</si>
  <si>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</si>
  <si>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</si>
  <si>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</si>
  <si>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</si>
  <si>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</si>
  <si>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</si>
  <si>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</si>
  <si>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</si>
  <si>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</si>
  <si>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</si>
  <si>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</si>
  <si>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</si>
  <si>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</si>
  <si>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</si>
  <si>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</si>
  <si>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</si>
  <si>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</si>
  <si>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</si>
  <si>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</si>
  <si>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</si>
  <si>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</si>
  <si>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</si>
  <si>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</si>
  <si>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</si>
  <si>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</si>
  <si>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</si>
  <si>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</si>
  <si>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</si>
  <si>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</si>
  <si>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</si>
  <si>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</si>
  <si>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</si>
  <si>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</si>
  <si>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</si>
  <si>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</si>
  <si>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</si>
  <si>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</si>
  <si>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</si>
  <si>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</si>
  <si>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</si>
  <si>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</si>
  <si>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</si>
  <si>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</si>
  <si>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</si>
  <si>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</si>
  <si>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</si>
  <si>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</si>
  <si>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</si>
  <si>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</si>
  <si>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</si>
  <si>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</si>
  <si>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</si>
  <si>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</si>
  <si>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</si>
  <si>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</si>
  <si>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</si>
  <si>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</si>
  <si>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</si>
  <si>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</si>
  <si>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</si>
  <si>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</si>
  <si>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</si>
  <si>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</si>
  <si>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</si>
  <si>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</si>
  <si>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</si>
  <si>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</si>
  <si>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</si>
  <si>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</si>
  <si>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</si>
  <si>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</si>
  <si>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</si>
  <si>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</si>
  <si>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</si>
  <si>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</si>
  <si>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</si>
  <si>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</si>
  <si>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</si>
  <si>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</si>
  <si>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</si>
  <si>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</si>
  <si>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</si>
  <si>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</si>
  <si>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</si>
  <si>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</si>
  <si>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</si>
  <si>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</si>
  <si>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</si>
  <si>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</si>
  <si>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</si>
  <si>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</si>
  <si>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</si>
  <si>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</si>
  <si>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</si>
  <si>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</si>
  <si>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</si>
  <si>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</si>
  <si>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</si>
  <si>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</si>
  <si>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</si>
  <si>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</si>
  <si>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</si>
  <si>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</si>
  <si>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</si>
  <si>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</si>
  <si>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</si>
  <si>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</si>
  <si>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</si>
  <si>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</si>
  <si>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</si>
  <si>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</si>
  <si>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</si>
  <si>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</si>
  <si>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</si>
  <si>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</si>
  <si>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</si>
  <si>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</si>
  <si>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</si>
  <si>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</si>
  <si>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</si>
  <si>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</si>
  <si>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</si>
  <si>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</si>
  <si>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</si>
  <si>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</si>
  <si>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</si>
  <si>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</si>
  <si>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</si>
  <si>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</si>
  <si>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</si>
  <si>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</si>
  <si>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</si>
  <si>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</si>
  <si>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</si>
  <si>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</si>
  <si>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</si>
  <si>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</si>
  <si>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</si>
  <si>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</si>
  <si>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</si>
  <si>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</si>
  <si>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</si>
  <si>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</si>
  <si>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</si>
  <si>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</si>
  <si>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</si>
  <si>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</si>
  <si>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</si>
  <si>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</si>
  <si>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</si>
  <si>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</si>
  <si>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</si>
  <si>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</si>
  <si>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</si>
  <si>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</si>
  <si>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</si>
  <si>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</si>
  <si>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</si>
  <si>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</si>
  <si>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</si>
  <si>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</si>
  <si>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</si>
  <si>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</si>
  <si>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</si>
  <si>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</si>
  <si>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</si>
  <si>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</si>
  <si>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</si>
  <si>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</si>
  <si>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</si>
  <si>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</si>
  <si>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</si>
  <si>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</si>
  <si>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</si>
  <si>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</si>
  <si>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</si>
  <si>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</si>
  <si>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</si>
  <si>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</si>
  <si>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</si>
  <si>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</si>
  <si>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</si>
  <si>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</si>
  <si>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</si>
  <si>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</si>
  <si>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</si>
  <si>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</si>
  <si>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</si>
  <si>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</si>
  <si>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</si>
  <si>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</si>
  <si>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</si>
  <si>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</si>
  <si>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</si>
  <si>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</si>
  <si>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</si>
  <si>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</si>
  <si>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</si>
  <si>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</si>
  <si>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</si>
  <si>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</si>
  <si>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</si>
  <si>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</si>
  <si>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</si>
  <si>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</si>
  <si>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</si>
  <si>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</si>
  <si>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</si>
  <si>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</si>
  <si>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</si>
  <si>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</si>
  <si>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</si>
  <si>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</si>
  <si>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</si>
  <si>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</si>
  <si>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</si>
  <si>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</si>
  <si>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</si>
  <si>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</si>
  <si>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</si>
  <si>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</si>
  <si>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</si>
  <si>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</si>
  <si>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</si>
  <si>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</si>
  <si>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</si>
  <si>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</si>
  <si>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</si>
  <si>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</si>
  <si>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</si>
  <si>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</si>
  <si>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</si>
  <si>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</si>
  <si>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</si>
  <si>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</si>
  <si>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</si>
  <si>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</si>
  <si>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</si>
  <si>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</si>
  <si>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</si>
  <si>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</si>
  <si>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</si>
  <si>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</si>
  <si>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</si>
  <si>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</si>
  <si>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</si>
  <si>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</si>
  <si>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</si>
  <si>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</si>
  <si>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</si>
  <si>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</si>
  <si>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</si>
  <si>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</si>
  <si>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</si>
  <si>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</si>
  <si>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</si>
  <si>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</si>
  <si>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</si>
  <si>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</si>
  <si>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</si>
  <si>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</si>
  <si>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</si>
  <si>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</si>
  <si>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</si>
  <si>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</si>
  <si>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</si>
  <si>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</si>
  <si>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</si>
  <si>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</si>
  <si>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</si>
  <si>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</si>
  <si>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</si>
  <si>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</si>
  <si>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</si>
  <si>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</si>
  <si>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</si>
  <si>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</si>
  <si>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</si>
  <si>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</si>
  <si>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</si>
  <si>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</si>
  <si>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</si>
  <si>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</si>
  <si>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</si>
  <si>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</si>
  <si>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</si>
  <si>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</si>
  <si>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</si>
  <si>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</si>
  <si>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</si>
  <si>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</si>
  <si>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</si>
  <si>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</si>
  <si>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</si>
  <si>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</si>
  <si>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</si>
  <si>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</si>
  <si>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</si>
  <si>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</si>
  <si>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</si>
  <si>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</si>
  <si>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</si>
  <si>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</si>
  <si>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</si>
  <si>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</si>
  <si>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</si>
  <si>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</si>
  <si>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</si>
  <si>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</si>
  <si>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</si>
  <si>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</si>
  <si>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</si>
  <si>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</si>
  <si>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</si>
  <si>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</si>
  <si>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</si>
  <si>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</si>
  <si>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</si>
  <si>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</si>
  <si>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</si>
  <si>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</si>
  <si>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</si>
  <si>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</si>
  <si>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</si>
  <si>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</si>
  <si>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</si>
  <si>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</si>
  <si>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</si>
  <si>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</si>
  <si>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</si>
  <si>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</si>
  <si>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</si>
  <si>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</si>
  <si>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</si>
  <si>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</si>
  <si>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</si>
  <si>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</si>
  <si>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</si>
  <si>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</si>
  <si>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</si>
  <si>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</si>
  <si>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</si>
  <si>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</si>
  <si>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</si>
  <si>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</si>
  <si>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</si>
  <si>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</si>
  <si>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</si>
  <si>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</si>
  <si>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</si>
  <si>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</si>
  <si>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</si>
  <si>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</si>
  <si>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</si>
  <si>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</si>
  <si>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</si>
  <si>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</si>
  <si>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</si>
  <si>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</si>
  <si>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</si>
  <si>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</si>
  <si>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</si>
  <si>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</si>
  <si>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</si>
  <si>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</si>
  <si>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</si>
  <si>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</si>
  <si>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</si>
  <si>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</si>
  <si>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</si>
  <si>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</si>
  <si>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</si>
  <si>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</si>
  <si>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</si>
  <si>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</si>
  <si>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</si>
  <si>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</si>
  <si>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</si>
  <si>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</si>
  <si>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</si>
  <si>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</si>
  <si>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</si>
  <si>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</si>
  <si>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</si>
  <si>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</si>
  <si>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</si>
  <si>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</si>
  <si>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</si>
  <si>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</si>
  <si>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</si>
  <si>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</si>
  <si>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</si>
  <si>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</si>
  <si>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</si>
  <si>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</si>
  <si>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</si>
  <si>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</si>
  <si>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</si>
  <si>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</si>
  <si>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</si>
  <si>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</si>
  <si>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</si>
  <si>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</si>
  <si>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</si>
  <si>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</si>
  <si>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</si>
  <si>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</si>
  <si>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</si>
  <si>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</si>
  <si>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</si>
  <si>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</si>
  <si>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</si>
  <si>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</si>
  <si>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</si>
  <si>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</si>
  <si>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</si>
  <si>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</si>
  <si>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</si>
  <si>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</si>
  <si>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</si>
  <si>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</si>
  <si>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</si>
  <si>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</si>
  <si>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</si>
  <si>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</si>
  <si>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</si>
  <si>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</si>
  <si>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</si>
  <si>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</si>
  <si>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</si>
  <si>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</si>
  <si>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</si>
  <si>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</si>
  <si>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</si>
  <si>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</si>
  <si>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</si>
  <si>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</si>
  <si>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</si>
  <si>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</si>
  <si>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</si>
  <si>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</si>
  <si>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</si>
  <si>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</si>
  <si>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</si>
  <si>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</si>
  <si>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</si>
  <si>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</si>
  <si>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</si>
  <si>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</si>
  <si>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</si>
  <si>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</si>
  <si>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</si>
  <si>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</si>
  <si>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</si>
  <si>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</si>
  <si>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</si>
  <si>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</si>
  <si>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</si>
  <si>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</si>
  <si>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</si>
  <si>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</si>
  <si>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</si>
  <si>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</si>
  <si>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</si>
  <si>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</si>
  <si>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</si>
  <si>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</si>
  <si>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</si>
  <si>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</si>
  <si>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</si>
  <si>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</si>
  <si>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</si>
  <si>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</si>
  <si>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</si>
  <si>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</si>
  <si>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</si>
  <si>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</si>
  <si>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</si>
  <si>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</si>
  <si>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</si>
  <si>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</si>
  <si>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</si>
  <si>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</si>
  <si>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</si>
  <si>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</si>
  <si>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</si>
  <si>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</si>
  <si>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</si>
  <si>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</si>
  <si>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</si>
  <si>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</si>
  <si>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</si>
  <si>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</si>
  <si>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</si>
  <si>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</si>
  <si>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</si>
  <si>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</si>
  <si>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</si>
  <si>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</si>
  <si>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</si>
  <si>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</si>
  <si>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</si>
  <si>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</si>
  <si>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</si>
  <si>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</si>
  <si>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</si>
  <si>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</si>
  <si>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</si>
  <si>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</si>
  <si>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</si>
  <si>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</si>
  <si>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</si>
  <si>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</si>
  <si>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</si>
  <si>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</si>
  <si>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</si>
  <si>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</si>
  <si>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</si>
  <si>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</si>
  <si>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</si>
  <si>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</si>
  <si>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</si>
  <si>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</si>
  <si>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</si>
  <si>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</si>
  <si>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</si>
  <si>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</si>
  <si>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</si>
  <si>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</si>
  <si>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</si>
  <si>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</si>
  <si>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</si>
  <si>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</si>
  <si>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</si>
  <si>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</si>
  <si>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</si>
  <si>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</si>
  <si>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</si>
  <si>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</si>
  <si>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</si>
  <si>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</si>
  <si>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</si>
  <si>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</si>
  <si>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</si>
  <si>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</si>
  <si>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</si>
  <si>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</si>
  <si>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</si>
  <si>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</si>
  <si>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</si>
  <si>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</si>
  <si>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</si>
  <si>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</si>
  <si>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</si>
  <si>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</si>
  <si>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</si>
  <si>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</si>
  <si>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</si>
  <si>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</si>
  <si>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</si>
  <si>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</si>
  <si>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</si>
  <si>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</si>
  <si>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</si>
  <si>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</si>
  <si>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</si>
  <si>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</si>
  <si>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</si>
  <si>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</si>
  <si>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</si>
  <si>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</si>
  <si>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</si>
  <si>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</si>
  <si>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</si>
  <si>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</si>
  <si>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</si>
  <si>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</si>
  <si>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</si>
  <si>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</si>
  <si>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</si>
  <si>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</si>
  <si>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</si>
  <si>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</si>
  <si>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</si>
  <si>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</si>
  <si>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</si>
  <si>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</si>
  <si>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</si>
  <si>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</si>
  <si>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</si>
  <si>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</si>
  <si>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</si>
  <si>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</si>
  <si>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</si>
  <si>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</si>
  <si>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</si>
  <si>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</si>
  <si>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</si>
  <si>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</si>
  <si>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</si>
  <si>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</si>
  <si>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</si>
  <si>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</si>
  <si>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</si>
  <si>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</si>
  <si>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</si>
  <si>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</si>
  <si>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</si>
  <si>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</si>
  <si>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</si>
  <si>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</si>
  <si>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</si>
  <si>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</si>
  <si>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</si>
  <si>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</si>
  <si>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</si>
  <si>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</si>
  <si>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</si>
  <si>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</si>
  <si>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</si>
  <si>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</si>
  <si>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</si>
  <si>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</si>
  <si>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</si>
  <si>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</si>
  <si>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</si>
  <si>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</si>
  <si>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</si>
  <si>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</si>
  <si>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</si>
  <si>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</si>
  <si>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</si>
  <si>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</si>
  <si>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</si>
  <si>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</si>
  <si>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</si>
  <si>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</si>
  <si>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</si>
  <si>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</si>
  <si>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</si>
  <si>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</si>
  <si>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</si>
  <si>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</si>
  <si>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</si>
  <si>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</si>
  <si>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</si>
  <si>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</si>
  <si>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</si>
  <si>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</si>
  <si>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</si>
  <si>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</si>
  <si>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</si>
  <si>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</si>
  <si>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</si>
  <si>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</si>
  <si>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</si>
  <si>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</si>
  <si>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</si>
  <si>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</si>
  <si>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</si>
  <si>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</si>
  <si>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</si>
  <si>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</si>
  <si>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</si>
  <si>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</si>
  <si>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</si>
  <si>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</si>
  <si>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</si>
  <si>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</si>
  <si>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</si>
  <si>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</si>
  <si>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</si>
  <si>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</si>
  <si>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</si>
  <si>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</si>
  <si>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</si>
  <si>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</si>
  <si>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</si>
  <si>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</si>
  <si>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</si>
  <si>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</si>
  <si>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</si>
  <si>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</si>
  <si>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</si>
  <si>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</si>
  <si>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</si>
  <si>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</si>
  <si>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</si>
  <si>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</si>
  <si>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</si>
  <si>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</si>
  <si>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</si>
  <si>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</si>
  <si>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</si>
  <si>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</si>
  <si>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</si>
  <si>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</si>
  <si>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</si>
  <si>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</si>
  <si>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</si>
  <si>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</si>
  <si>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</si>
  <si>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</si>
  <si>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</si>
  <si>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</si>
  <si>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</si>
  <si>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</si>
  <si>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</si>
  <si>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</si>
  <si>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</si>
  <si>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</si>
  <si>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</si>
  <si>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</si>
  <si>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</si>
  <si>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</si>
  <si>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</si>
  <si>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</si>
  <si>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</si>
  <si>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</si>
  <si>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</si>
  <si>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</si>
  <si>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</si>
  <si>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</si>
  <si>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</si>
  <si>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</si>
  <si>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</si>
  <si>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</si>
  <si>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</si>
  <si>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</si>
  <si>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</si>
  <si>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</si>
  <si>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</si>
  <si>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</si>
  <si>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</si>
  <si>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</si>
  <si>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</si>
  <si>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</si>
  <si>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</si>
  <si>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</si>
  <si>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</si>
  <si>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</si>
  <si>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</si>
  <si>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</si>
  <si>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</si>
  <si>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</si>
  <si>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</si>
  <si>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</si>
  <si>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</si>
  <si>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</si>
  <si>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</si>
  <si>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</si>
  <si>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</si>
  <si>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</si>
  <si>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</si>
  <si>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</si>
  <si>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</si>
  <si>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</si>
  <si>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</si>
  <si>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</si>
  <si>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</si>
  <si>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</si>
  <si>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</si>
  <si>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</si>
  <si>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</si>
  <si>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</si>
  <si>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</si>
  <si>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</si>
  <si>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</si>
  <si>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</si>
  <si>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</si>
  <si>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</si>
  <si>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</si>
  <si>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</si>
  <si>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</si>
  <si>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</si>
  <si>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</si>
  <si>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</si>
  <si>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</si>
  <si>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</si>
  <si>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</si>
  <si>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</si>
  <si>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</si>
  <si>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</si>
  <si>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</si>
  <si>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</si>
  <si>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</si>
  <si>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</si>
  <si>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</si>
  <si>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</si>
  <si>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</si>
  <si>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</si>
  <si>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</si>
  <si>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</si>
  <si>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</si>
  <si>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</si>
  <si>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</si>
  <si>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</si>
  <si>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</si>
  <si>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</si>
  <si>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</si>
  <si>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</si>
  <si>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</si>
  <si>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</si>
  <si>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</si>
  <si>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</si>
  <si>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</si>
  <si>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</si>
  <si>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</si>
  <si>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</si>
  <si>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</si>
  <si>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</si>
  <si>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</si>
  <si>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</si>
  <si>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</si>
  <si>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</si>
  <si>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</si>
  <si>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</si>
  <si>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</si>
  <si>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</si>
  <si>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</si>
  <si>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</si>
  <si>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</si>
  <si>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</si>
  <si>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</si>
  <si>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</si>
  <si>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</si>
  <si>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</si>
  <si>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</si>
  <si>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</si>
  <si>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</si>
  <si>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</si>
  <si>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</si>
  <si>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</si>
  <si>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</si>
  <si>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</si>
  <si>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</si>
  <si>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</si>
  <si>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</si>
  <si>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</si>
  <si>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</si>
  <si>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</si>
  <si>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</si>
  <si>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</si>
  <si>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</si>
  <si>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</si>
  <si>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</si>
  <si>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</si>
  <si>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</si>
  <si>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</si>
  <si>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</si>
  <si>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</si>
  <si>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</si>
  <si>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</si>
  <si>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</si>
  <si>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</si>
  <si>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</si>
  <si>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</si>
  <si>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</si>
  <si>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</si>
  <si>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</si>
  <si>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</si>
  <si>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</si>
  <si>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</si>
  <si>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</si>
  <si>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</si>
  <si>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</si>
  <si>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</si>
  <si>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</si>
  <si>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</si>
  <si>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</si>
  <si>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</si>
  <si>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</si>
  <si>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</si>
  <si>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</si>
  <si>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</si>
  <si>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</si>
  <si>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</si>
  <si>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</si>
  <si>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</si>
  <si>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</si>
  <si>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</si>
  <si>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</si>
  <si>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</si>
  <si>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</si>
  <si>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</si>
  <si>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</si>
  <si>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</si>
  <si>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</si>
  <si>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</si>
  <si>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</si>
  <si>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</si>
  <si>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</si>
  <si>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</si>
  <si>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</si>
  <si>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</si>
  <si>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</si>
  <si>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</si>
  <si>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</si>
  <si>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</si>
  <si>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</si>
  <si>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</si>
  <si>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</si>
  <si>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</si>
  <si>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</si>
  <si>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</si>
  <si>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</si>
  <si>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</si>
  <si>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</si>
  <si>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</si>
  <si>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</si>
  <si>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</si>
  <si>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</si>
  <si>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</si>
  <si>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</si>
  <si>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</si>
  <si>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</si>
  <si>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</si>
  <si>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</si>
  <si>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</si>
  <si>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</si>
  <si>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</si>
  <si>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</si>
  <si>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</si>
  <si>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</si>
  <si>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</si>
  <si>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</si>
  <si>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</si>
  <si>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</si>
  <si>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</si>
  <si>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</si>
  <si>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</si>
  <si>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</si>
  <si>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</si>
  <si>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</si>
  <si>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</si>
  <si>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</si>
  <si>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</si>
  <si>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</si>
  <si>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</si>
  <si>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</si>
  <si>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</si>
  <si>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</si>
  <si>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</si>
  <si>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</si>
  <si>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</si>
  <si>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</si>
  <si>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</si>
  <si>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</si>
  <si>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</si>
  <si>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</si>
  <si>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</si>
  <si>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</si>
  <si>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</si>
  <si>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</si>
  <si>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</si>
  <si>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</si>
  <si>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</si>
  <si>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</si>
  <si>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</si>
  <si>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</si>
  <si>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</si>
  <si>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</si>
  <si>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</si>
  <si>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</si>
  <si>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</si>
  <si>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</si>
  <si>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</si>
  <si>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</si>
  <si>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</si>
  <si>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</si>
  <si>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</si>
  <si>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</si>
  <si>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</si>
  <si>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</si>
  <si>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</si>
  <si>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</si>
  <si>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</si>
  <si>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</si>
  <si>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</si>
  <si>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</si>
  <si>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</si>
  <si>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</si>
  <si>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</si>
  <si>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</si>
  <si>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</si>
  <si>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</si>
  <si>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</si>
  <si>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</si>
  <si>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</si>
  <si>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</si>
  <si>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</si>
  <si>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</si>
  <si>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</si>
  <si>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</si>
  <si>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</si>
  <si>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</si>
  <si>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</si>
  <si>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</si>
  <si>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</si>
  <si>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</si>
  <si>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</si>
  <si>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</si>
  <si>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</si>
  <si>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</si>
  <si>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</si>
  <si>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</si>
  <si>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</si>
  <si>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</si>
  <si>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</si>
  <si>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</si>
  <si>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</si>
  <si>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</si>
  <si>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</si>
  <si>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</si>
  <si>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</si>
  <si>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</si>
  <si>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</si>
  <si>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</si>
  <si>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</si>
  <si>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</si>
  <si>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</si>
  <si>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</si>
  <si>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</si>
  <si>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</si>
  <si>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</si>
  <si>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</si>
  <si>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</si>
  <si>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</si>
  <si>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</si>
  <si>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</si>
  <si>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</si>
  <si>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</si>
  <si>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</si>
  <si>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</si>
  <si>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</si>
  <si>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</si>
  <si>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</si>
  <si>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</si>
  <si>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</si>
  <si>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</si>
  <si>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</si>
  <si>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</si>
  <si>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</si>
  <si>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</si>
  <si>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</si>
  <si>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</si>
  <si>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</si>
  <si>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</si>
  <si>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</si>
  <si>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</si>
  <si>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</si>
  <si>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</si>
  <si>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</si>
  <si>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</si>
  <si>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</si>
  <si>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</si>
  <si>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</si>
  <si>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</si>
  <si>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</si>
  <si>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</si>
  <si>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</si>
  <si>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</si>
  <si>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</si>
  <si>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</si>
  <si>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</si>
  <si>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</si>
  <si>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</si>
  <si>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</si>
  <si>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</si>
  <si>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</si>
  <si>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</si>
  <si>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</si>
  <si>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</si>
  <si>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</si>
  <si>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</si>
  <si>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</si>
  <si>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</si>
  <si>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</si>
  <si>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</si>
  <si>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</si>
  <si>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</si>
  <si>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</si>
  <si>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</si>
  <si>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</si>
  <si>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</si>
  <si>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</si>
  <si>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</si>
  <si>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</si>
  <si>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</si>
  <si>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</si>
  <si>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</si>
  <si>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</si>
  <si>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</si>
  <si>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</si>
  <si>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</si>
  <si>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</si>
  <si>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</si>
  <si>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</si>
  <si>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</si>
  <si>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</si>
  <si>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</si>
  <si>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</si>
  <si>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</si>
  <si>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</si>
  <si>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</si>
  <si>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</si>
  <si>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</si>
  <si>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</si>
  <si>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</si>
  <si>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</si>
  <si>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</si>
  <si>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</si>
  <si>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</si>
  <si>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</si>
  <si>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</si>
  <si>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</si>
  <si>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</si>
  <si>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</si>
  <si>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</si>
  <si>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</si>
  <si>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</si>
  <si>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</si>
  <si>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</si>
  <si>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</si>
  <si>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</si>
  <si>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</si>
  <si>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</si>
  <si>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</si>
  <si>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</si>
  <si>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</si>
  <si>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</si>
  <si>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</si>
  <si>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</si>
  <si>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</si>
  <si>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</si>
  <si>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</si>
  <si>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</si>
  <si>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</si>
  <si>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</si>
  <si>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</si>
  <si>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</si>
  <si>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</si>
  <si>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</si>
  <si>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</si>
  <si>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</si>
  <si>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</si>
  <si>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</si>
  <si>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</si>
  <si>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</si>
  <si>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</si>
  <si>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</si>
  <si>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</si>
  <si>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</si>
  <si>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</si>
  <si>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</si>
  <si>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</si>
  <si>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</si>
  <si>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</si>
  <si>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</si>
  <si>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</si>
  <si>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</si>
  <si>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</si>
  <si>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</si>
  <si>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</si>
  <si>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</si>
  <si>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</si>
  <si>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</si>
  <si>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</si>
  <si>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</si>
  <si>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</si>
  <si>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</si>
  <si>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</si>
  <si>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</si>
  <si>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</si>
  <si>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</si>
  <si>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</si>
  <si>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</si>
  <si>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</si>
  <si>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</si>
  <si>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</si>
  <si>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</si>
  <si>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</si>
  <si>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</si>
  <si>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</si>
  <si>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</si>
  <si>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</si>
  <si>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</si>
  <si>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</si>
  <si>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</si>
  <si>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</si>
  <si>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</si>
  <si>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</si>
  <si>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</si>
  <si>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</si>
  <si>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</si>
  <si>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</si>
  <si>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</si>
  <si>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</si>
  <si>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</si>
  <si>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</si>
  <si>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</si>
  <si>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</si>
  <si>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</si>
  <si>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</si>
  <si>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</si>
  <si>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</si>
  <si>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</si>
  <si>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</si>
  <si>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</si>
  <si>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</si>
  <si>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</si>
  <si>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</si>
  <si>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</si>
  <si>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</si>
  <si>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</si>
  <si>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</si>
  <si>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</si>
  <si>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</si>
  <si>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</si>
  <si>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</si>
  <si>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</si>
  <si>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</si>
  <si>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</si>
  <si>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</si>
  <si>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</si>
  <si>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</si>
  <si>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</si>
  <si>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</si>
  <si>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</si>
  <si>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</si>
  <si>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</si>
  <si>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</si>
  <si>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</si>
  <si>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</si>
  <si>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</si>
  <si>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</si>
  <si>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</si>
  <si>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</si>
  <si>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</si>
  <si>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</si>
  <si>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</si>
  <si>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</si>
  <si>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</si>
  <si>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</si>
  <si>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</si>
  <si>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</si>
  <si>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</si>
  <si>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</si>
  <si>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</si>
  <si>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</si>
  <si>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</si>
  <si>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</si>
  <si>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</si>
  <si>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</si>
  <si>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</si>
  <si>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</si>
  <si>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</si>
  <si>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</si>
  <si>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</si>
  <si>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</si>
  <si>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</si>
  <si>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</si>
  <si>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</si>
  <si>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</si>
  <si>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</si>
  <si>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</si>
  <si>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</si>
  <si>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</si>
  <si>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</si>
  <si>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</si>
  <si>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</si>
  <si>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</si>
  <si>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</si>
  <si>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</si>
  <si>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</si>
  <si>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</si>
  <si>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</si>
  <si>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</si>
  <si>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</si>
  <si>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</si>
  <si>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</si>
  <si>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</si>
  <si>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</si>
  <si>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</si>
  <si>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</si>
  <si>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</si>
  <si>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</si>
  <si>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</si>
  <si>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</si>
  <si>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</si>
  <si>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</si>
  <si>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</si>
  <si>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</si>
  <si>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</si>
  <si>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</si>
  <si>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</si>
  <si>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</si>
  <si>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</si>
  <si>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</si>
  <si>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</si>
  <si>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</si>
  <si>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</si>
  <si>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</si>
  <si>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</si>
  <si>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</si>
  <si>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</si>
  <si>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</si>
  <si>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</si>
  <si>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</si>
  <si>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</si>
  <si>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</si>
  <si>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</si>
  <si>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</si>
  <si>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</si>
  <si>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</si>
  <si>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</si>
  <si>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</si>
  <si>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</si>
  <si>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</si>
  <si>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</si>
  <si>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</si>
  <si>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</si>
  <si>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</si>
  <si>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</si>
  <si>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</si>
  <si>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</si>
  <si>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</si>
  <si>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</si>
  <si>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</si>
  <si>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</si>
  <si>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</si>
  <si>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</si>
  <si>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</si>
  <si>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</si>
  <si>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</si>
  <si>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</si>
  <si>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</si>
  <si>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</si>
  <si>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</si>
  <si>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</si>
  <si>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</si>
  <si>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</si>
  <si>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</si>
  <si>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</si>
  <si>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</si>
  <si>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</si>
  <si>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</si>
  <si>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</si>
  <si>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</si>
  <si>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</si>
  <si>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</si>
  <si>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</si>
  <si>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</si>
  <si>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</si>
  <si>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</si>
  <si>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</si>
  <si>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</si>
  <si>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</si>
  <si>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</si>
  <si>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</si>
  <si>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</si>
  <si>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</si>
  <si>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</si>
  <si>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</si>
  <si>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</si>
  <si>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</si>
  <si>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</si>
  <si>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</si>
  <si>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</si>
  <si>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</si>
  <si>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</si>
  <si>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</si>
  <si>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</si>
  <si>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</si>
  <si>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</si>
  <si>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</si>
  <si>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</si>
  <si>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</si>
  <si>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</si>
  <si>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</si>
  <si>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</si>
  <si>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</si>
  <si>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</si>
  <si>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</si>
  <si>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</si>
  <si>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</si>
  <si>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</si>
  <si>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</si>
  <si>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</si>
  <si>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</si>
  <si>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</si>
  <si>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</si>
  <si>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</si>
  <si>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</si>
  <si>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</si>
  <si>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</si>
  <si>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</si>
  <si>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</si>
  <si>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</si>
  <si>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</si>
  <si>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</si>
  <si>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</si>
  <si>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</si>
  <si>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</si>
  <si>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</si>
  <si>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</si>
  <si>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</si>
  <si>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</si>
  <si>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</si>
  <si>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</si>
  <si>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</si>
  <si>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</si>
  <si>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</si>
  <si>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</si>
  <si>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</si>
  <si>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</si>
  <si>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</si>
  <si>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</si>
  <si>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</si>
  <si>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</si>
  <si>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</si>
  <si>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</si>
  <si>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</si>
  <si>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</si>
  <si>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</si>
  <si>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</si>
  <si>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</si>
  <si>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</si>
  <si>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</si>
  <si>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</si>
  <si>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</si>
  <si>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</si>
  <si>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</si>
  <si>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</si>
  <si>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</si>
  <si>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</si>
  <si>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</si>
  <si>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</si>
  <si>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</si>
  <si>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</si>
  <si>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</si>
  <si>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</si>
  <si>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</si>
  <si>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</si>
  <si>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</si>
  <si>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</si>
  <si>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</si>
  <si>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</si>
  <si>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</si>
  <si>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</si>
  <si>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</si>
  <si>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</si>
  <si>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</si>
  <si>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</si>
  <si>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</si>
  <si>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</si>
  <si>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</si>
  <si>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</si>
  <si>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</si>
  <si>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</si>
  <si>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</si>
  <si>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</si>
  <si>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</si>
  <si>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</si>
  <si>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</si>
  <si>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</si>
  <si>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</si>
  <si>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</si>
  <si>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</si>
  <si>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</si>
  <si>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</si>
  <si>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</si>
  <si>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</si>
  <si>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</si>
  <si>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</si>
  <si>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</si>
  <si>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</si>
  <si>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</si>
  <si>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</si>
  <si>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</si>
  <si>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</si>
  <si>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</si>
  <si>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</si>
  <si>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</si>
  <si>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</si>
  <si>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</si>
  <si>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</si>
  <si>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</si>
  <si>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</si>
  <si>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</si>
  <si>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</si>
  <si>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</si>
  <si>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</si>
  <si>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</si>
  <si>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</si>
  <si>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</si>
  <si>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</si>
  <si>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</si>
  <si>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</si>
  <si>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</si>
  <si>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</si>
  <si>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</si>
  <si>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</si>
  <si>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</si>
  <si>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</si>
  <si>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</si>
  <si>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</si>
  <si>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</si>
  <si>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</si>
  <si>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</si>
  <si>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</si>
  <si>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</si>
  <si>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</si>
  <si>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</si>
  <si>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</si>
  <si>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</si>
  <si>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</si>
  <si>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</si>
  <si>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</si>
  <si>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</si>
  <si>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</si>
  <si>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</si>
  <si>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</si>
  <si>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</si>
  <si>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</si>
  <si>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</si>
  <si>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</si>
  <si>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</si>
  <si>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</si>
  <si>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</si>
  <si>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</si>
  <si>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</si>
  <si>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</si>
  <si>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</si>
  <si>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</si>
  <si>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</si>
  <si>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</si>
  <si>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</si>
  <si>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</si>
  <si>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</si>
  <si>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</si>
  <si>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</si>
  <si>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</si>
  <si>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</si>
  <si>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</si>
  <si>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</si>
  <si>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</si>
  <si>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</si>
  <si>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</si>
  <si>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</si>
  <si>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</si>
  <si>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</si>
  <si>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</si>
  <si>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</si>
  <si>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</si>
  <si>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</si>
  <si>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</si>
  <si>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</si>
  <si>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</si>
  <si>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</si>
  <si>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</si>
  <si>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</si>
  <si>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</si>
  <si>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</si>
  <si>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</si>
  <si>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</si>
  <si>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</si>
  <si>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</si>
  <si>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</si>
  <si>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</si>
  <si>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</si>
  <si>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</si>
  <si>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</si>
  <si>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</si>
  <si>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</si>
  <si>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</si>
  <si>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</si>
  <si>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</si>
  <si>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</si>
  <si>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</si>
  <si>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</si>
  <si>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</si>
  <si>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</si>
  <si>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</si>
  <si>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</si>
  <si>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</si>
  <si>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</si>
  <si>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</si>
  <si>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</si>
  <si>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</si>
  <si>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</si>
  <si>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</si>
  <si>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</si>
  <si>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</si>
  <si>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</si>
  <si>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</si>
  <si>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</si>
  <si>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</si>
  <si>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</si>
  <si>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</si>
  <si>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</si>
  <si>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</si>
  <si>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</si>
  <si>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</si>
  <si>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</si>
  <si>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</si>
  <si>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</si>
  <si>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</si>
  <si>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</si>
  <si>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</si>
  <si>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</si>
  <si>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</si>
  <si>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</si>
  <si>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</si>
  <si>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</si>
  <si>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</si>
  <si>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</si>
  <si>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</si>
  <si>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</si>
  <si>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</si>
  <si>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</si>
  <si>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</si>
  <si>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</si>
  <si>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</si>
  <si>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</si>
  <si>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</si>
  <si>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</si>
  <si>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</si>
  <si>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</si>
  <si>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</si>
  <si>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</si>
  <si>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</si>
  <si>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</si>
  <si>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</si>
  <si>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</si>
  <si>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</si>
  <si>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</si>
  <si>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</si>
  <si>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</si>
  <si>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</si>
  <si>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</si>
  <si>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</si>
  <si>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</si>
  <si>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</si>
  <si>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</si>
  <si>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</si>
  <si>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</si>
  <si>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</si>
  <si>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</si>
  <si>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</si>
  <si>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</si>
  <si>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</si>
  <si>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</si>
  <si>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</si>
  <si>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</si>
  <si>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</si>
  <si>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</si>
  <si>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</si>
  <si>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</si>
  <si>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</si>
  <si>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</si>
  <si>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</si>
  <si>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</si>
  <si>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</si>
  <si>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</si>
  <si>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</si>
  <si>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</si>
  <si>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</si>
  <si>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</si>
  <si>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</si>
  <si>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</si>
  <si>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</si>
  <si>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</si>
  <si>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</si>
  <si>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</si>
  <si>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</si>
  <si>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</si>
  <si>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</si>
  <si>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</si>
  <si>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</si>
  <si>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</si>
  <si>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</si>
  <si>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</si>
  <si>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</si>
  <si>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</si>
  <si>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</si>
  <si>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</si>
  <si>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</si>
  <si>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</si>
  <si>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</si>
  <si>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</si>
  <si>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</si>
  <si>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</si>
  <si>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</si>
  <si>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</si>
  <si>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</si>
  <si>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</si>
  <si>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</si>
  <si>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</si>
  <si>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</si>
  <si>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</si>
  <si>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</si>
  <si>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</si>
  <si>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</si>
  <si>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</si>
  <si>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</si>
  <si>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</si>
  <si>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</si>
  <si>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</si>
  <si>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</si>
  <si>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</si>
  <si>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</si>
  <si>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</si>
  <si>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</si>
  <si>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</si>
  <si>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</si>
  <si>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</si>
  <si>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</si>
  <si>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</si>
  <si>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</si>
  <si>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</si>
  <si>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</si>
  <si>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</si>
  <si>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</si>
  <si>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</si>
  <si>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</si>
  <si>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</si>
  <si>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</si>
  <si>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</si>
  <si>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</si>
  <si>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</si>
  <si>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</si>
  <si>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</si>
  <si>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</si>
  <si>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</si>
  <si>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</si>
  <si>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</si>
  <si>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</si>
  <si>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</si>
  <si>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</si>
  <si>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</si>
  <si>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</si>
  <si>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</si>
  <si>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</si>
  <si>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</si>
  <si>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</si>
  <si>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</si>
  <si>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</si>
  <si>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</si>
  <si>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</si>
  <si>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</si>
  <si>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</si>
  <si>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</si>
  <si>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</si>
  <si>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</si>
  <si>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</si>
  <si>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</si>
  <si>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</si>
  <si>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</si>
  <si>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</si>
  <si>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</si>
  <si>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</si>
  <si>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</si>
  <si>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</si>
  <si>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</si>
  <si>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</si>
  <si>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</si>
  <si>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</si>
  <si>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</si>
  <si>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</si>
  <si>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</si>
  <si>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</si>
  <si>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</si>
  <si>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</si>
  <si>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</si>
  <si>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</si>
  <si>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</si>
  <si>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</si>
  <si>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</si>
  <si>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</si>
  <si>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</si>
  <si>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</si>
  <si>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</si>
  <si>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</si>
  <si>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</si>
  <si>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</si>
  <si>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</si>
  <si>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</si>
  <si>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</si>
  <si>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</si>
  <si>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</si>
  <si>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</si>
  <si>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</si>
  <si>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</si>
  <si>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</si>
  <si>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</si>
  <si>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</si>
  <si>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</si>
  <si>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</si>
  <si>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</si>
  <si>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</si>
  <si>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</si>
  <si>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</si>
  <si>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</si>
  <si>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</si>
  <si>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</si>
  <si>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</si>
  <si>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</si>
  <si>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</si>
  <si>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</si>
  <si>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</si>
  <si>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</si>
  <si>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</si>
  <si>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</si>
  <si>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</si>
  <si>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</si>
  <si>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</si>
  <si>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</si>
  <si>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</si>
  <si>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</si>
  <si>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</si>
  <si>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</si>
  <si>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</si>
  <si>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</si>
  <si>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</si>
  <si>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</si>
  <si>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</si>
  <si>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</si>
  <si>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</si>
  <si>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</si>
  <si>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</si>
  <si>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</si>
  <si>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</si>
  <si>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</si>
  <si>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</si>
  <si>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</si>
  <si>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</si>
  <si>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</si>
  <si>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</si>
  <si>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</si>
  <si>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</si>
  <si>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</si>
  <si>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</si>
  <si>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</si>
  <si>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</si>
  <si>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</si>
  <si>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</si>
  <si>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</si>
  <si>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</si>
  <si>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</si>
  <si>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</si>
  <si>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</si>
  <si>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</si>
  <si>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</si>
  <si>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</si>
  <si>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</si>
  <si>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</si>
  <si>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</si>
  <si>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</si>
  <si>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</si>
  <si>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</si>
  <si>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</si>
  <si>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</si>
  <si>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</si>
  <si>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</si>
  <si>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</si>
  <si>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</si>
  <si>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</si>
  <si>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</si>
  <si>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</si>
  <si>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</si>
  <si>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</si>
  <si>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</si>
  <si>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</si>
  <si>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</si>
  <si>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</si>
  <si>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</si>
  <si>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</si>
  <si>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</si>
  <si>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</si>
  <si>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</si>
  <si>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</si>
  <si>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</si>
  <si>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</si>
  <si>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</si>
  <si>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</si>
  <si>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</si>
  <si>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</si>
  <si>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</si>
  <si>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</si>
  <si>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</si>
  <si>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</si>
  <si>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</si>
  <si>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</si>
  <si>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</si>
  <si>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</si>
  <si>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</si>
  <si>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</si>
  <si>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</si>
  <si>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</si>
  <si>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</si>
  <si>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</si>
  <si>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</si>
  <si>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</si>
  <si>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</si>
  <si>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</si>
  <si>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</si>
  <si>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</si>
  <si>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</si>
  <si>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</si>
  <si>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</si>
  <si>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</si>
  <si>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</si>
  <si>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</si>
  <si>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</si>
  <si>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</si>
  <si>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</si>
  <si>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</si>
  <si>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</si>
  <si>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</si>
  <si>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</si>
  <si>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</si>
  <si>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</si>
  <si>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</si>
  <si>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</si>
  <si>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</si>
  <si>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</si>
  <si>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</si>
  <si>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</si>
  <si>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</si>
  <si>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</si>
  <si>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</si>
  <si>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</si>
  <si>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</si>
  <si>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</si>
  <si>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</si>
  <si>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</si>
  <si>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</si>
  <si>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</si>
  <si>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</si>
  <si>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</si>
  <si>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</si>
  <si>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</si>
  <si>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</si>
  <si>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</si>
  <si>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</si>
  <si>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</si>
  <si>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</si>
  <si>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</si>
  <si>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</si>
  <si>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</si>
  <si>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</si>
  <si>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</si>
  <si>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</si>
  <si>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</si>
  <si>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</si>
  <si>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</si>
  <si>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</si>
  <si>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</si>
  <si>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</si>
  <si>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</si>
  <si>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</si>
  <si>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</si>
  <si>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</si>
  <si>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</si>
  <si>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</si>
  <si>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</si>
  <si>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</si>
  <si>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</si>
  <si>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</si>
  <si>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</si>
  <si>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</si>
  <si>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</si>
  <si>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</si>
  <si>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</si>
  <si>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</si>
  <si>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</si>
  <si>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</si>
  <si>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</si>
  <si>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</si>
  <si>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</si>
  <si>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</si>
  <si>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</si>
  <si>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</si>
  <si>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</si>
  <si>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</si>
  <si>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</si>
  <si>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</si>
  <si>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</si>
  <si>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</si>
  <si>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</si>
  <si>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</si>
  <si>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</si>
  <si>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</si>
  <si>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</si>
  <si>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</si>
  <si>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</si>
  <si>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</si>
  <si>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</si>
  <si>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</si>
  <si>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</si>
  <si>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</si>
  <si>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</si>
  <si>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</si>
  <si>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</si>
  <si>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</si>
  <si>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</si>
  <si>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</si>
  <si>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</si>
  <si>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</si>
  <si>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</si>
  <si>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</si>
  <si>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</si>
  <si>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</si>
  <si>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</si>
  <si>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</si>
  <si>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</si>
  <si>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</si>
  <si>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</si>
  <si>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</si>
  <si>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</si>
  <si>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</si>
  <si>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</si>
  <si>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</si>
  <si>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</si>
  <si>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</si>
  <si>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</si>
  <si>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</si>
  <si>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</si>
  <si>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</si>
  <si>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</si>
  <si>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</si>
  <si>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</si>
  <si>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</si>
  <si>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</si>
  <si>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</si>
  <si>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</si>
  <si>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</si>
  <si>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</si>
  <si>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</si>
  <si>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</si>
  <si>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</si>
  <si>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</si>
  <si>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</si>
  <si>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</si>
  <si>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</si>
  <si>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</si>
  <si>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</si>
  <si>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</si>
  <si>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</si>
  <si>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</si>
  <si>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</si>
  <si>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</si>
  <si>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</si>
  <si>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</si>
  <si>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</si>
  <si>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</si>
  <si>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</si>
  <si>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</si>
  <si>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</si>
  <si>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</si>
  <si>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</si>
  <si>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</si>
  <si>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</si>
  <si>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</si>
  <si>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</si>
  <si>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</si>
  <si>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</si>
  <si>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</si>
  <si>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</si>
  <si>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</si>
  <si>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</si>
  <si>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</si>
  <si>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</si>
  <si>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</si>
  <si>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</si>
  <si>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</si>
  <si>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</si>
  <si>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</si>
  <si>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</si>
  <si>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</si>
  <si>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</si>
  <si>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</si>
  <si>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</si>
  <si>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</si>
  <si>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</si>
  <si>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</si>
  <si>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</si>
  <si>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</si>
  <si>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</si>
  <si>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</si>
  <si>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</si>
  <si>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</si>
  <si>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</si>
  <si>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</si>
  <si>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</si>
  <si>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</si>
  <si>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</si>
  <si>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</si>
  <si>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</si>
  <si>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</si>
  <si>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</si>
  <si>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</si>
  <si>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</si>
  <si>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</si>
  <si>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</si>
  <si>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</si>
  <si>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</si>
  <si>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</si>
  <si>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</si>
  <si>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</si>
  <si>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</si>
  <si>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</si>
  <si>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</si>
  <si>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</si>
  <si>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</si>
  <si>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</si>
  <si>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</si>
  <si>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</si>
  <si>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</si>
  <si>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</si>
  <si>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</si>
  <si>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</si>
  <si>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</si>
  <si>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</si>
  <si>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</si>
  <si>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</si>
  <si>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</si>
  <si>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</si>
  <si>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</si>
  <si>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</si>
  <si>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</si>
  <si>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</si>
  <si>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</si>
  <si>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</si>
  <si>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</si>
  <si>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</si>
  <si>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</si>
  <si>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</si>
  <si>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</si>
  <si>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</si>
  <si>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</si>
  <si>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</si>
  <si>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</si>
  <si>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</si>
  <si>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</si>
  <si>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</si>
  <si>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</si>
  <si>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</si>
  <si>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</si>
  <si>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</si>
  <si>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</si>
  <si>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</si>
  <si>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</si>
  <si>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</si>
  <si>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</si>
  <si>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</si>
  <si>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</si>
  <si>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</si>
  <si>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</si>
  <si>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</si>
  <si>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</si>
  <si>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</si>
  <si>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</si>
  <si>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</si>
  <si>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</si>
  <si>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</si>
  <si>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</si>
  <si>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</si>
  <si>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</si>
  <si>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</si>
  <si>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</si>
  <si>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</si>
  <si>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</si>
  <si>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</si>
  <si>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</si>
  <si>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</si>
  <si>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</si>
  <si>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</si>
  <si>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</si>
  <si>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</si>
  <si>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</si>
  <si>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</si>
  <si>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</si>
  <si>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</si>
  <si>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</si>
  <si>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</si>
  <si>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</si>
  <si>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</si>
  <si>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</si>
  <si>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</si>
  <si>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</si>
  <si>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</si>
  <si>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</si>
  <si>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</si>
  <si>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</si>
  <si>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</si>
  <si>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</si>
  <si>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</si>
  <si>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</si>
  <si>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</si>
  <si>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</si>
  <si>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</si>
  <si>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</si>
  <si>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</si>
  <si>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</si>
  <si>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</si>
  <si>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</si>
  <si>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</si>
  <si>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</si>
  <si>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</si>
  <si>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</si>
  <si>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</si>
  <si>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</si>
  <si>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</si>
  <si>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</si>
  <si>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</si>
  <si>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</si>
  <si>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</si>
  <si>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</si>
  <si>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</si>
  <si>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</si>
  <si>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</si>
  <si>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</si>
  <si>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</si>
  <si>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</si>
  <si>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</si>
  <si>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</si>
  <si>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</si>
  <si>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</si>
  <si>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</si>
  <si>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</si>
  <si>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</si>
  <si>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</si>
  <si>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</si>
  <si>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</si>
  <si>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</si>
  <si>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</si>
  <si>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</si>
  <si>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</si>
  <si>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</si>
  <si>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</si>
  <si>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</si>
  <si>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</si>
  <si>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</si>
  <si>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</si>
  <si>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</si>
  <si>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</si>
  <si>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</si>
  <si>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</si>
  <si>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</si>
  <si>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</si>
  <si>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</si>
  <si>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</si>
  <si>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</si>
  <si>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</si>
  <si>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</si>
  <si>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</si>
  <si>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</si>
  <si>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</si>
  <si>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</si>
  <si>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</si>
  <si>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</si>
  <si>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</si>
  <si>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</si>
  <si>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</si>
  <si>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</si>
  <si>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</si>
  <si>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</si>
  <si>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</si>
  <si>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</si>
  <si>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</si>
  <si>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</si>
  <si>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</si>
  <si>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</si>
  <si>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</si>
  <si>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</si>
  <si>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</si>
  <si>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</si>
  <si>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</si>
  <si>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</si>
  <si>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</si>
  <si>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</si>
  <si>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</si>
  <si>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</si>
  <si>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</si>
  <si>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</si>
  <si>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</si>
  <si>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</si>
  <si>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</si>
  <si>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</si>
  <si>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</si>
  <si>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</si>
  <si>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</si>
  <si>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</si>
  <si>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</si>
  <si>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</si>
  <si>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</si>
  <si>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</si>
  <si>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</si>
  <si>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</si>
  <si>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</si>
  <si>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</si>
  <si>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</si>
  <si>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</si>
  <si>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</si>
  <si>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</si>
  <si>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</si>
  <si>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</si>
  <si>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</si>
  <si>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</si>
  <si>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</si>
  <si>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</si>
  <si>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</si>
  <si>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</si>
  <si>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</si>
  <si>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</si>
  <si>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</si>
  <si>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</si>
  <si>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</si>
  <si>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</si>
  <si>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</si>
  <si>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</si>
  <si>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</si>
  <si>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</si>
  <si>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</si>
  <si>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</si>
  <si>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</si>
  <si>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</si>
  <si>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</si>
  <si>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</si>
  <si>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</si>
  <si>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</si>
  <si>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</si>
  <si>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</si>
  <si>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</si>
  <si>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</si>
  <si>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</si>
  <si>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</si>
  <si>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</si>
  <si>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</si>
  <si>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</si>
  <si>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</si>
  <si>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</si>
  <si>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</si>
  <si>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</si>
  <si>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</si>
  <si>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</si>
  <si>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</si>
  <si>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</si>
  <si>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</si>
  <si>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</si>
  <si>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</si>
  <si>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</si>
  <si>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</si>
  <si>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</si>
  <si>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</si>
  <si>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</si>
  <si>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</si>
  <si>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</si>
  <si>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</si>
  <si>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</si>
  <si>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</si>
  <si>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</si>
  <si>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</si>
  <si>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</si>
  <si>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</si>
  <si>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</si>
  <si>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</si>
  <si>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</si>
  <si>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</si>
  <si>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</si>
  <si>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</si>
  <si>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</si>
  <si>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</si>
  <si>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</si>
  <si>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</si>
  <si>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</si>
  <si>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</si>
  <si>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</si>
  <si>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</si>
  <si>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</si>
  <si>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</si>
  <si>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</si>
  <si>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</si>
  <si>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</si>
  <si>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</si>
  <si>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</si>
  <si>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</si>
  <si>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</si>
  <si>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</si>
  <si>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</si>
  <si>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NOORI</t>
  </si>
  <si>
    <t>KARIM</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</si>
  <si>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</si>
  <si>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</si>
  <si>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</si>
  <si>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</si>
  <si>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</si>
  <si>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</si>
  <si>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</si>
  <si>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</si>
  <si>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</si>
  <si>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</si>
  <si>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</si>
  <si>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</si>
  <si>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</si>
  <si>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FLEURY</t>
  </si>
  <si>
    <t>SEBASTIEN</t>
  </si>
  <si>
    <t>DGV</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</si>
  <si>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</si>
  <si>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</si>
  <si>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</si>
  <si>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</si>
  <si>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</si>
  <si>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</si>
  <si>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</si>
  <si>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</si>
  <si>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</si>
  <si>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</si>
  <si>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</si>
  <si>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</si>
  <si>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Repris bcp d'auto</t>
  </si>
  <si>
    <t>Carfax fev (3,300$)</t>
  </si>
  <si>
    <t>faire ajustement Myrian</t>
  </si>
  <si>
    <t>faire ajustement vente privee</t>
  </si>
  <si>
    <t>34k entr vs 23 en 2024</t>
  </si>
  <si>
    <t>10k revenues vs 7,500 en 2024</t>
  </si>
  <si>
    <t xml:space="preserve">Pacing 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</si>
</sst>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92">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3">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
      <patternFill patternType="solid">
        <fgColor rgb="FFFF0000"/>
        <bgColor indexed="64"/>
      </patternFill>
    </fill>
    <fill>
      <patternFill patternType="solid">
        <fgColor rgb="FF92D050"/>
        <bgColor indexed="64"/>
      </patternFill>
    </fill>
    <fill>
      <patternFill patternType="solid">
        <fgColor rgb="FFFF0000"/>
        <bgColor rgb="FFC0C0C0"/>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36">
    <xf numFmtId="0" fontId="0" fillId="0" borderId="0"/>
    <xf numFmtId="43" fontId="118" fillId="0" borderId="0" applyFont="0" applyFill="0" applyBorder="0" applyAlignment="0" applyProtection="0"/>
    <xf numFmtId="9" fontId="118" fillId="0" borderId="0" applyFont="0" applyFill="0" applyBorder="0" applyAlignment="0" applyProtection="0"/>
    <xf numFmtId="168" fontId="180" fillId="0" borderId="0"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168"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165" fontId="109" fillId="0" borderId="1" applyFont="0" applyFill="0" applyBorder="0" applyAlignment="0" applyProtection="0"/>
    <xf numFmtId="0" fontId="109" fillId="0" borderId="1"/>
    <xf numFmtId="0" fontId="109" fillId="0" borderId="1"/>
    <xf numFmtId="165" fontId="109" fillId="0" borderId="1" applyFont="0" applyFill="0" applyBorder="0" applyAlignment="0" applyProtection="0"/>
    <xf numFmtId="168"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0" fontId="104" fillId="0" borderId="1"/>
    <xf numFmtId="165" fontId="104" fillId="0" borderId="1" applyFont="0" applyFill="0" applyBorder="0" applyAlignment="0" applyProtection="0"/>
    <xf numFmtId="168"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8"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8"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9"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168"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8"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8"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8"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5" fontId="76" fillId="0" borderId="1" applyFont="0" applyFill="0" applyBorder="0" applyAlignment="0" applyProtection="0"/>
    <xf numFmtId="9" fontId="76" fillId="0" borderId="1" applyFont="0" applyFill="0" applyBorder="0" applyAlignment="0" applyProtection="0"/>
    <xf numFmtId="168"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0" fontId="76" fillId="0" borderId="1"/>
    <xf numFmtId="165" fontId="76" fillId="0" borderId="1" applyFont="0" applyFill="0" applyBorder="0" applyAlignment="0" applyProtection="0"/>
    <xf numFmtId="168"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3" fillId="0" borderId="1"/>
    <xf numFmtId="9" fontId="73" fillId="0" borderId="1" applyFont="0" applyFill="0" applyBorder="0" applyAlignment="0" applyProtection="0"/>
    <xf numFmtId="44"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0" fontId="70" fillId="0" borderId="1"/>
    <xf numFmtId="0" fontId="69" fillId="0" borderId="1"/>
    <xf numFmtId="0" fontId="68" fillId="0" borderId="1"/>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5" fontId="67" fillId="0" borderId="1" applyFont="0" applyFill="0" applyBorder="0" applyAlignment="0" applyProtection="0"/>
    <xf numFmtId="9"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168"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9" fontId="67" fillId="0" borderId="1" applyFont="0" applyFill="0" applyBorder="0" applyAlignment="0" applyProtection="0"/>
    <xf numFmtId="164" fontId="67" fillId="0" borderId="1" applyFont="0" applyFill="0" applyBorder="0" applyAlignment="0" applyProtection="0"/>
    <xf numFmtId="0" fontId="67" fillId="0" borderId="1"/>
    <xf numFmtId="165" fontId="67" fillId="0" borderId="1" applyFont="0" applyFill="0" applyBorder="0" applyAlignment="0" applyProtection="0"/>
    <xf numFmtId="0" fontId="67" fillId="0" borderId="1"/>
    <xf numFmtId="0" fontId="67" fillId="0" borderId="1"/>
    <xf numFmtId="0" fontId="67" fillId="0" borderId="1"/>
    <xf numFmtId="0" fontId="67" fillId="0" borderId="1"/>
    <xf numFmtId="0" fontId="190" fillId="0" borderId="0" applyNumberFormat="0" applyFill="0" applyBorder="0" applyAlignment="0" applyProtection="0"/>
    <xf numFmtId="0" fontId="66" fillId="0" borderId="1"/>
    <xf numFmtId="0" fontId="65" fillId="0" borderId="1"/>
    <xf numFmtId="0" fontId="64" fillId="0" borderId="1"/>
    <xf numFmtId="0" fontId="63" fillId="0" borderId="1"/>
    <xf numFmtId="0" fontId="62" fillId="0" borderId="1"/>
    <xf numFmtId="0" fontId="60" fillId="0" borderId="1"/>
    <xf numFmtId="0" fontId="59" fillId="0" borderId="1"/>
    <xf numFmtId="0" fontId="58"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7">
    <xf numFmtId="0" fontId="0" fillId="0" borderId="0" xfId="0"/>
    <xf numFmtId="0" fontId="115" fillId="0" borderId="0" xfId="0" applyFont="1"/>
    <xf numFmtId="0" fontId="116" fillId="2" borderId="1" xfId="0" applyFont="1" applyFill="1" applyBorder="1" applyAlignment="1">
      <alignment horizontal="center"/>
    </xf>
    <xf numFmtId="0" fontId="116" fillId="0" borderId="0" xfId="0" applyFont="1"/>
    <xf numFmtId="0" fontId="117" fillId="0" borderId="0" xfId="0" applyFont="1" applyAlignment="1">
      <alignment horizontal="center"/>
    </xf>
    <xf numFmtId="0" fontId="118" fillId="0" borderId="0" xfId="0" applyFont="1"/>
    <xf numFmtId="0" fontId="115" fillId="0" borderId="0" xfId="0" applyFont="1" applyAlignment="1">
      <alignment horizontal="center"/>
    </xf>
    <xf numFmtId="169" fontId="116" fillId="0" borderId="0" xfId="0" applyNumberFormat="1" applyFont="1" applyAlignment="1">
      <alignment horizontal="center"/>
    </xf>
    <xf numFmtId="0" fontId="119" fillId="0" borderId="0" xfId="0" applyFont="1" applyAlignment="1">
      <alignment horizontal="left"/>
    </xf>
    <xf numFmtId="0" fontId="120" fillId="0" borderId="0" xfId="0" applyFont="1" applyAlignment="1">
      <alignment horizontal="center"/>
    </xf>
    <xf numFmtId="0" fontId="120" fillId="0" borderId="0" xfId="0" applyFont="1" applyAlignment="1">
      <alignment horizontal="right"/>
    </xf>
    <xf numFmtId="0" fontId="119" fillId="0" borderId="0" xfId="0" applyFont="1"/>
    <xf numFmtId="0" fontId="116" fillId="0" borderId="2" xfId="0" applyFont="1" applyBorder="1"/>
    <xf numFmtId="0" fontId="121" fillId="0" borderId="3" xfId="0" applyFont="1" applyBorder="1"/>
    <xf numFmtId="170" fontId="121" fillId="0" borderId="4" xfId="0" applyNumberFormat="1" applyFont="1" applyBorder="1"/>
    <xf numFmtId="171" fontId="121" fillId="0" borderId="0" xfId="0" applyNumberFormat="1" applyFont="1"/>
    <xf numFmtId="171" fontId="121" fillId="0" borderId="5" xfId="0" applyNumberFormat="1" applyFont="1" applyBorder="1"/>
    <xf numFmtId="0" fontId="122" fillId="0" borderId="6" xfId="0" applyFont="1" applyBorder="1"/>
    <xf numFmtId="170" fontId="122" fillId="0" borderId="7" xfId="0" applyNumberFormat="1" applyFont="1" applyBorder="1"/>
    <xf numFmtId="171" fontId="122" fillId="0" borderId="0" xfId="0" applyNumberFormat="1" applyFont="1"/>
    <xf numFmtId="0" fontId="121" fillId="0" borderId="8" xfId="0" applyFont="1" applyBorder="1"/>
    <xf numFmtId="170" fontId="121" fillId="0" borderId="9" xfId="0" applyNumberFormat="1" applyFont="1" applyBorder="1"/>
    <xf numFmtId="0" fontId="122" fillId="0" borderId="8" xfId="0" applyFont="1" applyBorder="1"/>
    <xf numFmtId="0" fontId="122" fillId="3" borderId="10" xfId="0" applyFont="1" applyFill="1" applyBorder="1"/>
    <xf numFmtId="170" fontId="122" fillId="3" borderId="11" xfId="0" applyNumberFormat="1" applyFont="1" applyFill="1" applyBorder="1"/>
    <xf numFmtId="0" fontId="122" fillId="3" borderId="12" xfId="0" applyFont="1" applyFill="1" applyBorder="1"/>
    <xf numFmtId="170" fontId="122" fillId="3" borderId="13" xfId="0" applyNumberFormat="1" applyFont="1" applyFill="1" applyBorder="1"/>
    <xf numFmtId="0" fontId="122" fillId="0" borderId="0" xfId="0" applyFont="1"/>
    <xf numFmtId="170" fontId="121" fillId="0" borderId="7" xfId="0" applyNumberFormat="1" applyFont="1" applyBorder="1"/>
    <xf numFmtId="171" fontId="116" fillId="0" borderId="0" xfId="0" applyNumberFormat="1" applyFont="1"/>
    <xf numFmtId="0" fontId="116" fillId="0" borderId="8" xfId="0" applyFont="1" applyBorder="1"/>
    <xf numFmtId="170" fontId="116" fillId="0" borderId="9" xfId="0" applyNumberFormat="1" applyFont="1" applyBorder="1"/>
    <xf numFmtId="172" fontId="116" fillId="0" borderId="0" xfId="0" applyNumberFormat="1" applyFont="1"/>
    <xf numFmtId="0" fontId="116" fillId="0" borderId="0" xfId="0" applyFont="1" applyAlignment="1">
      <alignment horizontal="center"/>
    </xf>
    <xf numFmtId="0" fontId="124" fillId="0" borderId="0" xfId="0" applyFont="1" applyAlignment="1">
      <alignment horizontal="center"/>
    </xf>
    <xf numFmtId="0" fontId="120" fillId="4" borderId="15" xfId="0" applyFont="1" applyFill="1" applyBorder="1" applyAlignment="1">
      <alignment horizontal="center"/>
    </xf>
    <xf numFmtId="0" fontId="120" fillId="0" borderId="0" xfId="0" applyFont="1"/>
    <xf numFmtId="173" fontId="125" fillId="0" borderId="0" xfId="0" applyNumberFormat="1" applyFont="1" applyAlignment="1">
      <alignment horizontal="left"/>
    </xf>
    <xf numFmtId="0" fontId="125" fillId="0" borderId="0" xfId="0" applyFont="1"/>
    <xf numFmtId="0" fontId="126" fillId="0" borderId="0" xfId="0" applyFont="1" applyAlignment="1">
      <alignment horizontal="center"/>
    </xf>
    <xf numFmtId="0" fontId="119" fillId="5" borderId="16" xfId="0" applyFont="1" applyFill="1" applyBorder="1" applyAlignment="1">
      <alignment horizontal="center"/>
    </xf>
    <xf numFmtId="0" fontId="126" fillId="0" borderId="0" xfId="0" applyFont="1"/>
    <xf numFmtId="0" fontId="126" fillId="5" borderId="19" xfId="0" applyFont="1" applyFill="1" applyBorder="1"/>
    <xf numFmtId="0" fontId="126" fillId="5" borderId="22" xfId="0" applyFont="1" applyFill="1" applyBorder="1"/>
    <xf numFmtId="0" fontId="126" fillId="5" borderId="20" xfId="0" applyFont="1" applyFill="1" applyBorder="1"/>
    <xf numFmtId="0" fontId="119" fillId="5" borderId="19" xfId="0" applyFont="1" applyFill="1" applyBorder="1"/>
    <xf numFmtId="0" fontId="119" fillId="5" borderId="22" xfId="0" applyFont="1" applyFill="1" applyBorder="1"/>
    <xf numFmtId="0" fontId="119" fillId="5" borderId="20" xfId="0" applyFont="1" applyFill="1" applyBorder="1"/>
    <xf numFmtId="0" fontId="126" fillId="5" borderId="1" xfId="0" applyFont="1" applyFill="1" applyBorder="1"/>
    <xf numFmtId="0" fontId="119" fillId="5" borderId="10" xfId="0" applyFont="1" applyFill="1" applyBorder="1"/>
    <xf numFmtId="0" fontId="119" fillId="5" borderId="12" xfId="0" applyFont="1" applyFill="1" applyBorder="1"/>
    <xf numFmtId="0" fontId="119" fillId="5" borderId="1" xfId="0" applyFont="1" applyFill="1" applyBorder="1"/>
    <xf numFmtId="0" fontId="119" fillId="5" borderId="20" xfId="0" applyFont="1" applyFill="1" applyBorder="1" applyAlignment="1">
      <alignment horizontal="left"/>
    </xf>
    <xf numFmtId="0" fontId="119" fillId="5" borderId="28" xfId="0" applyFont="1" applyFill="1" applyBorder="1"/>
    <xf numFmtId="0" fontId="127" fillId="5" borderId="20" xfId="0" applyFont="1" applyFill="1" applyBorder="1"/>
    <xf numFmtId="0" fontId="127" fillId="5" borderId="22" xfId="0" applyFont="1" applyFill="1" applyBorder="1"/>
    <xf numFmtId="0" fontId="119" fillId="5" borderId="31" xfId="0" applyFont="1" applyFill="1" applyBorder="1"/>
    <xf numFmtId="0" fontId="119" fillId="5" borderId="32" xfId="0" applyFont="1" applyFill="1" applyBorder="1"/>
    <xf numFmtId="0" fontId="128" fillId="5" borderId="1" xfId="0" applyFont="1" applyFill="1" applyBorder="1"/>
    <xf numFmtId="0" fontId="128" fillId="0" borderId="0" xfId="0" applyFont="1"/>
    <xf numFmtId="0" fontId="125" fillId="5" borderId="1" xfId="0" applyFont="1" applyFill="1" applyBorder="1"/>
    <xf numFmtId="0" fontId="120" fillId="5" borderId="1" xfId="0" applyFont="1" applyFill="1" applyBorder="1"/>
    <xf numFmtId="173" fontId="125" fillId="5" borderId="1" xfId="0" applyNumberFormat="1" applyFont="1" applyFill="1" applyBorder="1" applyAlignment="1">
      <alignment horizontal="left"/>
    </xf>
    <xf numFmtId="0" fontId="127" fillId="5" borderId="19" xfId="0" applyFont="1" applyFill="1" applyBorder="1"/>
    <xf numFmtId="0" fontId="119" fillId="5" borderId="33" xfId="0" applyFont="1" applyFill="1" applyBorder="1"/>
    <xf numFmtId="0" fontId="119" fillId="5" borderId="34" xfId="0" applyFont="1" applyFill="1" applyBorder="1"/>
    <xf numFmtId="0" fontId="119" fillId="5" borderId="37" xfId="0" applyFont="1" applyFill="1" applyBorder="1"/>
    <xf numFmtId="0" fontId="129" fillId="5" borderId="1" xfId="0" applyFont="1" applyFill="1" applyBorder="1" applyAlignment="1">
      <alignment horizontal="center" vertical="center"/>
    </xf>
    <xf numFmtId="0" fontId="129" fillId="5" borderId="22" xfId="0" applyFont="1" applyFill="1" applyBorder="1"/>
    <xf numFmtId="0" fontId="129" fillId="5" borderId="20" xfId="0" applyFont="1" applyFill="1" applyBorder="1"/>
    <xf numFmtId="0" fontId="129" fillId="5" borderId="28" xfId="0" applyFont="1" applyFill="1" applyBorder="1"/>
    <xf numFmtId="0" fontId="129" fillId="5" borderId="19" xfId="0" applyFont="1" applyFill="1" applyBorder="1"/>
    <xf numFmtId="0" fontId="129" fillId="5" borderId="37" xfId="0" applyFont="1" applyFill="1" applyBorder="1"/>
    <xf numFmtId="0" fontId="129" fillId="5" borderId="40" xfId="0" applyFont="1" applyFill="1" applyBorder="1"/>
    <xf numFmtId="0" fontId="125" fillId="5" borderId="41" xfId="0" applyFont="1" applyFill="1" applyBorder="1"/>
    <xf numFmtId="0" fontId="127" fillId="5" borderId="41" xfId="0" applyFont="1" applyFill="1" applyBorder="1"/>
    <xf numFmtId="0" fontId="126" fillId="5" borderId="41" xfId="0" applyFont="1" applyFill="1" applyBorder="1"/>
    <xf numFmtId="0" fontId="126" fillId="5" borderId="42" xfId="0" applyFont="1" applyFill="1" applyBorder="1"/>
    <xf numFmtId="0" fontId="129" fillId="5" borderId="43" xfId="0" applyFont="1" applyFill="1" applyBorder="1"/>
    <xf numFmtId="0" fontId="130" fillId="6" borderId="1" xfId="0" applyFont="1" applyFill="1" applyBorder="1"/>
    <xf numFmtId="0" fontId="125" fillId="6" borderId="1" xfId="0" applyFont="1" applyFill="1" applyBorder="1"/>
    <xf numFmtId="0" fontId="131" fillId="6" borderId="1" xfId="0" applyFont="1" applyFill="1" applyBorder="1"/>
    <xf numFmtId="0" fontId="132" fillId="6" borderId="1" xfId="0" applyFont="1" applyFill="1" applyBorder="1" applyAlignment="1">
      <alignment horizontal="center" vertical="center"/>
    </xf>
    <xf numFmtId="0" fontId="125" fillId="6" borderId="1" xfId="0" applyFont="1" applyFill="1" applyBorder="1" applyAlignment="1">
      <alignment horizontal="center" vertical="center"/>
    </xf>
    <xf numFmtId="0" fontId="130" fillId="6" borderId="1" xfId="0" applyFont="1" applyFill="1" applyBorder="1" applyAlignment="1">
      <alignment horizontal="center"/>
    </xf>
    <xf numFmtId="0" fontId="125" fillId="6" borderId="1" xfId="0" applyFont="1" applyFill="1" applyBorder="1" applyAlignment="1">
      <alignment horizontal="center"/>
    </xf>
    <xf numFmtId="0" fontId="133" fillId="6" borderId="1" xfId="0" applyFont="1" applyFill="1" applyBorder="1" applyAlignment="1">
      <alignment horizontal="center"/>
    </xf>
    <xf numFmtId="175" fontId="125" fillId="6" borderId="1" xfId="0" applyNumberFormat="1" applyFont="1" applyFill="1" applyBorder="1"/>
    <xf numFmtId="37" fontId="125" fillId="6" borderId="1" xfId="0" applyNumberFormat="1" applyFont="1" applyFill="1" applyBorder="1"/>
    <xf numFmtId="175" fontId="130" fillId="6" borderId="1" xfId="0" applyNumberFormat="1" applyFont="1" applyFill="1" applyBorder="1"/>
    <xf numFmtId="37" fontId="130" fillId="6" borderId="1" xfId="0" applyNumberFormat="1" applyFont="1" applyFill="1" applyBorder="1"/>
    <xf numFmtId="0" fontId="134" fillId="6" borderId="1" xfId="0" applyFont="1" applyFill="1" applyBorder="1"/>
    <xf numFmtId="0" fontId="133" fillId="6" borderId="1" xfId="0" applyFont="1" applyFill="1" applyBorder="1" applyAlignment="1">
      <alignment horizontal="left"/>
    </xf>
    <xf numFmtId="0" fontId="135" fillId="6" borderId="1" xfId="0" applyFont="1" applyFill="1" applyBorder="1"/>
    <xf numFmtId="37" fontId="125" fillId="0" borderId="0" xfId="0" applyNumberFormat="1" applyFont="1"/>
    <xf numFmtId="0" fontId="136" fillId="0" borderId="0" xfId="0" applyFont="1"/>
    <xf numFmtId="0" fontId="137" fillId="0" borderId="0" xfId="0" applyFont="1"/>
    <xf numFmtId="0" fontId="138" fillId="0" borderId="0" xfId="0" applyFont="1" applyAlignment="1">
      <alignment horizontal="center"/>
    </xf>
    <xf numFmtId="0" fontId="115" fillId="7" borderId="1" xfId="0" applyFont="1" applyFill="1" applyBorder="1" applyAlignment="1">
      <alignment horizontal="center"/>
    </xf>
    <xf numFmtId="0" fontId="115" fillId="8" borderId="45" xfId="0" applyFont="1" applyFill="1" applyBorder="1" applyAlignment="1">
      <alignment horizontal="center" vertical="center" wrapText="1"/>
    </xf>
    <xf numFmtId="0" fontId="115" fillId="8" borderId="46" xfId="0" applyFont="1" applyFill="1" applyBorder="1" applyAlignment="1">
      <alignment horizontal="center" vertical="center" wrapText="1"/>
    </xf>
    <xf numFmtId="0" fontId="115" fillId="8" borderId="47" xfId="0" applyFont="1" applyFill="1" applyBorder="1" applyAlignment="1">
      <alignment horizontal="center" vertical="center" wrapText="1"/>
    </xf>
    <xf numFmtId="0" fontId="115" fillId="8" borderId="48" xfId="0" applyFont="1" applyFill="1" applyBorder="1" applyAlignment="1">
      <alignment horizontal="center" vertical="center" wrapText="1"/>
    </xf>
    <xf numFmtId="169" fontId="139" fillId="9" borderId="52" xfId="0" applyNumberFormat="1" applyFont="1" applyFill="1" applyBorder="1" applyAlignment="1">
      <alignment horizontal="center" vertical="center"/>
    </xf>
    <xf numFmtId="169" fontId="139" fillId="9" borderId="53" xfId="0" applyNumberFormat="1" applyFont="1" applyFill="1" applyBorder="1" applyAlignment="1">
      <alignment horizontal="center" vertical="center"/>
    </xf>
    <xf numFmtId="3" fontId="115" fillId="9" borderId="52" xfId="0" applyNumberFormat="1" applyFont="1" applyFill="1" applyBorder="1" applyAlignment="1">
      <alignment horizontal="center" vertical="center"/>
    </xf>
    <xf numFmtId="3" fontId="115" fillId="9" borderId="53" xfId="0" applyNumberFormat="1" applyFont="1" applyFill="1" applyBorder="1" applyAlignment="1">
      <alignment horizontal="center" vertical="center"/>
    </xf>
    <xf numFmtId="0" fontId="116" fillId="9" borderId="54" xfId="0" applyFont="1" applyFill="1" applyBorder="1" applyAlignment="1">
      <alignment wrapText="1"/>
    </xf>
    <xf numFmtId="0" fontId="116" fillId="0" borderId="44" xfId="0" applyFont="1" applyBorder="1" applyAlignment="1">
      <alignment horizontal="center" vertical="center" wrapText="1"/>
    </xf>
    <xf numFmtId="0" fontId="116" fillId="0" borderId="44" xfId="0" applyFont="1" applyBorder="1" applyAlignment="1">
      <alignment horizontal="center" vertical="center"/>
    </xf>
    <xf numFmtId="0" fontId="116" fillId="0" borderId="55" xfId="0" applyFont="1" applyBorder="1" applyAlignment="1">
      <alignment horizontal="left" vertical="center" wrapText="1"/>
    </xf>
    <xf numFmtId="37" fontId="116" fillId="0" borderId="0" xfId="0" applyNumberFormat="1" applyFont="1" applyAlignment="1">
      <alignment horizontal="center" vertical="center"/>
    </xf>
    <xf numFmtId="37" fontId="116" fillId="0" borderId="56" xfId="0" applyNumberFormat="1" applyFont="1" applyBorder="1" applyAlignment="1">
      <alignment horizontal="center" vertical="center"/>
    </xf>
    <xf numFmtId="0" fontId="116" fillId="0" borderId="57" xfId="0" applyFont="1" applyBorder="1" applyAlignment="1">
      <alignment horizontal="center" vertical="center" wrapText="1"/>
    </xf>
    <xf numFmtId="0" fontId="116" fillId="0" borderId="57" xfId="0" applyFont="1" applyBorder="1" applyAlignment="1">
      <alignment horizontal="center" vertical="center"/>
    </xf>
    <xf numFmtId="0" fontId="116" fillId="0" borderId="56" xfId="0" applyFont="1" applyBorder="1" applyAlignment="1">
      <alignment horizontal="left" vertical="center" wrapText="1"/>
    </xf>
    <xf numFmtId="0" fontId="116" fillId="0" borderId="55" xfId="0" applyFont="1" applyBorder="1" applyAlignment="1">
      <alignment horizontal="center" vertical="center" wrapText="1"/>
    </xf>
    <xf numFmtId="0" fontId="116" fillId="0" borderId="56" xfId="0" applyFont="1" applyBorder="1" applyAlignment="1">
      <alignment horizontal="center" vertical="center" wrapText="1"/>
    </xf>
    <xf numFmtId="0" fontId="116" fillId="0" borderId="49" xfId="0" applyFont="1" applyBorder="1" applyAlignment="1">
      <alignment horizontal="center" vertical="center" wrapText="1"/>
    </xf>
    <xf numFmtId="0" fontId="116" fillId="0" borderId="49" xfId="0" applyFont="1" applyBorder="1" applyAlignment="1">
      <alignment horizontal="center" vertical="center"/>
    </xf>
    <xf numFmtId="0" fontId="116" fillId="0" borderId="58" xfId="0" applyFont="1" applyBorder="1" applyAlignment="1">
      <alignment horizontal="center" vertical="center" wrapText="1"/>
    </xf>
    <xf numFmtId="0" fontId="116" fillId="0" borderId="59" xfId="0" applyFont="1" applyBorder="1" applyAlignment="1">
      <alignment horizontal="center" vertical="center" wrapText="1"/>
    </xf>
    <xf numFmtId="37" fontId="116" fillId="0" borderId="58" xfId="0" applyNumberFormat="1" applyFont="1" applyBorder="1" applyAlignment="1">
      <alignment horizontal="center" vertical="center"/>
    </xf>
    <xf numFmtId="37" fontId="116" fillId="0" borderId="60" xfId="0" applyNumberFormat="1" applyFont="1" applyBorder="1" applyAlignment="1">
      <alignment horizontal="center" vertical="center"/>
    </xf>
    <xf numFmtId="0" fontId="116" fillId="0" borderId="0" xfId="0" applyFont="1" applyAlignment="1">
      <alignment wrapText="1"/>
    </xf>
    <xf numFmtId="0" fontId="116" fillId="0" borderId="0" xfId="0" applyFont="1" applyAlignment="1">
      <alignment horizontal="center" wrapText="1"/>
    </xf>
    <xf numFmtId="0" fontId="116" fillId="0" borderId="0" xfId="0" applyFont="1" applyAlignment="1">
      <alignment horizontal="right"/>
    </xf>
    <xf numFmtId="43" fontId="116" fillId="0" borderId="0" xfId="0" applyNumberFormat="1" applyFont="1" applyAlignment="1">
      <alignment horizontal="center"/>
    </xf>
    <xf numFmtId="0" fontId="116" fillId="0" borderId="61" xfId="0" applyFont="1" applyBorder="1" applyAlignment="1">
      <alignment horizontal="right" vertical="center"/>
    </xf>
    <xf numFmtId="0" fontId="116" fillId="0" borderId="61" xfId="0" applyFont="1" applyBorder="1" applyAlignment="1">
      <alignment vertical="center"/>
    </xf>
    <xf numFmtId="0" fontId="116" fillId="7" borderId="61" xfId="0" applyFont="1" applyFill="1" applyBorder="1" applyAlignment="1">
      <alignment horizontal="right" vertical="center" wrapText="1"/>
    </xf>
    <xf numFmtId="0" fontId="116" fillId="0" borderId="61" xfId="0" applyFont="1" applyBorder="1" applyAlignment="1">
      <alignment horizontal="center" vertical="center"/>
    </xf>
    <xf numFmtId="0" fontId="116" fillId="0" borderId="61" xfId="0" applyFont="1" applyBorder="1" applyAlignment="1">
      <alignment horizontal="center" vertical="center" wrapText="1"/>
    </xf>
    <xf numFmtId="0" fontId="116" fillId="0" borderId="0" xfId="0" applyFont="1" applyAlignment="1">
      <alignment horizontal="left"/>
    </xf>
    <xf numFmtId="43" fontId="116" fillId="0" borderId="0" xfId="0" applyNumberFormat="1" applyFont="1"/>
    <xf numFmtId="43" fontId="116" fillId="0" borderId="62" xfId="0" applyNumberFormat="1" applyFont="1" applyBorder="1"/>
    <xf numFmtId="43" fontId="116" fillId="0" borderId="63" xfId="0" applyNumberFormat="1" applyFont="1" applyBorder="1"/>
    <xf numFmtId="177" fontId="116" fillId="0" borderId="64" xfId="0" applyNumberFormat="1" applyFont="1" applyBorder="1"/>
    <xf numFmtId="0" fontId="117" fillId="0" borderId="0" xfId="0" applyFont="1"/>
    <xf numFmtId="178" fontId="117" fillId="0" borderId="0" xfId="0" applyNumberFormat="1" applyFont="1" applyAlignment="1">
      <alignment horizontal="left"/>
    </xf>
    <xf numFmtId="0" fontId="141" fillId="0" borderId="0" xfId="0" applyFont="1" applyAlignment="1">
      <alignment horizontal="center"/>
    </xf>
    <xf numFmtId="49" fontId="117" fillId="0" borderId="0" xfId="0" applyNumberFormat="1" applyFont="1" applyAlignment="1">
      <alignment horizontal="center" vertical="center"/>
    </xf>
    <xf numFmtId="172" fontId="117" fillId="10" borderId="1" xfId="0" applyNumberFormat="1" applyFont="1" applyFill="1" applyBorder="1" applyAlignment="1">
      <alignment horizontal="center" vertical="center"/>
    </xf>
    <xf numFmtId="172" fontId="117" fillId="10" borderId="1" xfId="0" applyNumberFormat="1" applyFont="1" applyFill="1" applyBorder="1" applyAlignment="1">
      <alignment horizontal="center"/>
    </xf>
    <xf numFmtId="175" fontId="117" fillId="0" borderId="0" xfId="0" applyNumberFormat="1" applyFont="1" applyAlignment="1">
      <alignment horizontal="center"/>
    </xf>
    <xf numFmtId="172" fontId="117" fillId="0" borderId="0" xfId="0" applyNumberFormat="1" applyFont="1"/>
    <xf numFmtId="43" fontId="117" fillId="0" borderId="0" xfId="0" applyNumberFormat="1" applyFont="1" applyAlignment="1">
      <alignment horizontal="center"/>
    </xf>
    <xf numFmtId="43" fontId="117" fillId="0" borderId="0" xfId="0" applyNumberFormat="1" applyFont="1"/>
    <xf numFmtId="0" fontId="117" fillId="11" borderId="1" xfId="0" applyFont="1" applyFill="1" applyBorder="1" applyAlignment="1">
      <alignment horizontal="center"/>
    </xf>
    <xf numFmtId="179" fontId="117" fillId="0" borderId="0" xfId="0" applyNumberFormat="1" applyFont="1"/>
    <xf numFmtId="44" fontId="117" fillId="0" borderId="0" xfId="0" applyNumberFormat="1" applyFont="1"/>
    <xf numFmtId="0" fontId="117" fillId="11" borderId="1" xfId="0" applyFont="1" applyFill="1" applyBorder="1" applyAlignment="1">
      <alignment horizontal="right"/>
    </xf>
    <xf numFmtId="43" fontId="117" fillId="11" borderId="1" xfId="0" applyNumberFormat="1" applyFont="1" applyFill="1" applyBorder="1"/>
    <xf numFmtId="0" fontId="117" fillId="10" borderId="1" xfId="0" applyFont="1" applyFill="1" applyBorder="1"/>
    <xf numFmtId="0" fontId="115" fillId="12" borderId="61" xfId="0" applyFont="1" applyFill="1" applyBorder="1" applyAlignment="1">
      <alignment horizontal="center"/>
    </xf>
    <xf numFmtId="0" fontId="115" fillId="12" borderId="65" xfId="0" applyFont="1" applyFill="1" applyBorder="1" applyAlignment="1">
      <alignment horizontal="center"/>
    </xf>
    <xf numFmtId="0" fontId="115" fillId="12" borderId="66" xfId="0" applyFont="1" applyFill="1" applyBorder="1" applyAlignment="1">
      <alignment horizontal="center"/>
    </xf>
    <xf numFmtId="0" fontId="115" fillId="12" borderId="67" xfId="0" applyFont="1" applyFill="1" applyBorder="1" applyAlignment="1">
      <alignment horizontal="center"/>
    </xf>
    <xf numFmtId="0" fontId="115" fillId="12" borderId="68" xfId="0" applyFont="1" applyFill="1" applyBorder="1" applyAlignment="1">
      <alignment horizontal="center"/>
    </xf>
    <xf numFmtId="0" fontId="115" fillId="0" borderId="69" xfId="0" applyFont="1" applyBorder="1"/>
    <xf numFmtId="37" fontId="115" fillId="0" borderId="70" xfId="0" applyNumberFormat="1" applyFont="1" applyBorder="1" applyAlignment="1">
      <alignment horizontal="center"/>
    </xf>
    <xf numFmtId="1" fontId="115" fillId="0" borderId="72" xfId="0" applyNumberFormat="1" applyFont="1" applyBorder="1" applyAlignment="1">
      <alignment horizontal="center"/>
    </xf>
    <xf numFmtId="1" fontId="115" fillId="0" borderId="73" xfId="0" applyNumberFormat="1" applyFont="1" applyBorder="1" applyAlignment="1">
      <alignment horizontal="center"/>
    </xf>
    <xf numFmtId="9" fontId="115" fillId="0" borderId="74" xfId="0" applyNumberFormat="1" applyFont="1" applyBorder="1" applyAlignment="1">
      <alignment horizontal="center"/>
    </xf>
    <xf numFmtId="9" fontId="115" fillId="0" borderId="75" xfId="0" applyNumberFormat="1" applyFont="1" applyBorder="1" applyAlignment="1">
      <alignment horizontal="center"/>
    </xf>
    <xf numFmtId="0" fontId="116" fillId="0" borderId="69" xfId="0" applyFont="1" applyBorder="1"/>
    <xf numFmtId="169" fontId="116" fillId="0" borderId="70" xfId="0" applyNumberFormat="1" applyFont="1" applyBorder="1" applyAlignment="1">
      <alignment horizontal="center"/>
    </xf>
    <xf numFmtId="169" fontId="116" fillId="0" borderId="72" xfId="0" applyNumberFormat="1" applyFont="1" applyBorder="1" applyAlignment="1">
      <alignment horizontal="center"/>
    </xf>
    <xf numFmtId="169" fontId="116" fillId="0" borderId="73" xfId="0" applyNumberFormat="1" applyFont="1" applyBorder="1" applyAlignment="1">
      <alignment horizontal="center"/>
    </xf>
    <xf numFmtId="9" fontId="116" fillId="0" borderId="70" xfId="0" applyNumberFormat="1" applyFont="1" applyBorder="1" applyAlignment="1">
      <alignment horizontal="center"/>
    </xf>
    <xf numFmtId="9" fontId="116" fillId="0" borderId="72" xfId="0" applyNumberFormat="1" applyFont="1" applyBorder="1" applyAlignment="1">
      <alignment horizontal="center"/>
    </xf>
    <xf numFmtId="9" fontId="116" fillId="0" borderId="77" xfId="0" applyNumberFormat="1" applyFont="1" applyBorder="1" applyAlignment="1">
      <alignment horizontal="center"/>
    </xf>
    <xf numFmtId="2" fontId="116" fillId="0" borderId="72" xfId="0" applyNumberFormat="1" applyFont="1" applyBorder="1" applyAlignment="1">
      <alignment horizontal="center"/>
    </xf>
    <xf numFmtId="2" fontId="116" fillId="0" borderId="73" xfId="0" applyNumberFormat="1" applyFont="1" applyBorder="1" applyAlignment="1">
      <alignment horizontal="center"/>
    </xf>
    <xf numFmtId="9" fontId="116" fillId="0" borderId="73" xfId="0" applyNumberFormat="1" applyFont="1" applyBorder="1" applyAlignment="1">
      <alignment horizontal="center"/>
    </xf>
    <xf numFmtId="0" fontId="115" fillId="0" borderId="78" xfId="0" applyFont="1" applyBorder="1"/>
    <xf numFmtId="0" fontId="116" fillId="0" borderId="79" xfId="0" applyFont="1" applyBorder="1"/>
    <xf numFmtId="169" fontId="116" fillId="0" borderId="80" xfId="0" applyNumberFormat="1" applyFont="1" applyBorder="1" applyAlignment="1">
      <alignment horizontal="center"/>
    </xf>
    <xf numFmtId="169" fontId="116" fillId="0" borderId="81" xfId="0" applyNumberFormat="1" applyFont="1" applyBorder="1" applyAlignment="1">
      <alignment horizontal="center"/>
    </xf>
    <xf numFmtId="9" fontId="116" fillId="0" borderId="80" xfId="0" applyNumberFormat="1" applyFont="1" applyBorder="1" applyAlignment="1">
      <alignment horizontal="center"/>
    </xf>
    <xf numFmtId="9" fontId="116" fillId="0" borderId="82" xfId="0" applyNumberFormat="1" applyFont="1" applyBorder="1" applyAlignment="1">
      <alignment horizontal="center"/>
    </xf>
    <xf numFmtId="0" fontId="116" fillId="0" borderId="69" xfId="0" applyFont="1" applyBorder="1" applyAlignment="1">
      <alignment horizontal="left"/>
    </xf>
    <xf numFmtId="0" fontId="116" fillId="0" borderId="70" xfId="0" applyFont="1" applyBorder="1" applyAlignment="1">
      <alignment horizontal="center"/>
    </xf>
    <xf numFmtId="0" fontId="116" fillId="0" borderId="83" xfId="0" applyFont="1" applyBorder="1" applyAlignment="1">
      <alignment horizontal="left"/>
    </xf>
    <xf numFmtId="169" fontId="116" fillId="0" borderId="84" xfId="0" applyNumberFormat="1" applyFont="1" applyBorder="1" applyAlignment="1">
      <alignment horizontal="center"/>
    </xf>
    <xf numFmtId="169" fontId="116" fillId="0" borderId="86" xfId="0" applyNumberFormat="1" applyFont="1" applyBorder="1" applyAlignment="1">
      <alignment horizontal="center"/>
    </xf>
    <xf numFmtId="169" fontId="116" fillId="0" borderId="87" xfId="0" applyNumberFormat="1" applyFont="1" applyBorder="1" applyAlignment="1">
      <alignment horizontal="center"/>
    </xf>
    <xf numFmtId="9" fontId="116" fillId="0" borderId="86" xfId="0" applyNumberFormat="1" applyFont="1" applyBorder="1" applyAlignment="1">
      <alignment horizontal="center"/>
    </xf>
    <xf numFmtId="9" fontId="116" fillId="0" borderId="88" xfId="0" applyNumberFormat="1" applyFont="1" applyBorder="1" applyAlignment="1">
      <alignment horizontal="center"/>
    </xf>
    <xf numFmtId="169" fontId="116" fillId="0" borderId="0" xfId="0" applyNumberFormat="1" applyFont="1"/>
    <xf numFmtId="0" fontId="115" fillId="14" borderId="61" xfId="0" applyFont="1" applyFill="1" applyBorder="1" applyAlignment="1">
      <alignment horizontal="center"/>
    </xf>
    <xf numFmtId="0" fontId="115" fillId="14" borderId="65" xfId="0" applyFont="1" applyFill="1" applyBorder="1" applyAlignment="1">
      <alignment horizontal="center"/>
    </xf>
    <xf numFmtId="0" fontId="115" fillId="14" borderId="66" xfId="0" applyFont="1" applyFill="1" applyBorder="1" applyAlignment="1">
      <alignment horizontal="center"/>
    </xf>
    <xf numFmtId="0" fontId="115" fillId="14" borderId="68" xfId="0" applyFont="1" applyFill="1" applyBorder="1" applyAlignment="1">
      <alignment horizontal="center"/>
    </xf>
    <xf numFmtId="0" fontId="115" fillId="15" borderId="61" xfId="0" applyFont="1" applyFill="1" applyBorder="1" applyAlignment="1">
      <alignment horizontal="center"/>
    </xf>
    <xf numFmtId="179" fontId="116" fillId="0" borderId="70" xfId="0" applyNumberFormat="1" applyFont="1" applyBorder="1" applyAlignment="1">
      <alignment horizontal="center"/>
    </xf>
    <xf numFmtId="0" fontId="115" fillId="9" borderId="61" xfId="0" applyFont="1" applyFill="1" applyBorder="1" applyAlignment="1">
      <alignment horizontal="center"/>
    </xf>
    <xf numFmtId="0" fontId="115" fillId="9" borderId="65" xfId="0" applyFont="1" applyFill="1" applyBorder="1" applyAlignment="1">
      <alignment horizontal="center"/>
    </xf>
    <xf numFmtId="0" fontId="115" fillId="9" borderId="66" xfId="0" applyFont="1" applyFill="1" applyBorder="1" applyAlignment="1">
      <alignment horizontal="center"/>
    </xf>
    <xf numFmtId="0" fontId="115" fillId="9" borderId="68" xfId="0" applyFont="1" applyFill="1" applyBorder="1" applyAlignment="1">
      <alignment horizontal="center"/>
    </xf>
    <xf numFmtId="169" fontId="115" fillId="0" borderId="70" xfId="0" applyNumberFormat="1" applyFont="1" applyBorder="1" applyAlignment="1">
      <alignment horizontal="center"/>
    </xf>
    <xf numFmtId="169" fontId="115" fillId="0" borderId="72" xfId="0" applyNumberFormat="1" applyFont="1" applyBorder="1" applyAlignment="1">
      <alignment horizontal="center"/>
    </xf>
    <xf numFmtId="169" fontId="115" fillId="0" borderId="73" xfId="0" applyNumberFormat="1" applyFont="1" applyBorder="1" applyAlignment="1">
      <alignment horizontal="center"/>
    </xf>
    <xf numFmtId="9" fontId="115" fillId="0" borderId="72" xfId="0" applyNumberFormat="1" applyFont="1" applyBorder="1" applyAlignment="1">
      <alignment horizontal="center"/>
    </xf>
    <xf numFmtId="9" fontId="115" fillId="0" borderId="77" xfId="0" applyNumberFormat="1" applyFont="1" applyBorder="1" applyAlignment="1">
      <alignment horizontal="center"/>
    </xf>
    <xf numFmtId="0" fontId="116" fillId="0" borderId="83" xfId="0" applyFont="1" applyBorder="1"/>
    <xf numFmtId="0" fontId="115" fillId="8" borderId="61" xfId="0" applyFont="1" applyFill="1" applyBorder="1" applyAlignment="1">
      <alignment horizontal="center"/>
    </xf>
    <xf numFmtId="0" fontId="115" fillId="8" borderId="65" xfId="0" applyFont="1" applyFill="1" applyBorder="1" applyAlignment="1">
      <alignment horizontal="center"/>
    </xf>
    <xf numFmtId="0" fontId="115" fillId="8" borderId="66" xfId="0" applyFont="1" applyFill="1" applyBorder="1" applyAlignment="1">
      <alignment horizontal="center"/>
    </xf>
    <xf numFmtId="0" fontId="115" fillId="8" borderId="68" xfId="0" applyFont="1" applyFill="1" applyBorder="1" applyAlignment="1">
      <alignment horizontal="center"/>
    </xf>
    <xf numFmtId="0" fontId="115" fillId="16" borderId="61" xfId="0" applyFont="1" applyFill="1" applyBorder="1" applyAlignment="1">
      <alignment horizontal="center"/>
    </xf>
    <xf numFmtId="0" fontId="115" fillId="0" borderId="69" xfId="0" applyFont="1" applyBorder="1" applyAlignment="1">
      <alignment horizontal="left"/>
    </xf>
    <xf numFmtId="0" fontId="115" fillId="17" borderId="61" xfId="0" applyFont="1" applyFill="1" applyBorder="1" applyAlignment="1">
      <alignment horizontal="center"/>
    </xf>
    <xf numFmtId="0" fontId="115" fillId="17" borderId="65" xfId="0" applyFont="1" applyFill="1" applyBorder="1" applyAlignment="1">
      <alignment horizontal="center"/>
    </xf>
    <xf numFmtId="0" fontId="115" fillId="17" borderId="66" xfId="0" applyFont="1" applyFill="1" applyBorder="1" applyAlignment="1">
      <alignment horizontal="center"/>
    </xf>
    <xf numFmtId="0" fontId="115" fillId="17" borderId="68" xfId="0" applyFont="1" applyFill="1" applyBorder="1" applyAlignment="1">
      <alignment horizontal="center"/>
    </xf>
    <xf numFmtId="0" fontId="115" fillId="18" borderId="89" xfId="0" applyFont="1" applyFill="1" applyBorder="1" applyAlignment="1">
      <alignment horizontal="center"/>
    </xf>
    <xf numFmtId="1"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0" fontId="115" fillId="19" borderId="61" xfId="0" applyFont="1" applyFill="1" applyBorder="1" applyAlignment="1">
      <alignment horizontal="center"/>
    </xf>
    <xf numFmtId="0" fontId="115" fillId="19" borderId="65" xfId="0" applyFont="1" applyFill="1" applyBorder="1" applyAlignment="1">
      <alignment horizontal="center"/>
    </xf>
    <xf numFmtId="0" fontId="115" fillId="19" borderId="66" xfId="0" applyFont="1" applyFill="1" applyBorder="1" applyAlignment="1">
      <alignment horizontal="center"/>
    </xf>
    <xf numFmtId="0" fontId="115" fillId="19" borderId="68" xfId="0" applyFont="1" applyFill="1" applyBorder="1" applyAlignment="1">
      <alignment horizontal="center"/>
    </xf>
    <xf numFmtId="0" fontId="115" fillId="20" borderId="61" xfId="0" applyFont="1" applyFill="1" applyBorder="1" applyAlignment="1">
      <alignment horizontal="center"/>
    </xf>
    <xf numFmtId="169" fontId="116" fillId="0" borderId="74" xfId="0" applyNumberFormat="1" applyFont="1" applyBorder="1" applyAlignment="1">
      <alignment horizontal="center"/>
    </xf>
    <xf numFmtId="169" fontId="116" fillId="0" borderId="91" xfId="0" applyNumberFormat="1" applyFont="1" applyBorder="1" applyAlignment="1">
      <alignment horizontal="center"/>
    </xf>
    <xf numFmtId="175" fontId="116" fillId="0" borderId="70" xfId="0" applyNumberFormat="1" applyFont="1" applyBorder="1" applyAlignment="1">
      <alignment horizontal="center"/>
    </xf>
    <xf numFmtId="175" fontId="116" fillId="0" borderId="84" xfId="0" applyNumberFormat="1" applyFont="1" applyBorder="1" applyAlignment="1">
      <alignment horizontal="center"/>
    </xf>
    <xf numFmtId="2" fontId="116" fillId="0" borderId="86" xfId="0" applyNumberFormat="1" applyFont="1" applyBorder="1" applyAlignment="1">
      <alignment horizontal="center"/>
    </xf>
    <xf numFmtId="2" fontId="116" fillId="0" borderId="87" xfId="0" applyNumberFormat="1" applyFont="1" applyBorder="1" applyAlignment="1">
      <alignment horizontal="center"/>
    </xf>
    <xf numFmtId="0" fontId="115" fillId="0" borderId="0" xfId="0" applyFont="1" applyAlignment="1">
      <alignment horizontal="left"/>
    </xf>
    <xf numFmtId="0" fontId="120" fillId="0" borderId="0" xfId="0" applyFont="1" applyAlignment="1">
      <alignment horizontal="center" vertical="center"/>
    </xf>
    <xf numFmtId="0" fontId="125" fillId="0" borderId="0" xfId="0" applyFont="1" applyAlignment="1">
      <alignment horizontal="left" vertical="center"/>
    </xf>
    <xf numFmtId="3" fontId="120" fillId="0" borderId="0" xfId="0" applyNumberFormat="1" applyFont="1"/>
    <xf numFmtId="0" fontId="125" fillId="0" borderId="0" xfId="0" applyFont="1" applyAlignment="1">
      <alignment horizontal="center"/>
    </xf>
    <xf numFmtId="0" fontId="144" fillId="21" borderId="10" xfId="0" applyFont="1" applyFill="1" applyBorder="1"/>
    <xf numFmtId="0" fontId="145" fillId="21" borderId="11" xfId="0" applyFont="1" applyFill="1" applyBorder="1"/>
    <xf numFmtId="0" fontId="126" fillId="0" borderId="3" xfId="0" applyFont="1" applyBorder="1"/>
    <xf numFmtId="0" fontId="146" fillId="21" borderId="20" xfId="0" applyFont="1" applyFill="1" applyBorder="1"/>
    <xf numFmtId="10" fontId="146" fillId="21" borderId="21" xfId="0" applyNumberFormat="1" applyFont="1" applyFill="1" applyBorder="1"/>
    <xf numFmtId="0" fontId="126" fillId="0" borderId="6" xfId="0" applyFont="1" applyBorder="1"/>
    <xf numFmtId="3" fontId="126" fillId="0" borderId="92" xfId="0" applyNumberFormat="1" applyFont="1" applyBorder="1" applyAlignment="1">
      <alignment horizontal="center"/>
    </xf>
    <xf numFmtId="3" fontId="126" fillId="0" borderId="0" xfId="0" applyNumberFormat="1" applyFont="1" applyAlignment="1">
      <alignment horizontal="center"/>
    </xf>
    <xf numFmtId="3" fontId="126" fillId="0" borderId="9" xfId="0" applyNumberFormat="1" applyFont="1" applyBorder="1" applyAlignment="1">
      <alignment horizontal="center"/>
    </xf>
    <xf numFmtId="3" fontId="126" fillId="0" borderId="8" xfId="0" applyNumberFormat="1" applyFont="1" applyBorder="1" applyAlignment="1">
      <alignment horizontal="center"/>
    </xf>
    <xf numFmtId="0" fontId="126" fillId="0" borderId="93" xfId="0" applyFont="1" applyBorder="1"/>
    <xf numFmtId="3" fontId="126" fillId="0" borderId="14" xfId="0" applyNumberFormat="1" applyFont="1" applyBorder="1" applyAlignment="1">
      <alignment horizontal="center"/>
    </xf>
    <xf numFmtId="3" fontId="126" fillId="0" borderId="5" xfId="0" applyNumberFormat="1" applyFont="1" applyBorder="1"/>
    <xf numFmtId="3" fontId="126" fillId="0" borderId="14" xfId="0" applyNumberFormat="1" applyFont="1" applyBorder="1" applyAlignment="1">
      <alignment horizontal="right"/>
    </xf>
    <xf numFmtId="3" fontId="126" fillId="0" borderId="14" xfId="0" applyNumberFormat="1" applyFont="1" applyBorder="1"/>
    <xf numFmtId="3" fontId="126" fillId="0" borderId="93" xfId="0" applyNumberFormat="1" applyFont="1" applyBorder="1" applyAlignment="1">
      <alignment horizontal="center"/>
    </xf>
    <xf numFmtId="3" fontId="126" fillId="0" borderId="5" xfId="0" applyNumberFormat="1" applyFont="1" applyBorder="1" applyAlignment="1">
      <alignment horizontal="center"/>
    </xf>
    <xf numFmtId="0" fontId="126" fillId="0" borderId="8" xfId="0" applyFont="1" applyBorder="1"/>
    <xf numFmtId="3" fontId="126" fillId="0" borderId="0" xfId="0" applyNumberFormat="1" applyFont="1"/>
    <xf numFmtId="3" fontId="126" fillId="0" borderId="8" xfId="0" applyNumberFormat="1" applyFont="1" applyBorder="1"/>
    <xf numFmtId="3" fontId="126" fillId="0" borderId="9" xfId="0" applyNumberFormat="1" applyFont="1" applyBorder="1"/>
    <xf numFmtId="0" fontId="145" fillId="21" borderId="12" xfId="0" applyFont="1" applyFill="1" applyBorder="1"/>
    <xf numFmtId="10" fontId="146" fillId="21" borderId="13" xfId="0" applyNumberFormat="1" applyFont="1" applyFill="1" applyBorder="1"/>
    <xf numFmtId="0" fontId="119" fillId="0" borderId="6" xfId="0" applyFont="1" applyBorder="1"/>
    <xf numFmtId="3" fontId="119" fillId="0" borderId="92" xfId="0" applyNumberFormat="1" applyFont="1" applyBorder="1"/>
    <xf numFmtId="3" fontId="119" fillId="0" borderId="7" xfId="0" applyNumberFormat="1" applyFont="1" applyBorder="1"/>
    <xf numFmtId="3" fontId="119" fillId="0" borderId="6" xfId="0" applyNumberFormat="1" applyFont="1" applyBorder="1"/>
    <xf numFmtId="0" fontId="126" fillId="0" borderId="9" xfId="0" applyFont="1" applyBorder="1"/>
    <xf numFmtId="175" fontId="119" fillId="0" borderId="8" xfId="0" applyNumberFormat="1" applyFont="1" applyBorder="1"/>
    <xf numFmtId="175" fontId="119" fillId="0" borderId="9" xfId="0" applyNumberFormat="1" applyFont="1" applyBorder="1"/>
    <xf numFmtId="0" fontId="119" fillId="0" borderId="93" xfId="0" applyFont="1" applyBorder="1"/>
    <xf numFmtId="3" fontId="126" fillId="0" borderId="93" xfId="0" applyNumberFormat="1" applyFont="1" applyBorder="1"/>
    <xf numFmtId="3" fontId="119" fillId="0" borderId="93" xfId="0" applyNumberFormat="1" applyFont="1" applyBorder="1"/>
    <xf numFmtId="3" fontId="119" fillId="0" borderId="14" xfId="0" applyNumberFormat="1" applyFont="1" applyBorder="1"/>
    <xf numFmtId="0" fontId="119" fillId="0" borderId="8" xfId="0" applyFont="1" applyBorder="1"/>
    <xf numFmtId="3" fontId="126" fillId="0" borderId="92" xfId="0" applyNumberFormat="1" applyFont="1" applyBorder="1"/>
    <xf numFmtId="3" fontId="126" fillId="0" borderId="7" xfId="0" applyNumberFormat="1" applyFont="1" applyBorder="1"/>
    <xf numFmtId="3" fontId="126" fillId="0" borderId="6" xfId="0" applyNumberFormat="1" applyFont="1" applyBorder="1"/>
    <xf numFmtId="43" fontId="126" fillId="0" borderId="0" xfId="0" applyNumberFormat="1" applyFont="1"/>
    <xf numFmtId="3" fontId="119" fillId="0" borderId="8" xfId="0" applyNumberFormat="1" applyFont="1" applyBorder="1"/>
    <xf numFmtId="37" fontId="126" fillId="0" borderId="9" xfId="0" applyNumberFormat="1" applyFont="1" applyBorder="1"/>
    <xf numFmtId="37" fontId="126" fillId="0" borderId="8" xfId="0" applyNumberFormat="1" applyFont="1" applyBorder="1"/>
    <xf numFmtId="0" fontId="119" fillId="3" borderId="10" xfId="0" applyFont="1" applyFill="1" applyBorder="1"/>
    <xf numFmtId="37" fontId="119" fillId="3" borderId="26" xfId="0" applyNumberFormat="1" applyFont="1" applyFill="1" applyBorder="1"/>
    <xf numFmtId="3" fontId="119" fillId="3" borderId="26" xfId="0" applyNumberFormat="1" applyFont="1" applyFill="1" applyBorder="1"/>
    <xf numFmtId="37" fontId="119" fillId="3" borderId="11" xfId="0" applyNumberFormat="1" applyFont="1" applyFill="1" applyBorder="1"/>
    <xf numFmtId="37" fontId="119" fillId="3" borderId="10" xfId="0" applyNumberFormat="1" applyFont="1" applyFill="1" applyBorder="1"/>
    <xf numFmtId="0" fontId="119" fillId="3" borderId="12" xfId="0" applyFont="1" applyFill="1" applyBorder="1"/>
    <xf numFmtId="0" fontId="119" fillId="3" borderId="27" xfId="0" applyFont="1" applyFill="1" applyBorder="1"/>
    <xf numFmtId="0" fontId="119" fillId="3" borderId="13" xfId="0" applyFont="1" applyFill="1" applyBorder="1"/>
    <xf numFmtId="175" fontId="119" fillId="3" borderId="12" xfId="0" applyNumberFormat="1" applyFont="1" applyFill="1" applyBorder="1"/>
    <xf numFmtId="175" fontId="119" fillId="3" borderId="13" xfId="0" applyNumberFormat="1" applyFont="1" applyFill="1" applyBorder="1"/>
    <xf numFmtId="0" fontId="119" fillId="0" borderId="9" xfId="0" applyFont="1" applyBorder="1"/>
    <xf numFmtId="0" fontId="119" fillId="0" borderId="8" xfId="0" applyFont="1" applyBorder="1" applyAlignment="1">
      <alignment horizontal="left"/>
    </xf>
    <xf numFmtId="175" fontId="126" fillId="0" borderId="0" xfId="0" applyNumberFormat="1" applyFont="1" applyAlignment="1">
      <alignment horizontal="right"/>
    </xf>
    <xf numFmtId="37" fontId="126" fillId="0" borderId="0" xfId="0" applyNumberFormat="1" applyFont="1"/>
    <xf numFmtId="175" fontId="126" fillId="0" borderId="8" xfId="0" applyNumberFormat="1" applyFont="1" applyBorder="1"/>
    <xf numFmtId="175" fontId="126" fillId="0" borderId="14" xfId="0" applyNumberFormat="1" applyFont="1" applyBorder="1" applyAlignment="1">
      <alignment horizontal="right"/>
    </xf>
    <xf numFmtId="37" fontId="126" fillId="0" borderId="14" xfId="0" applyNumberFormat="1" applyFont="1" applyBorder="1"/>
    <xf numFmtId="175" fontId="126" fillId="0" borderId="93" xfId="0" applyNumberFormat="1" applyFont="1" applyBorder="1"/>
    <xf numFmtId="37" fontId="126" fillId="0" borderId="5" xfId="0" applyNumberFormat="1" applyFont="1" applyBorder="1"/>
    <xf numFmtId="0" fontId="126" fillId="0" borderId="0" xfId="0" applyFont="1" applyAlignment="1">
      <alignment horizontal="right"/>
    </xf>
    <xf numFmtId="0" fontId="126" fillId="0" borderId="8" xfId="0" applyFont="1" applyBorder="1" applyAlignment="1">
      <alignment horizontal="right"/>
    </xf>
    <xf numFmtId="0" fontId="126" fillId="0" borderId="14" xfId="0" applyFont="1" applyBorder="1" applyAlignment="1">
      <alignment horizontal="right"/>
    </xf>
    <xf numFmtId="0" fontId="126" fillId="0" borderId="93" xfId="0" applyFont="1" applyBorder="1" applyAlignment="1">
      <alignment horizontal="right"/>
    </xf>
    <xf numFmtId="3" fontId="126" fillId="0" borderId="94" xfId="0" applyNumberFormat="1" applyFont="1" applyBorder="1"/>
    <xf numFmtId="3" fontId="126" fillId="0" borderId="55" xfId="0" applyNumberFormat="1" applyFont="1" applyBorder="1"/>
    <xf numFmtId="3" fontId="126" fillId="0" borderId="96" xfId="0" applyNumberFormat="1" applyFont="1" applyBorder="1"/>
    <xf numFmtId="0" fontId="119" fillId="3" borderId="28" xfId="0" applyFont="1" applyFill="1" applyBorder="1"/>
    <xf numFmtId="0" fontId="119" fillId="3" borderId="29" xfId="0" applyFont="1" applyFill="1" applyBorder="1" applyAlignment="1">
      <alignment horizontal="center"/>
    </xf>
    <xf numFmtId="175" fontId="119" fillId="3" borderId="29" xfId="0" applyNumberFormat="1" applyFont="1" applyFill="1" applyBorder="1"/>
    <xf numFmtId="37" fontId="119" fillId="3" borderId="30" xfId="0" applyNumberFormat="1" applyFont="1" applyFill="1" applyBorder="1"/>
    <xf numFmtId="0" fontId="119" fillId="3" borderId="28" xfId="0" applyFont="1" applyFill="1" applyBorder="1" applyAlignment="1">
      <alignment horizontal="center"/>
    </xf>
    <xf numFmtId="0" fontId="126" fillId="3" borderId="31" xfId="0" applyFont="1" applyFill="1" applyBorder="1"/>
    <xf numFmtId="37" fontId="119" fillId="3" borderId="29" xfId="0" applyNumberFormat="1" applyFont="1" applyFill="1" applyBorder="1"/>
    <xf numFmtId="0" fontId="126" fillId="3" borderId="28" xfId="0" applyFont="1" applyFill="1" applyBorder="1"/>
    <xf numFmtId="0" fontId="127" fillId="0" borderId="8" xfId="0" applyFont="1" applyBorder="1"/>
    <xf numFmtId="0" fontId="127" fillId="0" borderId="93" xfId="0" applyFont="1" applyBorder="1"/>
    <xf numFmtId="0" fontId="126" fillId="0" borderId="92" xfId="0" applyFont="1" applyBorder="1" applyAlignment="1">
      <alignment horizontal="right"/>
    </xf>
    <xf numFmtId="0" fontId="126" fillId="0" borderId="92" xfId="0" applyFont="1" applyBorder="1"/>
    <xf numFmtId="0" fontId="126" fillId="0" borderId="6" xfId="0" applyFont="1" applyBorder="1" applyAlignment="1">
      <alignment horizontal="right"/>
    </xf>
    <xf numFmtId="37" fontId="126" fillId="0" borderId="7" xfId="0" applyNumberFormat="1" applyFont="1" applyBorder="1"/>
    <xf numFmtId="0" fontId="126" fillId="0" borderId="14" xfId="0" applyFont="1" applyBorder="1"/>
    <xf numFmtId="37" fontId="119" fillId="0" borderId="0" xfId="0" applyNumberFormat="1" applyFont="1"/>
    <xf numFmtId="37" fontId="119" fillId="3" borderId="24" xfId="0" applyNumberFormat="1" applyFont="1" applyFill="1" applyBorder="1"/>
    <xf numFmtId="0" fontId="126" fillId="10" borderId="1" xfId="0" applyFont="1" applyFill="1" applyBorder="1"/>
    <xf numFmtId="1" fontId="126" fillId="0" borderId="8" xfId="0" applyNumberFormat="1" applyFont="1" applyBorder="1"/>
    <xf numFmtId="172" fontId="126" fillId="0" borderId="0" xfId="0" applyNumberFormat="1" applyFont="1"/>
    <xf numFmtId="0" fontId="119" fillId="6" borderId="20" xfId="0" applyFont="1" applyFill="1" applyBorder="1"/>
    <xf numFmtId="0" fontId="126" fillId="6" borderId="1" xfId="0" applyFont="1" applyFill="1" applyBorder="1"/>
    <xf numFmtId="0" fontId="119" fillId="6" borderId="1" xfId="0" applyFont="1" applyFill="1" applyBorder="1"/>
    <xf numFmtId="37" fontId="119" fillId="6" borderId="21" xfId="0" applyNumberFormat="1" applyFont="1" applyFill="1" applyBorder="1"/>
    <xf numFmtId="0" fontId="126" fillId="6" borderId="20" xfId="0" applyFont="1" applyFill="1" applyBorder="1"/>
    <xf numFmtId="0" fontId="126" fillId="6" borderId="22" xfId="0" applyFont="1" applyFill="1" applyBorder="1"/>
    <xf numFmtId="0" fontId="126" fillId="6" borderId="23" xfId="0" applyFont="1" applyFill="1" applyBorder="1"/>
    <xf numFmtId="37" fontId="119" fillId="6" borderId="24" xfId="0" applyNumberFormat="1" applyFont="1" applyFill="1" applyBorder="1"/>
    <xf numFmtId="0" fontId="119" fillId="3" borderId="34" xfId="0" applyFont="1" applyFill="1" applyBorder="1"/>
    <xf numFmtId="0" fontId="126" fillId="3" borderId="35" xfId="0" applyFont="1" applyFill="1" applyBorder="1"/>
    <xf numFmtId="0" fontId="119" fillId="3" borderId="35" xfId="0" applyFont="1" applyFill="1" applyBorder="1"/>
    <xf numFmtId="37" fontId="119" fillId="3" borderId="36" xfId="0" applyNumberFormat="1" applyFont="1" applyFill="1" applyBorder="1"/>
    <xf numFmtId="0" fontId="126" fillId="3" borderId="34" xfId="0" applyFont="1" applyFill="1" applyBorder="1"/>
    <xf numFmtId="1" fontId="128" fillId="0" borderId="0" xfId="0" applyNumberFormat="1" applyFont="1"/>
    <xf numFmtId="37" fontId="128" fillId="0" borderId="0" xfId="0" applyNumberFormat="1" applyFont="1"/>
    <xf numFmtId="0" fontId="147" fillId="22" borderId="1" xfId="0" applyFont="1" applyFill="1" applyBorder="1"/>
    <xf numFmtId="0" fontId="126" fillId="0" borderId="9" xfId="0" applyFont="1" applyBorder="1" applyAlignment="1">
      <alignment horizontal="center"/>
    </xf>
    <xf numFmtId="0" fontId="126" fillId="0" borderId="8" xfId="0" applyFont="1" applyBorder="1" applyAlignment="1">
      <alignment horizontal="center"/>
    </xf>
    <xf numFmtId="0" fontId="126" fillId="0" borderId="93" xfId="0" applyFont="1" applyBorder="1" applyAlignment="1">
      <alignment horizontal="center"/>
    </xf>
    <xf numFmtId="0" fontId="126" fillId="0" borderId="5" xfId="0" applyFont="1" applyBorder="1" applyAlignment="1">
      <alignment horizontal="center"/>
    </xf>
    <xf numFmtId="0" fontId="148" fillId="0" borderId="0" xfId="0" applyFont="1"/>
    <xf numFmtId="175" fontId="129" fillId="0" borderId="8" xfId="0" applyNumberFormat="1" applyFont="1" applyBorder="1"/>
    <xf numFmtId="175" fontId="129" fillId="0" borderId="9" xfId="0" applyNumberFormat="1" applyFont="1" applyBorder="1"/>
    <xf numFmtId="39" fontId="126" fillId="0" borderId="0" xfId="0" applyNumberFormat="1" applyFont="1"/>
    <xf numFmtId="3" fontId="119" fillId="0" borderId="5" xfId="0" applyNumberFormat="1" applyFont="1" applyBorder="1"/>
    <xf numFmtId="174" fontId="126" fillId="0" borderId="0" xfId="0" applyNumberFormat="1" applyFont="1"/>
    <xf numFmtId="174" fontId="119" fillId="3" borderId="26" xfId="0" applyNumberFormat="1" applyFont="1" applyFill="1" applyBorder="1"/>
    <xf numFmtId="9" fontId="119" fillId="3" borderId="12" xfId="0" applyNumberFormat="1" applyFont="1" applyFill="1" applyBorder="1"/>
    <xf numFmtId="175" fontId="119" fillId="9" borderId="13" xfId="0" applyNumberFormat="1" applyFont="1" applyFill="1" applyBorder="1"/>
    <xf numFmtId="175" fontId="126" fillId="0" borderId="0" xfId="0" applyNumberFormat="1" applyFont="1"/>
    <xf numFmtId="175" fontId="126" fillId="0" borderId="14" xfId="0" applyNumberFormat="1" applyFont="1" applyBorder="1"/>
    <xf numFmtId="0" fontId="126" fillId="3" borderId="22" xfId="0" applyFont="1" applyFill="1" applyBorder="1"/>
    <xf numFmtId="0" fontId="119" fillId="0" borderId="0" xfId="0" applyFont="1" applyAlignment="1">
      <alignment horizontal="center"/>
    </xf>
    <xf numFmtId="175" fontId="119" fillId="0" borderId="0" xfId="0" applyNumberFormat="1" applyFont="1"/>
    <xf numFmtId="0" fontId="119" fillId="0" borderId="8" xfId="0" applyFont="1" applyBorder="1" applyAlignment="1">
      <alignment horizontal="center"/>
    </xf>
    <xf numFmtId="1" fontId="126" fillId="0" borderId="0" xfId="0" applyNumberFormat="1" applyFont="1"/>
    <xf numFmtId="0" fontId="126" fillId="3" borderId="35" xfId="0" applyFont="1" applyFill="1" applyBorder="1" applyAlignment="1">
      <alignment horizontal="right"/>
    </xf>
    <xf numFmtId="0" fontId="126" fillId="3" borderId="34" xfId="0" applyFont="1" applyFill="1" applyBorder="1" applyAlignment="1">
      <alignment horizontal="right"/>
    </xf>
    <xf numFmtId="175" fontId="126" fillId="0" borderId="9" xfId="0" applyNumberFormat="1" applyFont="1" applyBorder="1"/>
    <xf numFmtId="39" fontId="126" fillId="0" borderId="14" xfId="0" applyNumberFormat="1" applyFont="1" applyBorder="1" applyAlignment="1">
      <alignment horizontal="center"/>
    </xf>
    <xf numFmtId="175" fontId="126" fillId="0" borderId="5" xfId="0" applyNumberFormat="1" applyFont="1" applyBorder="1"/>
    <xf numFmtId="37" fontId="126" fillId="0" borderId="93" xfId="0" applyNumberFormat="1" applyFont="1" applyBorder="1"/>
    <xf numFmtId="37" fontId="126" fillId="0" borderId="92" xfId="0" applyNumberFormat="1" applyFont="1" applyBorder="1"/>
    <xf numFmtId="37" fontId="126" fillId="0" borderId="6" xfId="0" applyNumberFormat="1" applyFont="1" applyBorder="1"/>
    <xf numFmtId="10" fontId="126" fillId="0" borderId="0" xfId="0" applyNumberFormat="1" applyFont="1"/>
    <xf numFmtId="175" fontId="119" fillId="0" borderId="93" xfId="0" applyNumberFormat="1" applyFont="1" applyBorder="1"/>
    <xf numFmtId="175" fontId="119" fillId="0" borderId="5" xfId="0" applyNumberFormat="1" applyFont="1" applyBorder="1"/>
    <xf numFmtId="175" fontId="126" fillId="0" borderId="6" xfId="0" applyNumberFormat="1" applyFont="1" applyBorder="1"/>
    <xf numFmtId="174" fontId="119" fillId="0" borderId="0" xfId="0" applyNumberFormat="1" applyFont="1"/>
    <xf numFmtId="37" fontId="119" fillId="0" borderId="8" xfId="0" applyNumberFormat="1" applyFont="1" applyBorder="1"/>
    <xf numFmtId="37" fontId="119" fillId="0" borderId="9" xfId="0" applyNumberFormat="1" applyFont="1" applyBorder="1"/>
    <xf numFmtId="0" fontId="119" fillId="0" borderId="14" xfId="0" applyFont="1" applyBorder="1"/>
    <xf numFmtId="174" fontId="119" fillId="0" borderId="14" xfId="0" applyNumberFormat="1" applyFont="1" applyBorder="1"/>
    <xf numFmtId="37" fontId="119" fillId="0" borderId="93" xfId="0" applyNumberFormat="1" applyFont="1" applyBorder="1"/>
    <xf numFmtId="37" fontId="119" fillId="0" borderId="5" xfId="0" applyNumberFormat="1" applyFont="1" applyBorder="1"/>
    <xf numFmtId="37" fontId="126" fillId="0" borderId="97" xfId="0" applyNumberFormat="1" applyFont="1" applyBorder="1"/>
    <xf numFmtId="0" fontId="119" fillId="6" borderId="10" xfId="0" applyFont="1" applyFill="1" applyBorder="1"/>
    <xf numFmtId="37" fontId="119" fillId="6" borderId="26" xfId="0" applyNumberFormat="1" applyFont="1" applyFill="1" applyBorder="1"/>
    <xf numFmtId="37" fontId="119" fillId="6" borderId="11" xfId="0" applyNumberFormat="1" applyFont="1" applyFill="1" applyBorder="1"/>
    <xf numFmtId="37" fontId="119" fillId="6" borderId="10" xfId="0" applyNumberFormat="1" applyFont="1" applyFill="1" applyBorder="1"/>
    <xf numFmtId="175" fontId="119" fillId="6" borderId="10" xfId="0" applyNumberFormat="1" applyFont="1" applyFill="1" applyBorder="1"/>
    <xf numFmtId="0" fontId="119" fillId="6" borderId="22" xfId="0" applyFont="1" applyFill="1" applyBorder="1"/>
    <xf numFmtId="37" fontId="119" fillId="6" borderId="23" xfId="0" applyNumberFormat="1" applyFont="1" applyFill="1" applyBorder="1"/>
    <xf numFmtId="39" fontId="119" fillId="6" borderId="23" xfId="0" applyNumberFormat="1" applyFont="1" applyFill="1" applyBorder="1" applyAlignment="1">
      <alignment horizontal="center"/>
    </xf>
    <xf numFmtId="175" fontId="119" fillId="6" borderId="24" xfId="0" applyNumberFormat="1" applyFont="1" applyFill="1" applyBorder="1"/>
    <xf numFmtId="37" fontId="119" fillId="6" borderId="22" xfId="0" applyNumberFormat="1" applyFont="1" applyFill="1" applyBorder="1"/>
    <xf numFmtId="37" fontId="119" fillId="0" borderId="92" xfId="0" applyNumberFormat="1" applyFont="1" applyBorder="1"/>
    <xf numFmtId="174" fontId="119" fillId="0" borderId="92" xfId="0" applyNumberFormat="1" applyFont="1" applyBorder="1"/>
    <xf numFmtId="37" fontId="119" fillId="0" borderId="7" xfId="0" applyNumberFormat="1" applyFont="1" applyBorder="1"/>
    <xf numFmtId="37" fontId="119" fillId="0" borderId="6" xfId="0" applyNumberFormat="1" applyFont="1" applyBorder="1"/>
    <xf numFmtId="0" fontId="119" fillId="6" borderId="19" xfId="0" applyFont="1" applyFill="1" applyBorder="1"/>
    <xf numFmtId="37" fontId="119" fillId="6" borderId="15" xfId="0" applyNumberFormat="1" applyFont="1" applyFill="1" applyBorder="1"/>
    <xf numFmtId="174" fontId="119" fillId="6" borderId="15" xfId="0" applyNumberFormat="1" applyFont="1" applyFill="1" applyBorder="1"/>
    <xf numFmtId="37" fontId="119" fillId="6" borderId="25" xfId="0" applyNumberFormat="1" applyFont="1" applyFill="1" applyBorder="1"/>
    <xf numFmtId="37" fontId="119" fillId="6" borderId="19" xfId="0" applyNumberFormat="1" applyFont="1" applyFill="1" applyBorder="1"/>
    <xf numFmtId="175" fontId="119" fillId="3" borderId="10" xfId="0" applyNumberFormat="1" applyFont="1" applyFill="1" applyBorder="1"/>
    <xf numFmtId="37" fontId="126" fillId="0" borderId="0" xfId="0" applyNumberFormat="1" applyFont="1" applyAlignment="1">
      <alignment horizontal="center"/>
    </xf>
    <xf numFmtId="0" fontId="126" fillId="0" borderId="14" xfId="0" applyFont="1" applyBorder="1" applyAlignment="1">
      <alignment horizontal="center"/>
    </xf>
    <xf numFmtId="1" fontId="126" fillId="0" borderId="6" xfId="0" applyNumberFormat="1" applyFont="1" applyBorder="1"/>
    <xf numFmtId="174" fontId="126" fillId="0" borderId="14" xfId="0" applyNumberFormat="1" applyFont="1" applyBorder="1"/>
    <xf numFmtId="2" fontId="126" fillId="0" borderId="14" xfId="0" applyNumberFormat="1" applyFont="1" applyBorder="1"/>
    <xf numFmtId="10" fontId="119" fillId="3" borderId="10" xfId="0" applyNumberFormat="1" applyFont="1" applyFill="1" applyBorder="1"/>
    <xf numFmtId="0" fontId="127" fillId="0" borderId="6" xfId="0" applyFont="1" applyBorder="1"/>
    <xf numFmtId="175" fontId="119" fillId="0" borderId="92" xfId="0" applyNumberFormat="1" applyFont="1" applyBorder="1"/>
    <xf numFmtId="175" fontId="119" fillId="0" borderId="6" xfId="0" applyNumberFormat="1" applyFont="1" applyBorder="1"/>
    <xf numFmtId="0" fontId="126" fillId="0" borderId="5" xfId="0" applyFont="1" applyBorder="1"/>
    <xf numFmtId="175" fontId="119" fillId="3" borderId="26" xfId="0" applyNumberFormat="1" applyFont="1" applyFill="1" applyBorder="1"/>
    <xf numFmtId="175" fontId="119" fillId="3" borderId="16" xfId="0" applyNumberFormat="1" applyFont="1" applyFill="1" applyBorder="1"/>
    <xf numFmtId="37" fontId="119" fillId="3" borderId="18" xfId="0" applyNumberFormat="1" applyFont="1" applyFill="1" applyBorder="1"/>
    <xf numFmtId="37" fontId="119" fillId="3" borderId="35" xfId="0" applyNumberFormat="1" applyFont="1" applyFill="1" applyBorder="1"/>
    <xf numFmtId="174" fontId="119" fillId="3" borderId="35" xfId="0" applyNumberFormat="1" applyFont="1" applyFill="1" applyBorder="1"/>
    <xf numFmtId="37" fontId="119" fillId="3" borderId="34" xfId="0" applyNumberFormat="1" applyFont="1" applyFill="1" applyBorder="1"/>
    <xf numFmtId="0" fontId="126" fillId="3" borderId="12" xfId="0" applyFont="1" applyFill="1" applyBorder="1"/>
    <xf numFmtId="6" fontId="126" fillId="0" borderId="0" xfId="0" applyNumberFormat="1" applyFont="1"/>
    <xf numFmtId="0" fontId="126" fillId="0" borderId="98" xfId="0" applyFont="1" applyBorder="1" applyAlignment="1">
      <alignment horizontal="center"/>
    </xf>
    <xf numFmtId="0" fontId="126" fillId="0" borderId="99" xfId="0" applyFont="1" applyBorder="1" applyAlignment="1">
      <alignment horizontal="center"/>
    </xf>
    <xf numFmtId="0" fontId="126" fillId="0" borderId="97" xfId="0" applyFont="1" applyBorder="1" applyAlignment="1">
      <alignment horizontal="center"/>
    </xf>
    <xf numFmtId="37" fontId="126" fillId="9" borderId="1" xfId="0" applyNumberFormat="1" applyFont="1" applyFill="1" applyBorder="1"/>
    <xf numFmtId="175" fontId="119" fillId="3" borderId="1" xfId="0" applyNumberFormat="1" applyFont="1" applyFill="1" applyBorder="1"/>
    <xf numFmtId="37" fontId="126" fillId="9" borderId="18" xfId="0" applyNumberFormat="1" applyFont="1" applyFill="1" applyBorder="1"/>
    <xf numFmtId="3" fontId="126" fillId="9" borderId="16" xfId="0" applyNumberFormat="1" applyFont="1" applyFill="1" applyBorder="1"/>
    <xf numFmtId="3" fontId="126" fillId="9" borderId="18" xfId="0" applyNumberFormat="1" applyFont="1" applyFill="1" applyBorder="1"/>
    <xf numFmtId="0" fontId="149" fillId="0" borderId="0" xfId="0" applyFont="1"/>
    <xf numFmtId="175" fontId="119" fillId="0" borderId="100" xfId="0" applyNumberFormat="1" applyFont="1" applyBorder="1"/>
    <xf numFmtId="0" fontId="119" fillId="3" borderId="37" xfId="0" applyFont="1" applyFill="1" applyBorder="1"/>
    <xf numFmtId="0" fontId="119" fillId="3" borderId="38" xfId="0" applyFont="1" applyFill="1" applyBorder="1"/>
    <xf numFmtId="37" fontId="119" fillId="3" borderId="39" xfId="0" applyNumberFormat="1" applyFont="1" applyFill="1" applyBorder="1"/>
    <xf numFmtId="0" fontId="126" fillId="3" borderId="37" xfId="0" applyFont="1" applyFill="1" applyBorder="1"/>
    <xf numFmtId="0" fontId="126" fillId="3" borderId="38" xfId="0" applyFont="1" applyFill="1" applyBorder="1"/>
    <xf numFmtId="0" fontId="150" fillId="23" borderId="1" xfId="0" applyFont="1" applyFill="1" applyBorder="1"/>
    <xf numFmtId="0" fontId="129" fillId="0" borderId="0" xfId="0" applyFont="1" applyAlignment="1">
      <alignment horizontal="center" vertical="center"/>
    </xf>
    <xf numFmtId="0" fontId="126" fillId="0" borderId="101" xfId="0" applyFont="1" applyBorder="1" applyAlignment="1">
      <alignment horizontal="left"/>
    </xf>
    <xf numFmtId="0" fontId="119" fillId="0" borderId="102" xfId="0" applyFont="1" applyBorder="1" applyAlignment="1">
      <alignment horizontal="center" vertical="center"/>
    </xf>
    <xf numFmtId="0" fontId="126" fillId="0" borderId="87" xfId="0" applyFont="1" applyBorder="1" applyAlignment="1">
      <alignment horizontal="center"/>
    </xf>
    <xf numFmtId="0" fontId="126" fillId="0" borderId="85" xfId="0" applyFont="1" applyBorder="1" applyAlignment="1">
      <alignment horizontal="center"/>
    </xf>
    <xf numFmtId="0" fontId="126" fillId="0" borderId="106" xfId="0" applyFont="1" applyBorder="1" applyAlignment="1">
      <alignment horizontal="center"/>
    </xf>
    <xf numFmtId="0" fontId="127" fillId="0" borderId="14" xfId="0" applyFont="1" applyBorder="1"/>
    <xf numFmtId="37" fontId="127" fillId="0" borderId="87" xfId="0" applyNumberFormat="1" applyFont="1" applyBorder="1"/>
    <xf numFmtId="37" fontId="127" fillId="0" borderId="85" xfId="0" applyNumberFormat="1" applyFont="1" applyBorder="1"/>
    <xf numFmtId="37" fontId="127" fillId="0" borderId="14" xfId="0" applyNumberFormat="1" applyFont="1" applyBorder="1"/>
    <xf numFmtId="175" fontId="127" fillId="0" borderId="14" xfId="0" applyNumberFormat="1" applyFont="1" applyBorder="1"/>
    <xf numFmtId="37" fontId="127" fillId="0" borderId="106" xfId="0" applyNumberFormat="1" applyFont="1" applyBorder="1"/>
    <xf numFmtId="175" fontId="127" fillId="0" borderId="5" xfId="0" applyNumberFormat="1" applyFont="1" applyBorder="1"/>
    <xf numFmtId="0" fontId="129" fillId="3" borderId="22" xfId="0" applyFont="1" applyFill="1" applyBorder="1"/>
    <xf numFmtId="0" fontId="129" fillId="3" borderId="23" xfId="0" applyFont="1" applyFill="1" applyBorder="1"/>
    <xf numFmtId="37" fontId="129" fillId="3" borderId="107" xfId="0" applyNumberFormat="1" applyFont="1" applyFill="1" applyBorder="1"/>
    <xf numFmtId="37" fontId="129" fillId="3" borderId="108" xfId="0" applyNumberFormat="1" applyFont="1" applyFill="1" applyBorder="1"/>
    <xf numFmtId="37" fontId="129" fillId="3" borderId="23" xfId="0" applyNumberFormat="1" applyFont="1" applyFill="1" applyBorder="1"/>
    <xf numFmtId="175" fontId="129" fillId="3" borderId="23" xfId="0" applyNumberFormat="1" applyFont="1" applyFill="1" applyBorder="1"/>
    <xf numFmtId="37" fontId="129" fillId="3" borderId="109" xfId="0" applyNumberFormat="1" applyFont="1" applyFill="1" applyBorder="1"/>
    <xf numFmtId="175" fontId="129" fillId="3" borderId="24" xfId="0" applyNumberFormat="1" applyFont="1" applyFill="1" applyBorder="1"/>
    <xf numFmtId="0" fontId="129" fillId="0" borderId="8" xfId="0" applyFont="1" applyBorder="1"/>
    <xf numFmtId="0" fontId="127" fillId="0" borderId="0" xfId="0" applyFont="1"/>
    <xf numFmtId="37" fontId="127" fillId="0" borderId="73" xfId="0" applyNumberFormat="1" applyFont="1" applyBorder="1"/>
    <xf numFmtId="37" fontId="127" fillId="0" borderId="71" xfId="0" applyNumberFormat="1" applyFont="1" applyBorder="1"/>
    <xf numFmtId="37" fontId="127" fillId="0" borderId="0" xfId="0" applyNumberFormat="1" applyFont="1"/>
    <xf numFmtId="175" fontId="127" fillId="0" borderId="0" xfId="0" applyNumberFormat="1" applyFont="1"/>
    <xf numFmtId="37" fontId="127" fillId="0" borderId="56" xfId="0" applyNumberFormat="1" applyFont="1" applyBorder="1"/>
    <xf numFmtId="175" fontId="127" fillId="0" borderId="7" xfId="0" applyNumberFormat="1" applyFont="1" applyBorder="1"/>
    <xf numFmtId="0" fontId="127" fillId="0" borderId="0" xfId="0" applyFont="1" applyAlignment="1">
      <alignment horizontal="right"/>
    </xf>
    <xf numFmtId="174" fontId="127" fillId="0" borderId="0" xfId="0" applyNumberFormat="1" applyFont="1"/>
    <xf numFmtId="0" fontId="127" fillId="0" borderId="71" xfId="0" applyFont="1" applyBorder="1"/>
    <xf numFmtId="175" fontId="127" fillId="0" borderId="9" xfId="0" applyNumberFormat="1" applyFont="1" applyBorder="1"/>
    <xf numFmtId="0" fontId="127" fillId="0" borderId="14" xfId="0" applyFont="1" applyBorder="1" applyAlignment="1">
      <alignment horizontal="right"/>
    </xf>
    <xf numFmtId="174" fontId="127" fillId="0" borderId="14" xfId="0" applyNumberFormat="1" applyFont="1" applyBorder="1"/>
    <xf numFmtId="0" fontId="127" fillId="0" borderId="85" xfId="0" applyFont="1" applyBorder="1"/>
    <xf numFmtId="175" fontId="127" fillId="0" borderId="87" xfId="0" applyNumberFormat="1" applyFont="1" applyBorder="1"/>
    <xf numFmtId="0" fontId="129" fillId="3" borderId="28" xfId="0" applyFont="1" applyFill="1" applyBorder="1"/>
    <xf numFmtId="0" fontId="129" fillId="3" borderId="29" xfId="0" applyFont="1" applyFill="1" applyBorder="1"/>
    <xf numFmtId="175" fontId="129" fillId="3" borderId="29" xfId="0" applyNumberFormat="1" applyFont="1" applyFill="1" applyBorder="1"/>
    <xf numFmtId="37" fontId="129" fillId="3" borderId="68" xfId="0" applyNumberFormat="1" applyFont="1" applyFill="1" applyBorder="1"/>
    <xf numFmtId="175" fontId="129" fillId="3" borderId="31" xfId="0" applyNumberFormat="1" applyFont="1" applyFill="1" applyBorder="1"/>
    <xf numFmtId="0" fontId="129" fillId="3" borderId="31" xfId="0" applyFont="1" applyFill="1" applyBorder="1"/>
    <xf numFmtId="37" fontId="129" fillId="3" borderId="29" xfId="0" applyNumberFormat="1" applyFont="1" applyFill="1" applyBorder="1"/>
    <xf numFmtId="0" fontId="129" fillId="3" borderId="112" xfId="0" applyFont="1" applyFill="1" applyBorder="1"/>
    <xf numFmtId="175" fontId="127" fillId="0" borderId="73" xfId="0" applyNumberFormat="1" applyFont="1" applyBorder="1"/>
    <xf numFmtId="174" fontId="129" fillId="3" borderId="29" xfId="0" applyNumberFormat="1" applyFont="1" applyFill="1" applyBorder="1"/>
    <xf numFmtId="37" fontId="129" fillId="3" borderId="31" xfId="0" applyNumberFormat="1" applyFont="1" applyFill="1" applyBorder="1"/>
    <xf numFmtId="37" fontId="129" fillId="3" borderId="112" xfId="0" applyNumberFormat="1" applyFont="1" applyFill="1" applyBorder="1"/>
    <xf numFmtId="0" fontId="127" fillId="0" borderId="92" xfId="0" applyFont="1" applyBorder="1" applyAlignment="1">
      <alignment horizontal="right"/>
    </xf>
    <xf numFmtId="0" fontId="127" fillId="0" borderId="92" xfId="0" applyFont="1" applyBorder="1"/>
    <xf numFmtId="37" fontId="127" fillId="0" borderId="91" xfId="0" applyNumberFormat="1" applyFont="1" applyBorder="1"/>
    <xf numFmtId="0" fontId="127" fillId="0" borderId="90" xfId="0" applyFont="1" applyBorder="1"/>
    <xf numFmtId="174" fontId="127" fillId="0" borderId="92" xfId="0" applyNumberFormat="1" applyFont="1" applyBorder="1"/>
    <xf numFmtId="37" fontId="127" fillId="0" borderId="92" xfId="0" applyNumberFormat="1" applyFont="1" applyBorder="1"/>
    <xf numFmtId="175" fontId="127" fillId="0" borderId="92" xfId="0" applyNumberFormat="1" applyFont="1" applyBorder="1"/>
    <xf numFmtId="37" fontId="127" fillId="0" borderId="113" xfId="0" applyNumberFormat="1" applyFont="1" applyBorder="1"/>
    <xf numFmtId="9" fontId="117" fillId="0" borderId="0" xfId="0" applyNumberFormat="1" applyFont="1"/>
    <xf numFmtId="37" fontId="127" fillId="0" borderId="90" xfId="0" applyNumberFormat="1" applyFont="1" applyBorder="1"/>
    <xf numFmtId="0" fontId="127" fillId="3" borderId="29" xfId="0" applyFont="1" applyFill="1" applyBorder="1"/>
    <xf numFmtId="3" fontId="129" fillId="3" borderId="29" xfId="0" applyNumberFormat="1" applyFont="1" applyFill="1" applyBorder="1" applyAlignment="1">
      <alignment horizontal="center"/>
    </xf>
    <xf numFmtId="175" fontId="129" fillId="3" borderId="30" xfId="0" applyNumberFormat="1" applyFont="1" applyFill="1" applyBorder="1"/>
    <xf numFmtId="175" fontId="129" fillId="0" borderId="0" xfId="0" applyNumberFormat="1" applyFont="1"/>
    <xf numFmtId="0" fontId="129" fillId="0" borderId="0" xfId="0" applyFont="1"/>
    <xf numFmtId="175" fontId="127" fillId="0" borderId="91" xfId="0" applyNumberFormat="1" applyFont="1" applyBorder="1"/>
    <xf numFmtId="0" fontId="127" fillId="0" borderId="73" xfId="0" applyFont="1" applyBorder="1"/>
    <xf numFmtId="0" fontId="127" fillId="0" borderId="56" xfId="0" applyFont="1" applyBorder="1"/>
    <xf numFmtId="175" fontId="127" fillId="0" borderId="114" xfId="0" applyNumberFormat="1" applyFont="1" applyBorder="1"/>
    <xf numFmtId="175" fontId="129" fillId="0" borderId="92" xfId="0" applyNumberFormat="1" applyFont="1" applyBorder="1"/>
    <xf numFmtId="0" fontId="129" fillId="0" borderId="92" xfId="0" applyFont="1" applyBorder="1"/>
    <xf numFmtId="175" fontId="129" fillId="0" borderId="90" xfId="0" applyNumberFormat="1" applyFont="1" applyBorder="1"/>
    <xf numFmtId="37" fontId="129" fillId="0" borderId="90" xfId="0" applyNumberFormat="1" applyFont="1" applyBorder="1"/>
    <xf numFmtId="37" fontId="127" fillId="0" borderId="94" xfId="0" applyNumberFormat="1" applyFont="1" applyBorder="1"/>
    <xf numFmtId="37" fontId="129" fillId="0" borderId="92" xfId="0" applyNumberFormat="1" applyFont="1" applyBorder="1"/>
    <xf numFmtId="37" fontId="129" fillId="0" borderId="0" xfId="0" applyNumberFormat="1" applyFont="1"/>
    <xf numFmtId="1" fontId="129" fillId="0" borderId="0" xfId="0" applyNumberFormat="1" applyFont="1"/>
    <xf numFmtId="37" fontId="129" fillId="0" borderId="71" xfId="0" applyNumberFormat="1" applyFont="1" applyBorder="1"/>
    <xf numFmtId="175" fontId="129" fillId="0" borderId="71" xfId="0" applyNumberFormat="1" applyFont="1" applyBorder="1"/>
    <xf numFmtId="37" fontId="127" fillId="0" borderId="55" xfId="0" applyNumberFormat="1" applyFont="1" applyBorder="1"/>
    <xf numFmtId="43" fontId="129" fillId="0" borderId="71" xfId="0" applyNumberFormat="1" applyFont="1" applyBorder="1"/>
    <xf numFmtId="175" fontId="127" fillId="3" borderId="31" xfId="0" applyNumberFormat="1" applyFont="1" applyFill="1" applyBorder="1"/>
    <xf numFmtId="175" fontId="127" fillId="3" borderId="29" xfId="0" applyNumberFormat="1" applyFont="1" applyFill="1" applyBorder="1"/>
    <xf numFmtId="37" fontId="127" fillId="3" borderId="112" xfId="0" applyNumberFormat="1" applyFont="1" applyFill="1" applyBorder="1"/>
    <xf numFmtId="0" fontId="129" fillId="6" borderId="19" xfId="0" applyFont="1" applyFill="1" applyBorder="1"/>
    <xf numFmtId="0" fontId="129" fillId="6" borderId="15" xfId="0" applyFont="1" applyFill="1" applyBorder="1"/>
    <xf numFmtId="37" fontId="129" fillId="6" borderId="15" xfId="0" applyNumberFormat="1" applyFont="1" applyFill="1" applyBorder="1"/>
    <xf numFmtId="37" fontId="127" fillId="6" borderId="115" xfId="0" applyNumberFormat="1" applyFont="1" applyFill="1" applyBorder="1"/>
    <xf numFmtId="0" fontId="127" fillId="6" borderId="15" xfId="0" applyFont="1" applyFill="1" applyBorder="1"/>
    <xf numFmtId="37" fontId="127" fillId="6" borderId="15" xfId="0" applyNumberFormat="1" applyFont="1" applyFill="1" applyBorder="1"/>
    <xf numFmtId="37" fontId="127" fillId="6" borderId="116" xfId="0" applyNumberFormat="1" applyFont="1" applyFill="1" applyBorder="1"/>
    <xf numFmtId="37" fontId="127" fillId="6" borderId="1" xfId="0" applyNumberFormat="1" applyFont="1" applyFill="1" applyBorder="1"/>
    <xf numFmtId="175" fontId="127" fillId="6" borderId="1" xfId="0" applyNumberFormat="1" applyFont="1" applyFill="1" applyBorder="1"/>
    <xf numFmtId="175" fontId="127" fillId="6" borderId="116" xfId="0" applyNumberFormat="1" applyFont="1" applyFill="1" applyBorder="1"/>
    <xf numFmtId="175" fontId="127" fillId="6" borderId="15" xfId="0" applyNumberFormat="1" applyFont="1" applyFill="1" applyBorder="1"/>
    <xf numFmtId="37" fontId="127" fillId="6" borderId="117" xfId="0" applyNumberFormat="1" applyFont="1" applyFill="1" applyBorder="1"/>
    <xf numFmtId="175" fontId="127" fillId="0" borderId="99" xfId="0" applyNumberFormat="1" applyFont="1" applyBorder="1"/>
    <xf numFmtId="0" fontId="129" fillId="3" borderId="37" xfId="0" applyFont="1" applyFill="1" applyBorder="1"/>
    <xf numFmtId="0" fontId="129" fillId="3" borderId="38" xfId="0" applyFont="1" applyFill="1" applyBorder="1"/>
    <xf numFmtId="0" fontId="129" fillId="3" borderId="38" xfId="0" applyFont="1" applyFill="1" applyBorder="1" applyAlignment="1">
      <alignment horizontal="center"/>
    </xf>
    <xf numFmtId="175" fontId="129" fillId="3" borderId="38" xfId="0" applyNumberFormat="1" applyFont="1" applyFill="1" applyBorder="1"/>
    <xf numFmtId="37" fontId="129" fillId="3" borderId="118" xfId="0" applyNumberFormat="1" applyFont="1" applyFill="1" applyBorder="1"/>
    <xf numFmtId="37" fontId="129" fillId="3" borderId="38" xfId="0" applyNumberFormat="1" applyFont="1" applyFill="1" applyBorder="1"/>
    <xf numFmtId="37" fontId="129" fillId="3" borderId="119" xfId="0" applyNumberFormat="1" applyFont="1" applyFill="1" applyBorder="1"/>
    <xf numFmtId="175" fontId="129" fillId="3" borderId="120" xfId="0" applyNumberFormat="1" applyFont="1" applyFill="1" applyBorder="1"/>
    <xf numFmtId="0" fontId="129" fillId="3" borderId="119" xfId="0" applyFont="1" applyFill="1" applyBorder="1" applyAlignment="1">
      <alignment horizontal="center"/>
    </xf>
    <xf numFmtId="37" fontId="129" fillId="3" borderId="121" xfId="0" applyNumberFormat="1" applyFont="1" applyFill="1" applyBorder="1"/>
    <xf numFmtId="175" fontId="129" fillId="3" borderId="13" xfId="0" applyNumberFormat="1" applyFont="1" applyFill="1" applyBorder="1"/>
    <xf numFmtId="39" fontId="127" fillId="0" borderId="0" xfId="0" applyNumberFormat="1" applyFont="1"/>
    <xf numFmtId="0" fontId="120" fillId="0" borderId="0" xfId="0" applyFont="1" applyAlignment="1">
      <alignment horizontal="right" vertical="center"/>
    </xf>
    <xf numFmtId="37" fontId="129" fillId="3" borderId="122" xfId="0" applyNumberFormat="1" applyFont="1" applyFill="1" applyBorder="1"/>
    <xf numFmtId="37" fontId="129" fillId="3" borderId="123" xfId="0" applyNumberFormat="1" applyFont="1" applyFill="1" applyBorder="1"/>
    <xf numFmtId="37" fontId="129" fillId="3" borderId="124" xfId="0" applyNumberFormat="1" applyFont="1" applyFill="1" applyBorder="1"/>
    <xf numFmtId="175" fontId="129" fillId="3" borderId="125" xfId="0" applyNumberFormat="1" applyFont="1" applyFill="1" applyBorder="1"/>
    <xf numFmtId="0" fontId="125" fillId="0" borderId="8" xfId="0" applyFont="1" applyBorder="1"/>
    <xf numFmtId="37" fontId="125" fillId="0" borderId="73" xfId="0" applyNumberFormat="1" applyFont="1" applyBorder="1"/>
    <xf numFmtId="0" fontId="125" fillId="0" borderId="73" xfId="0" applyFont="1" applyBorder="1"/>
    <xf numFmtId="0" fontId="125" fillId="0" borderId="55" xfId="0" applyFont="1" applyBorder="1"/>
    <xf numFmtId="0" fontId="125" fillId="0" borderId="56" xfId="0" applyFont="1" applyBorder="1"/>
    <xf numFmtId="0" fontId="125" fillId="0" borderId="9" xfId="0" applyFont="1" applyBorder="1"/>
    <xf numFmtId="175" fontId="129" fillId="3" borderId="39" xfId="0" applyNumberFormat="1" applyFont="1" applyFill="1" applyBorder="1"/>
    <xf numFmtId="178" fontId="125" fillId="0" borderId="0" xfId="0" applyNumberFormat="1" applyFont="1" applyAlignment="1">
      <alignment horizontal="right"/>
    </xf>
    <xf numFmtId="43" fontId="125" fillId="0" borderId="0" xfId="0" applyNumberFormat="1" applyFont="1"/>
    <xf numFmtId="0" fontId="151" fillId="22" borderId="1" xfId="0" applyFont="1" applyFill="1" applyBorder="1"/>
    <xf numFmtId="0" fontId="116" fillId="0" borderId="61" xfId="0" applyFont="1" applyBorder="1" applyAlignment="1">
      <alignment horizontal="center"/>
    </xf>
    <xf numFmtId="0" fontId="116" fillId="0" borderId="61" xfId="0" applyFont="1" applyBorder="1"/>
    <xf numFmtId="1" fontId="115" fillId="2" borderId="1" xfId="0" applyNumberFormat="1" applyFont="1" applyFill="1" applyBorder="1" applyAlignment="1">
      <alignment horizontal="right"/>
    </xf>
    <xf numFmtId="166" fontId="115" fillId="2" borderId="1" xfId="0" applyNumberFormat="1" applyFont="1" applyFill="1" applyBorder="1"/>
    <xf numFmtId="166" fontId="115" fillId="0" borderId="0" xfId="0" applyNumberFormat="1" applyFont="1"/>
    <xf numFmtId="175" fontId="115" fillId="0" borderId="0" xfId="0" applyNumberFormat="1" applyFont="1" applyAlignment="1">
      <alignment horizontal="center"/>
    </xf>
    <xf numFmtId="3" fontId="115" fillId="2" borderId="1" xfId="0" applyNumberFormat="1" applyFont="1" applyFill="1" applyBorder="1" applyAlignment="1">
      <alignment horizontal="right"/>
    </xf>
    <xf numFmtId="1" fontId="116" fillId="2" borderId="1" xfId="0" applyNumberFormat="1" applyFont="1" applyFill="1" applyBorder="1" applyAlignment="1">
      <alignment horizontal="right"/>
    </xf>
    <xf numFmtId="166" fontId="116" fillId="2" borderId="1" xfId="0" applyNumberFormat="1" applyFont="1" applyFill="1" applyBorder="1"/>
    <xf numFmtId="166" fontId="116" fillId="0" borderId="0" xfId="0" applyNumberFormat="1" applyFont="1"/>
    <xf numFmtId="175" fontId="116" fillId="0" borderId="0" xfId="0" applyNumberFormat="1" applyFont="1" applyAlignment="1">
      <alignment horizontal="center"/>
    </xf>
    <xf numFmtId="3" fontId="116" fillId="2" borderId="1" xfId="0" applyNumberFormat="1" applyFont="1" applyFill="1" applyBorder="1" applyAlignment="1">
      <alignment horizontal="right"/>
    </xf>
    <xf numFmtId="1" fontId="116" fillId="0" borderId="126" xfId="0" applyNumberFormat="1" applyFont="1" applyBorder="1" applyAlignment="1">
      <alignment horizontal="right"/>
    </xf>
    <xf numFmtId="166" fontId="116" fillId="0" borderId="126" xfId="0" applyNumberFormat="1" applyFont="1" applyBorder="1"/>
    <xf numFmtId="166" fontId="152" fillId="0" borderId="126" xfId="0" applyNumberFormat="1" applyFont="1" applyBorder="1"/>
    <xf numFmtId="175" fontId="116" fillId="0" borderId="126" xfId="0" applyNumberFormat="1" applyFont="1" applyBorder="1" applyAlignment="1">
      <alignment horizontal="center"/>
    </xf>
    <xf numFmtId="3" fontId="116" fillId="0" borderId="126" xfId="0" applyNumberFormat="1" applyFont="1" applyBorder="1" applyAlignment="1">
      <alignment horizontal="right"/>
    </xf>
    <xf numFmtId="166" fontId="115" fillId="0" borderId="126" xfId="0" applyNumberFormat="1" applyFont="1" applyBorder="1"/>
    <xf numFmtId="175" fontId="153" fillId="0" borderId="0" xfId="0" applyNumberFormat="1" applyFont="1" applyAlignment="1">
      <alignment horizontal="center" vertical="top"/>
    </xf>
    <xf numFmtId="1" fontId="116" fillId="0" borderId="0" xfId="0" applyNumberFormat="1" applyFont="1"/>
    <xf numFmtId="1" fontId="115" fillId="0" borderId="0" xfId="0" applyNumberFormat="1" applyFont="1" applyAlignment="1">
      <alignment horizontal="right"/>
    </xf>
    <xf numFmtId="3" fontId="115" fillId="0" borderId="0" xfId="0" applyNumberFormat="1" applyFont="1" applyAlignment="1">
      <alignment horizontal="right"/>
    </xf>
    <xf numFmtId="1" fontId="116" fillId="0" borderId="0" xfId="0" applyNumberFormat="1" applyFont="1" applyAlignment="1">
      <alignment horizontal="right"/>
    </xf>
    <xf numFmtId="3" fontId="116" fillId="0" borderId="0" xfId="0" applyNumberFormat="1" applyFont="1" applyAlignment="1">
      <alignment horizontal="right"/>
    </xf>
    <xf numFmtId="166" fontId="154" fillId="0" borderId="0" xfId="0" applyNumberFormat="1" applyFont="1" applyAlignment="1">
      <alignment horizontal="center" vertical="center"/>
    </xf>
    <xf numFmtId="0" fontId="116" fillId="0" borderId="61" xfId="0" applyFont="1" applyBorder="1" applyAlignment="1">
      <alignment horizontal="left"/>
    </xf>
    <xf numFmtId="166" fontId="116" fillId="0" borderId="0" xfId="0" applyNumberFormat="1" applyFont="1" applyAlignment="1">
      <alignment horizontal="center"/>
    </xf>
    <xf numFmtId="175" fontId="116" fillId="0" borderId="0" xfId="0" applyNumberFormat="1" applyFont="1" applyAlignment="1">
      <alignment horizontal="right"/>
    </xf>
    <xf numFmtId="0" fontId="116" fillId="0" borderId="130" xfId="0" applyFont="1" applyBorder="1"/>
    <xf numFmtId="0" fontId="116" fillId="0" borderId="63" xfId="0" applyFont="1" applyBorder="1"/>
    <xf numFmtId="0" fontId="116" fillId="0" borderId="131" xfId="0" applyFont="1" applyBorder="1"/>
    <xf numFmtId="1" fontId="116" fillId="0" borderId="0" xfId="0" applyNumberFormat="1" applyFont="1" applyAlignment="1">
      <alignment horizontal="center"/>
    </xf>
    <xf numFmtId="0" fontId="116" fillId="0" borderId="76" xfId="0" applyFont="1" applyBorder="1" applyAlignment="1">
      <alignment horizontal="center"/>
    </xf>
    <xf numFmtId="175" fontId="116" fillId="2" borderId="1" xfId="0" applyNumberFormat="1" applyFont="1" applyFill="1" applyBorder="1" applyAlignment="1">
      <alignment horizontal="center"/>
    </xf>
    <xf numFmtId="166" fontId="116" fillId="0" borderId="62" xfId="0" applyNumberFormat="1" applyFont="1" applyBorder="1"/>
    <xf numFmtId="175" fontId="116" fillId="0" borderId="62" xfId="0" applyNumberFormat="1" applyFont="1" applyBorder="1" applyAlignment="1">
      <alignment horizontal="center"/>
    </xf>
    <xf numFmtId="166" fontId="116" fillId="0" borderId="63" xfId="0" applyNumberFormat="1" applyFont="1" applyBorder="1"/>
    <xf numFmtId="175" fontId="116" fillId="0" borderId="63" xfId="0" applyNumberFormat="1" applyFont="1" applyBorder="1" applyAlignment="1">
      <alignment horizontal="center"/>
    </xf>
    <xf numFmtId="166" fontId="116" fillId="0" borderId="64" xfId="0" applyNumberFormat="1" applyFont="1" applyBorder="1"/>
    <xf numFmtId="175" fontId="116" fillId="0" borderId="64" xfId="0" applyNumberFormat="1" applyFont="1" applyBorder="1" applyAlignment="1">
      <alignment horizontal="center"/>
    </xf>
    <xf numFmtId="3" fontId="116" fillId="0" borderId="0" xfId="0" applyNumberFormat="1" applyFont="1"/>
    <xf numFmtId="175" fontId="116" fillId="0" borderId="0" xfId="0" applyNumberFormat="1" applyFont="1"/>
    <xf numFmtId="10" fontId="117" fillId="0" borderId="0" xfId="0" applyNumberFormat="1" applyFont="1"/>
    <xf numFmtId="0" fontId="155" fillId="0" borderId="0" xfId="0" applyFont="1"/>
    <xf numFmtId="10" fontId="155" fillId="0" borderId="0" xfId="0" applyNumberFormat="1" applyFont="1"/>
    <xf numFmtId="37" fontId="119" fillId="3" borderId="12" xfId="0" applyNumberFormat="1" applyFont="1" applyFill="1" applyBorder="1"/>
    <xf numFmtId="9" fontId="126" fillId="0" borderId="0" xfId="0" applyNumberFormat="1" applyFont="1"/>
    <xf numFmtId="180" fontId="126" fillId="0" borderId="0" xfId="0" applyNumberFormat="1" applyFont="1"/>
    <xf numFmtId="0" fontId="126" fillId="21" borderId="1" xfId="0" applyFont="1" applyFill="1" applyBorder="1"/>
    <xf numFmtId="39" fontId="126" fillId="0" borderId="14" xfId="0" applyNumberFormat="1" applyFont="1" applyBorder="1"/>
    <xf numFmtId="2" fontId="126" fillId="0" borderId="0" xfId="0" applyNumberFormat="1" applyFont="1"/>
    <xf numFmtId="176" fontId="126" fillId="0" borderId="0" xfId="0" applyNumberFormat="1" applyFont="1"/>
    <xf numFmtId="39" fontId="119" fillId="6" borderId="23" xfId="0" applyNumberFormat="1" applyFont="1" applyFill="1" applyBorder="1"/>
    <xf numFmtId="172" fontId="126" fillId="0" borderId="9" xfId="0" applyNumberFormat="1" applyFont="1" applyBorder="1"/>
    <xf numFmtId="39" fontId="119" fillId="0" borderId="0" xfId="0" applyNumberFormat="1" applyFont="1"/>
    <xf numFmtId="175" fontId="125" fillId="0" borderId="0" xfId="0" applyNumberFormat="1" applyFont="1"/>
    <xf numFmtId="3" fontId="125" fillId="0" borderId="0" xfId="0" applyNumberFormat="1" applyFont="1"/>
    <xf numFmtId="4" fontId="125" fillId="0" borderId="0" xfId="0" applyNumberFormat="1" applyFont="1"/>
    <xf numFmtId="9" fontId="125" fillId="0" borderId="0" xfId="0" applyNumberFormat="1" applyFont="1"/>
    <xf numFmtId="2" fontId="117" fillId="0" borderId="0" xfId="0" applyNumberFormat="1" applyFont="1"/>
    <xf numFmtId="0" fontId="129" fillId="10" borderId="52" xfId="0" applyFont="1" applyFill="1" applyBorder="1" applyAlignment="1">
      <alignment horizontal="center"/>
    </xf>
    <xf numFmtId="0" fontId="129" fillId="10" borderId="132" xfId="0" applyFont="1" applyFill="1" applyBorder="1" applyAlignment="1">
      <alignment horizontal="center"/>
    </xf>
    <xf numFmtId="3" fontId="117" fillId="0" borderId="0" xfId="0" applyNumberFormat="1" applyFont="1"/>
    <xf numFmtId="37" fontId="127" fillId="0" borderId="96" xfId="0" applyNumberFormat="1" applyFont="1" applyBorder="1"/>
    <xf numFmtId="37" fontId="129" fillId="3" borderId="133" xfId="0" applyNumberFormat="1" applyFont="1" applyFill="1" applyBorder="1"/>
    <xf numFmtId="37" fontId="127" fillId="0" borderId="134" xfId="0" applyNumberFormat="1" applyFont="1" applyBorder="1"/>
    <xf numFmtId="37" fontId="127" fillId="0" borderId="135" xfId="0" applyNumberFormat="1" applyFont="1" applyBorder="1"/>
    <xf numFmtId="37" fontId="129" fillId="3" borderId="136" xfId="0" applyNumberFormat="1" applyFont="1" applyFill="1" applyBorder="1"/>
    <xf numFmtId="37" fontId="129" fillId="3" borderId="137" xfId="0" applyNumberFormat="1" applyFont="1" applyFill="1" applyBorder="1"/>
    <xf numFmtId="4" fontId="117" fillId="0" borderId="0" xfId="0" applyNumberFormat="1" applyFont="1"/>
    <xf numFmtId="175" fontId="117" fillId="0" borderId="0" xfId="0" applyNumberFormat="1" applyFont="1"/>
    <xf numFmtId="37" fontId="127" fillId="0" borderId="138" xfId="0" applyNumberFormat="1" applyFont="1" applyBorder="1"/>
    <xf numFmtId="172" fontId="125" fillId="0" borderId="0" xfId="0" applyNumberFormat="1" applyFont="1"/>
    <xf numFmtId="0" fontId="127" fillId="0" borderId="134" xfId="0" applyFont="1" applyBorder="1"/>
    <xf numFmtId="0" fontId="127" fillId="0" borderId="55" xfId="0" applyFont="1" applyBorder="1"/>
    <xf numFmtId="37" fontId="127" fillId="6" borderId="139" xfId="0" applyNumberFormat="1" applyFont="1" applyFill="1" applyBorder="1"/>
    <xf numFmtId="39" fontId="127" fillId="0" borderId="56" xfId="0" applyNumberFormat="1" applyFont="1" applyBorder="1"/>
    <xf numFmtId="39" fontId="127" fillId="0" borderId="55" xfId="0" applyNumberFormat="1" applyFont="1" applyBorder="1"/>
    <xf numFmtId="0" fontId="120" fillId="0" borderId="56" xfId="0" applyFont="1" applyBorder="1"/>
    <xf numFmtId="0" fontId="120" fillId="0" borderId="55" xfId="0" applyFont="1" applyBorder="1"/>
    <xf numFmtId="37" fontId="129" fillId="3" borderId="140" xfId="0" applyNumberFormat="1" applyFont="1" applyFill="1" applyBorder="1"/>
    <xf numFmtId="0" fontId="125" fillId="0" borderId="134" xfId="0" applyFont="1" applyBorder="1"/>
    <xf numFmtId="37" fontId="129" fillId="3" borderId="141" xfId="0" applyNumberFormat="1" applyFont="1" applyFill="1" applyBorder="1"/>
    <xf numFmtId="37" fontId="156" fillId="0" borderId="0" xfId="0" applyNumberFormat="1" applyFont="1"/>
    <xf numFmtId="173" fontId="133" fillId="6" borderId="1" xfId="0" applyNumberFormat="1" applyFont="1" applyFill="1" applyBorder="1" applyAlignment="1">
      <alignment horizontal="right"/>
    </xf>
    <xf numFmtId="0" fontId="133" fillId="6" borderId="1" xfId="0" applyFont="1" applyFill="1" applyBorder="1"/>
    <xf numFmtId="9" fontId="125" fillId="6" borderId="1" xfId="0" applyNumberFormat="1" applyFont="1" applyFill="1" applyBorder="1"/>
    <xf numFmtId="0" fontId="132" fillId="6" borderId="1" xfId="0" applyFont="1" applyFill="1" applyBorder="1" applyAlignment="1">
      <alignment horizontal="center"/>
    </xf>
    <xf numFmtId="173" fontId="125" fillId="6" borderId="1" xfId="0" applyNumberFormat="1" applyFont="1" applyFill="1" applyBorder="1" applyAlignment="1">
      <alignment horizontal="center"/>
    </xf>
    <xf numFmtId="0" fontId="157" fillId="6" borderId="1" xfId="0" applyFont="1" applyFill="1" applyBorder="1" applyAlignment="1">
      <alignment horizontal="center"/>
    </xf>
    <xf numFmtId="0" fontId="158" fillId="0" borderId="0" xfId="0" applyFont="1" applyAlignment="1">
      <alignment horizontal="center" vertical="top"/>
    </xf>
    <xf numFmtId="169" fontId="159" fillId="0" borderId="0" xfId="0" applyNumberFormat="1" applyFont="1" applyAlignment="1">
      <alignment horizontal="center" vertical="top"/>
    </xf>
    <xf numFmtId="0" fontId="160" fillId="24" borderId="142" xfId="0" applyFont="1" applyFill="1" applyBorder="1" applyAlignment="1">
      <alignment horizontal="center" vertical="center" wrapText="1"/>
    </xf>
    <xf numFmtId="49" fontId="116" fillId="4" borderId="1" xfId="0" applyNumberFormat="1" applyFont="1" applyFill="1" applyBorder="1" applyAlignment="1">
      <alignment horizontal="left" vertical="center"/>
    </xf>
    <xf numFmtId="0" fontId="116" fillId="4" borderId="1" xfId="0" applyFont="1" applyFill="1" applyBorder="1"/>
    <xf numFmtId="181" fontId="116" fillId="4" borderId="1" xfId="0" applyNumberFormat="1" applyFont="1" applyFill="1" applyBorder="1" applyAlignment="1">
      <alignment horizontal="right" vertical="center"/>
    </xf>
    <xf numFmtId="1" fontId="116" fillId="0" borderId="0" xfId="0" applyNumberFormat="1" applyFont="1" applyAlignment="1">
      <alignment horizontal="left" vertical="top"/>
    </xf>
    <xf numFmtId="49" fontId="116" fillId="0" borderId="0" xfId="0" applyNumberFormat="1" applyFont="1" applyAlignment="1">
      <alignment horizontal="left" vertical="top"/>
    </xf>
    <xf numFmtId="4" fontId="116" fillId="0" borderId="0" xfId="0" applyNumberFormat="1" applyFont="1" applyAlignment="1">
      <alignment horizontal="center" vertical="top"/>
    </xf>
    <xf numFmtId="0" fontId="116" fillId="8" borderId="1" xfId="0" applyFont="1" applyFill="1" applyBorder="1" applyAlignment="1">
      <alignment horizontal="center"/>
    </xf>
    <xf numFmtId="178" fontId="117" fillId="0" borderId="0" xfId="0" applyNumberFormat="1" applyFont="1" applyAlignment="1">
      <alignment horizontal="center"/>
    </xf>
    <xf numFmtId="182" fontId="117" fillId="0" borderId="0" xfId="0" applyNumberFormat="1" applyFont="1" applyAlignment="1">
      <alignment horizontal="center"/>
    </xf>
    <xf numFmtId="169" fontId="116" fillId="0" borderId="0" xfId="0" applyNumberFormat="1" applyFont="1" applyAlignment="1">
      <alignment horizontal="center" vertical="top"/>
    </xf>
    <xf numFmtId="167" fontId="116" fillId="4" borderId="1" xfId="0" applyNumberFormat="1" applyFont="1" applyFill="1" applyBorder="1"/>
    <xf numFmtId="4" fontId="116" fillId="25" borderId="1" xfId="0" applyNumberFormat="1" applyFont="1" applyFill="1" applyBorder="1" applyAlignment="1">
      <alignment horizontal="center" vertical="top"/>
    </xf>
    <xf numFmtId="4" fontId="116" fillId="10" borderId="1" xfId="0" applyNumberFormat="1" applyFont="1" applyFill="1" applyBorder="1" applyAlignment="1">
      <alignment horizontal="center" vertical="top"/>
    </xf>
    <xf numFmtId="0" fontId="116" fillId="4" borderId="1" xfId="0" applyFont="1" applyFill="1" applyBorder="1" applyAlignment="1">
      <alignment horizontal="left" vertical="top"/>
    </xf>
    <xf numFmtId="167" fontId="116" fillId="4" borderId="1" xfId="0" applyNumberFormat="1" applyFont="1" applyFill="1" applyBorder="1" applyAlignment="1">
      <alignment horizontal="left" vertical="top"/>
    </xf>
    <xf numFmtId="1" fontId="116" fillId="4" borderId="1" xfId="0" applyNumberFormat="1" applyFont="1" applyFill="1" applyBorder="1" applyAlignment="1">
      <alignment horizontal="center" vertical="top"/>
    </xf>
    <xf numFmtId="1" fontId="116" fillId="4" borderId="1" xfId="0" applyNumberFormat="1" applyFont="1" applyFill="1" applyBorder="1" applyAlignment="1">
      <alignment horizontal="center"/>
    </xf>
    <xf numFmtId="1" fontId="116" fillId="4" borderId="1" xfId="0" applyNumberFormat="1" applyFont="1" applyFill="1" applyBorder="1" applyAlignment="1">
      <alignment horizontal="center" vertical="center"/>
    </xf>
    <xf numFmtId="49" fontId="116" fillId="26" borderId="1" xfId="0" applyNumberFormat="1" applyFont="1" applyFill="1" applyBorder="1" applyAlignment="1">
      <alignment horizontal="left" vertical="top"/>
    </xf>
    <xf numFmtId="4" fontId="116" fillId="26" borderId="1" xfId="0" applyNumberFormat="1" applyFont="1" applyFill="1" applyBorder="1" applyAlignment="1">
      <alignment horizontal="center" vertical="top"/>
    </xf>
    <xf numFmtId="4" fontId="116" fillId="4" borderId="1" xfId="0" applyNumberFormat="1" applyFont="1" applyFill="1" applyBorder="1"/>
    <xf numFmtId="0" fontId="161" fillId="8" borderId="1" xfId="0" applyFont="1" applyFill="1" applyBorder="1" applyAlignment="1">
      <alignment horizontal="center"/>
    </xf>
    <xf numFmtId="4" fontId="116" fillId="4" borderId="1" xfId="0" applyNumberFormat="1" applyFont="1" applyFill="1" applyBorder="1" applyAlignment="1">
      <alignment horizontal="left" vertical="top"/>
    </xf>
    <xf numFmtId="169" fontId="117" fillId="0" borderId="0" xfId="0" applyNumberFormat="1" applyFont="1"/>
    <xf numFmtId="0" fontId="160" fillId="27" borderId="1" xfId="0" applyFont="1" applyFill="1" applyBorder="1" applyAlignment="1">
      <alignment horizontal="left" vertical="top"/>
    </xf>
    <xf numFmtId="0" fontId="117" fillId="27" borderId="1" xfId="0" applyFont="1" applyFill="1" applyBorder="1" applyAlignment="1">
      <alignment horizontal="center"/>
    </xf>
    <xf numFmtId="0" fontId="115" fillId="7" borderId="1" xfId="0" applyFont="1" applyFill="1" applyBorder="1"/>
    <xf numFmtId="0" fontId="162" fillId="23" borderId="143" xfId="0" applyFont="1" applyFill="1" applyBorder="1" applyAlignment="1">
      <alignment horizontal="left" vertical="top"/>
    </xf>
    <xf numFmtId="49" fontId="163" fillId="23" borderId="143" xfId="0" applyNumberFormat="1" applyFont="1" applyFill="1" applyBorder="1" applyAlignment="1">
      <alignment horizontal="left" vertical="top"/>
    </xf>
    <xf numFmtId="0" fontId="163" fillId="23" borderId="1" xfId="0" applyFont="1" applyFill="1" applyBorder="1" applyAlignment="1">
      <alignment horizontal="left" vertical="top"/>
    </xf>
    <xf numFmtId="0" fontId="116" fillId="23" borderId="1" xfId="0" applyFont="1" applyFill="1" applyBorder="1" applyAlignment="1">
      <alignment horizontal="center"/>
    </xf>
    <xf numFmtId="0" fontId="116" fillId="23" borderId="1" xfId="0" applyFont="1" applyFill="1" applyBorder="1"/>
    <xf numFmtId="49" fontId="116" fillId="23" borderId="1" xfId="0" applyNumberFormat="1" applyFont="1" applyFill="1" applyBorder="1" applyAlignment="1">
      <alignment horizontal="center"/>
    </xf>
    <xf numFmtId="0" fontId="116" fillId="7" borderId="1" xfId="0" applyFont="1" applyFill="1" applyBorder="1"/>
    <xf numFmtId="0" fontId="164" fillId="0" borderId="0" xfId="0" applyFont="1"/>
    <xf numFmtId="0" fontId="163" fillId="23" borderId="143" xfId="0" applyFont="1" applyFill="1" applyBorder="1" applyAlignment="1">
      <alignment horizontal="left" vertical="top"/>
    </xf>
    <xf numFmtId="0" fontId="117" fillId="23" borderId="1" xfId="0" applyFont="1" applyFill="1" applyBorder="1" applyAlignment="1">
      <alignment horizontal="center"/>
    </xf>
    <xf numFmtId="49" fontId="116" fillId="4" borderId="143" xfId="0" applyNumberFormat="1" applyFont="1" applyFill="1" applyBorder="1" applyAlignment="1">
      <alignment horizontal="left" vertical="center"/>
    </xf>
    <xf numFmtId="39" fontId="163" fillId="23" borderId="143" xfId="0" applyNumberFormat="1" applyFont="1" applyFill="1" applyBorder="1" applyAlignment="1">
      <alignment horizontal="left" vertical="top"/>
    </xf>
    <xf numFmtId="1" fontId="162" fillId="23" borderId="143" xfId="0" applyNumberFormat="1" applyFont="1" applyFill="1" applyBorder="1" applyAlignment="1">
      <alignment horizontal="left" vertical="top"/>
    </xf>
    <xf numFmtId="49" fontId="162" fillId="23" borderId="143" xfId="0" applyNumberFormat="1" applyFont="1" applyFill="1" applyBorder="1" applyAlignment="1">
      <alignment horizontal="left" vertical="top"/>
    </xf>
    <xf numFmtId="0" fontId="162" fillId="23" borderId="144" xfId="0" applyFont="1" applyFill="1" applyBorder="1" applyAlignment="1">
      <alignment horizontal="left" vertical="top"/>
    </xf>
    <xf numFmtId="49" fontId="163" fillId="23" borderId="144" xfId="0" applyNumberFormat="1" applyFont="1" applyFill="1" applyBorder="1" applyAlignment="1">
      <alignment horizontal="left" vertical="top"/>
    </xf>
    <xf numFmtId="0" fontId="163" fillId="23" borderId="142" xfId="0" applyFont="1" applyFill="1" applyBorder="1" applyAlignment="1">
      <alignment horizontal="left" vertical="top"/>
    </xf>
    <xf numFmtId="0" fontId="163" fillId="23" borderId="145" xfId="0" applyFont="1" applyFill="1" applyBorder="1" applyAlignment="1">
      <alignment horizontal="left" vertical="top"/>
    </xf>
    <xf numFmtId="0" fontId="163" fillId="23" borderId="144" xfId="0" applyFont="1" applyFill="1" applyBorder="1" applyAlignment="1">
      <alignment horizontal="left" vertical="top"/>
    </xf>
    <xf numFmtId="49" fontId="163" fillId="26" borderId="143" xfId="0" applyNumberFormat="1" applyFont="1" applyFill="1" applyBorder="1" applyAlignment="1">
      <alignment horizontal="left" vertical="top"/>
    </xf>
    <xf numFmtId="49" fontId="163" fillId="23" borderId="1" xfId="0" applyNumberFormat="1" applyFont="1" applyFill="1" applyBorder="1" applyAlignment="1">
      <alignment horizontal="left" vertical="top"/>
    </xf>
    <xf numFmtId="49" fontId="162" fillId="23" borderId="1" xfId="0" applyNumberFormat="1" applyFont="1" applyFill="1" applyBorder="1" applyAlignment="1">
      <alignment horizontal="left" vertical="top"/>
    </xf>
    <xf numFmtId="49" fontId="116" fillId="10" borderId="1" xfId="0" applyNumberFormat="1" applyFont="1" applyFill="1" applyBorder="1" applyAlignment="1">
      <alignment horizontal="left" vertical="top"/>
    </xf>
    <xf numFmtId="39" fontId="163" fillId="23" borderId="146" xfId="0" applyNumberFormat="1" applyFont="1" applyFill="1" applyBorder="1" applyAlignment="1">
      <alignment horizontal="left" vertical="top"/>
    </xf>
    <xf numFmtId="39" fontId="163" fillId="23" borderId="144" xfId="0" applyNumberFormat="1" applyFont="1" applyFill="1" applyBorder="1" applyAlignment="1">
      <alignment horizontal="left" vertical="top"/>
    </xf>
    <xf numFmtId="0" fontId="162" fillId="23" borderId="1" xfId="0" applyFont="1" applyFill="1" applyBorder="1" applyAlignment="1">
      <alignment horizontal="left" vertical="top"/>
    </xf>
    <xf numFmtId="39" fontId="163" fillId="23" borderId="1" xfId="0" applyNumberFormat="1" applyFont="1" applyFill="1" applyBorder="1" applyAlignment="1">
      <alignment horizontal="left" vertical="top"/>
    </xf>
    <xf numFmtId="0" fontId="167" fillId="23" borderId="143" xfId="0" applyFont="1" applyFill="1" applyBorder="1" applyAlignment="1">
      <alignment horizontal="left" vertical="top"/>
    </xf>
    <xf numFmtId="0" fontId="163" fillId="23" borderId="146" xfId="0" applyFont="1" applyFill="1" applyBorder="1" applyAlignment="1">
      <alignment horizontal="left" vertical="top"/>
    </xf>
    <xf numFmtId="0" fontId="168" fillId="28" borderId="143" xfId="0" applyFont="1" applyFill="1" applyBorder="1" applyAlignment="1">
      <alignment horizontal="left" vertical="top"/>
    </xf>
    <xf numFmtId="0" fontId="163" fillId="28" borderId="143" xfId="0" applyFont="1" applyFill="1" applyBorder="1" applyAlignment="1">
      <alignment horizontal="left" vertical="top"/>
    </xf>
    <xf numFmtId="0" fontId="162" fillId="4" borderId="143" xfId="0" applyFont="1" applyFill="1" applyBorder="1" applyAlignment="1">
      <alignment horizontal="left" vertical="top"/>
    </xf>
    <xf numFmtId="0" fontId="163" fillId="4" borderId="143" xfId="0" applyFont="1" applyFill="1" applyBorder="1" applyAlignment="1">
      <alignment horizontal="left" vertical="top"/>
    </xf>
    <xf numFmtId="0" fontId="163" fillId="4" borderId="1" xfId="0" applyFont="1" applyFill="1" applyBorder="1" applyAlignment="1">
      <alignment horizontal="left" vertical="top"/>
    </xf>
    <xf numFmtId="169" fontId="116" fillId="4" borderId="1" xfId="0" applyNumberFormat="1" applyFont="1" applyFill="1" applyBorder="1" applyAlignment="1">
      <alignment horizontal="center" vertical="top"/>
    </xf>
    <xf numFmtId="169" fontId="116" fillId="26" borderId="1" xfId="0" applyNumberFormat="1" applyFont="1" applyFill="1" applyBorder="1" applyAlignment="1">
      <alignment horizontal="center" vertical="top"/>
    </xf>
    <xf numFmtId="4" fontId="116" fillId="4" borderId="1" xfId="0" applyNumberFormat="1" applyFont="1" applyFill="1" applyBorder="1" applyAlignment="1">
      <alignment horizontal="center" vertical="top"/>
    </xf>
    <xf numFmtId="49" fontId="116" fillId="0" borderId="0" xfId="0" applyNumberFormat="1" applyFont="1" applyAlignment="1">
      <alignment horizontal="left" vertical="center"/>
    </xf>
    <xf numFmtId="181" fontId="116" fillId="0" borderId="0" xfId="0" applyNumberFormat="1" applyFont="1" applyAlignment="1">
      <alignment horizontal="right" vertical="center"/>
    </xf>
    <xf numFmtId="0" fontId="116" fillId="0" borderId="0" xfId="0" applyFont="1" applyAlignment="1">
      <alignment horizontal="left" vertical="top"/>
    </xf>
    <xf numFmtId="183" fontId="116" fillId="0" borderId="0" xfId="0" applyNumberFormat="1" applyFont="1" applyAlignment="1">
      <alignment horizontal="right" vertical="top"/>
    </xf>
    <xf numFmtId="1" fontId="162" fillId="23" borderId="147" xfId="0" applyNumberFormat="1" applyFont="1" applyFill="1" applyBorder="1" applyAlignment="1">
      <alignment horizontal="left" vertical="top"/>
    </xf>
    <xf numFmtId="49" fontId="163" fillId="23" borderId="147" xfId="0" applyNumberFormat="1" applyFont="1" applyFill="1" applyBorder="1" applyAlignment="1">
      <alignment horizontal="left" vertical="top"/>
    </xf>
    <xf numFmtId="49" fontId="162" fillId="23" borderId="147" xfId="0" applyNumberFormat="1" applyFont="1" applyFill="1" applyBorder="1" applyAlignment="1">
      <alignment horizontal="left" vertical="top"/>
    </xf>
    <xf numFmtId="1" fontId="162" fillId="4" borderId="143" xfId="0" applyNumberFormat="1" applyFont="1" applyFill="1" applyBorder="1" applyAlignment="1">
      <alignment horizontal="left" vertical="top"/>
    </xf>
    <xf numFmtId="0" fontId="163" fillId="23" borderId="147" xfId="0" applyFont="1" applyFill="1" applyBorder="1" applyAlignment="1">
      <alignment horizontal="left" vertical="top"/>
    </xf>
    <xf numFmtId="0" fontId="163" fillId="23" borderId="148" xfId="0" applyFont="1" applyFill="1" applyBorder="1" applyAlignment="1">
      <alignment horizontal="left" vertical="top"/>
    </xf>
    <xf numFmtId="0" fontId="163" fillId="23" borderId="149" xfId="0" applyFont="1" applyFill="1" applyBorder="1" applyAlignment="1">
      <alignment horizontal="left" vertical="top"/>
    </xf>
    <xf numFmtId="0" fontId="162" fillId="23" borderId="150" xfId="0" applyFont="1" applyFill="1" applyBorder="1" applyAlignment="1">
      <alignment horizontal="left" vertical="top"/>
    </xf>
    <xf numFmtId="39" fontId="163" fillId="23" borderId="149" xfId="0" applyNumberFormat="1" applyFont="1" applyFill="1" applyBorder="1" applyAlignment="1">
      <alignment horizontal="left" vertical="top"/>
    </xf>
    <xf numFmtId="39" fontId="163" fillId="23" borderId="147" xfId="0" applyNumberFormat="1" applyFont="1" applyFill="1" applyBorder="1" applyAlignment="1">
      <alignment horizontal="left" vertical="top"/>
    </xf>
    <xf numFmtId="0" fontId="162" fillId="23" borderId="147" xfId="0" applyFont="1" applyFill="1" applyBorder="1" applyAlignment="1">
      <alignment horizontal="left" vertical="top"/>
    </xf>
    <xf numFmtId="0" fontId="169" fillId="29" borderId="151" xfId="0" applyFont="1" applyFill="1" applyBorder="1"/>
    <xf numFmtId="0" fontId="169" fillId="29" borderId="152" xfId="0" applyFont="1" applyFill="1" applyBorder="1"/>
    <xf numFmtId="0" fontId="169" fillId="29" borderId="153" xfId="0" applyFont="1" applyFill="1" applyBorder="1"/>
    <xf numFmtId="3" fontId="170" fillId="29" borderId="154" xfId="0" applyNumberFormat="1" applyFont="1" applyFill="1" applyBorder="1" applyAlignment="1">
      <alignment horizontal="center"/>
    </xf>
    <xf numFmtId="3" fontId="170" fillId="29" borderId="0" xfId="0" applyNumberFormat="1" applyFont="1" applyFill="1" applyAlignment="1">
      <alignment horizontal="center"/>
    </xf>
    <xf numFmtId="3" fontId="170" fillId="29" borderId="155" xfId="0" applyNumberFormat="1" applyFont="1" applyFill="1" applyBorder="1" applyAlignment="1">
      <alignment horizontal="center"/>
    </xf>
    <xf numFmtId="3" fontId="170" fillId="29" borderId="156" xfId="0" applyNumberFormat="1" applyFont="1" applyFill="1" applyBorder="1" applyAlignment="1">
      <alignment horizontal="center"/>
    </xf>
    <xf numFmtId="3" fontId="170" fillId="29" borderId="157" xfId="0" applyNumberFormat="1" applyFont="1" applyFill="1" applyBorder="1" applyAlignment="1">
      <alignment horizontal="center"/>
    </xf>
    <xf numFmtId="3" fontId="170" fillId="29" borderId="158" xfId="0" applyNumberFormat="1" applyFont="1" applyFill="1" applyBorder="1" applyAlignment="1">
      <alignment horizontal="right"/>
    </xf>
    <xf numFmtId="3" fontId="170" fillId="29" borderId="158" xfId="0" applyNumberFormat="1" applyFont="1" applyFill="1" applyBorder="1" applyAlignment="1" applyProtection="1">
      <alignment horizontal="right"/>
      <protection locked="0"/>
    </xf>
    <xf numFmtId="3" fontId="170" fillId="29" borderId="154" xfId="0" applyNumberFormat="1" applyFont="1" applyFill="1" applyBorder="1"/>
    <xf numFmtId="3" fontId="170" fillId="29" borderId="0" xfId="0" applyNumberFormat="1" applyFont="1" applyFill="1"/>
    <xf numFmtId="3" fontId="170" fillId="29" borderId="155" xfId="0" applyNumberFormat="1" applyFont="1" applyFill="1" applyBorder="1"/>
    <xf numFmtId="3" fontId="170" fillId="29" borderId="154" xfId="0" applyNumberFormat="1" applyFont="1" applyFill="1" applyBorder="1" applyProtection="1">
      <protection locked="0"/>
    </xf>
    <xf numFmtId="3" fontId="170" fillId="29" borderId="155" xfId="0" applyNumberFormat="1" applyFont="1" applyFill="1" applyBorder="1" applyProtection="1">
      <protection locked="0"/>
    </xf>
    <xf numFmtId="3" fontId="169" fillId="29" borderId="159" xfId="0" applyNumberFormat="1" applyFont="1" applyFill="1" applyBorder="1"/>
    <xf numFmtId="3" fontId="169" fillId="29" borderId="160" xfId="0" applyNumberFormat="1" applyFont="1" applyFill="1" applyBorder="1"/>
    <xf numFmtId="3" fontId="169" fillId="29" borderId="161" xfId="0" applyNumberFormat="1" applyFont="1" applyFill="1" applyBorder="1"/>
    <xf numFmtId="0" fontId="170" fillId="29" borderId="154" xfId="0" applyFont="1" applyFill="1" applyBorder="1"/>
    <xf numFmtId="0" fontId="170" fillId="29" borderId="155" xfId="0" applyFont="1" applyFill="1" applyBorder="1"/>
    <xf numFmtId="3" fontId="170" fillId="29" borderId="162" xfId="0" applyNumberFormat="1" applyFont="1" applyFill="1" applyBorder="1"/>
    <xf numFmtId="3" fontId="170" fillId="29" borderId="163" xfId="0" applyNumberFormat="1" applyFont="1" applyFill="1" applyBorder="1"/>
    <xf numFmtId="3" fontId="170" fillId="29" borderId="164" xfId="0" applyNumberFormat="1" applyFont="1" applyFill="1" applyBorder="1"/>
    <xf numFmtId="3" fontId="170" fillId="29" borderId="162" xfId="0" applyNumberFormat="1" applyFont="1" applyFill="1" applyBorder="1" applyProtection="1">
      <protection locked="0"/>
    </xf>
    <xf numFmtId="3" fontId="170" fillId="29" borderId="164" xfId="0" applyNumberFormat="1" applyFont="1" applyFill="1" applyBorder="1" applyProtection="1">
      <protection locked="0"/>
    </xf>
    <xf numFmtId="3" fontId="170" fillId="29" borderId="159" xfId="0" applyNumberFormat="1" applyFont="1" applyFill="1" applyBorder="1"/>
    <xf numFmtId="3" fontId="170" fillId="29" borderId="160" xfId="0" applyNumberFormat="1" applyFont="1" applyFill="1" applyBorder="1"/>
    <xf numFmtId="3" fontId="170" fillId="29" borderId="161" xfId="0" applyNumberFormat="1" applyFont="1" applyFill="1" applyBorder="1"/>
    <xf numFmtId="0" fontId="170" fillId="29" borderId="0" xfId="0" applyFont="1" applyFill="1"/>
    <xf numFmtId="37" fontId="170" fillId="29" borderId="155" xfId="0" applyNumberFormat="1" applyFont="1" applyFill="1" applyBorder="1"/>
    <xf numFmtId="37" fontId="169" fillId="30" borderId="165" xfId="0" applyNumberFormat="1" applyFont="1" applyFill="1" applyBorder="1"/>
    <xf numFmtId="174" fontId="169" fillId="30" borderId="166" xfId="0" applyNumberFormat="1" applyFont="1" applyFill="1" applyBorder="1"/>
    <xf numFmtId="37" fontId="169" fillId="30" borderId="167" xfId="0" applyNumberFormat="1" applyFont="1" applyFill="1" applyBorder="1"/>
    <xf numFmtId="0" fontId="169" fillId="30" borderId="168" xfId="0" applyFont="1" applyFill="1" applyBorder="1"/>
    <xf numFmtId="0" fontId="169" fillId="30" borderId="169" xfId="0" applyFont="1" applyFill="1" applyBorder="1"/>
    <xf numFmtId="0" fontId="169" fillId="30" borderId="170" xfId="0" applyFont="1" applyFill="1" applyBorder="1"/>
    <xf numFmtId="0" fontId="169" fillId="31" borderId="154" xfId="0" applyFont="1" applyFill="1" applyBorder="1"/>
    <xf numFmtId="0" fontId="169" fillId="31" borderId="0" xfId="0" applyFont="1" applyFill="1"/>
    <xf numFmtId="0" fontId="169" fillId="31" borderId="155" xfId="0" applyFont="1" applyFill="1" applyBorder="1"/>
    <xf numFmtId="0" fontId="170" fillId="29" borderId="0" xfId="0" applyFont="1" applyFill="1" applyAlignment="1">
      <alignment horizontal="center"/>
    </xf>
    <xf numFmtId="9" fontId="170" fillId="29" borderId="154" xfId="2" applyFont="1" applyFill="1" applyBorder="1"/>
    <xf numFmtId="37" fontId="170" fillId="29" borderId="0" xfId="0" applyNumberFormat="1" applyFont="1" applyFill="1"/>
    <xf numFmtId="37" fontId="170" fillId="29" borderId="155" xfId="0" applyNumberFormat="1" applyFont="1" applyFill="1" applyBorder="1" applyProtection="1">
      <protection locked="0"/>
    </xf>
    <xf numFmtId="9" fontId="170" fillId="29" borderId="156" xfId="2" applyFont="1" applyFill="1" applyBorder="1"/>
    <xf numFmtId="37" fontId="170" fillId="29" borderId="157" xfId="0" applyNumberFormat="1" applyFont="1" applyFill="1" applyBorder="1"/>
    <xf numFmtId="37" fontId="170" fillId="29" borderId="158" xfId="0" applyNumberFormat="1" applyFont="1" applyFill="1" applyBorder="1"/>
    <xf numFmtId="37" fontId="170" fillId="29" borderId="158" xfId="0" applyNumberFormat="1" applyFont="1" applyFill="1" applyBorder="1" applyProtection="1">
      <protection locked="0"/>
    </xf>
    <xf numFmtId="0" fontId="170" fillId="29" borderId="156" xfId="0" applyFont="1" applyFill="1" applyBorder="1"/>
    <xf numFmtId="0" fontId="169" fillId="30" borderId="171" xfId="0" applyFont="1" applyFill="1" applyBorder="1" applyAlignment="1">
      <alignment horizontal="center"/>
    </xf>
    <xf numFmtId="175" fontId="169" fillId="30" borderId="172" xfId="0" applyNumberFormat="1" applyFont="1" applyFill="1" applyBorder="1"/>
    <xf numFmtId="37" fontId="169" fillId="30" borderId="173" xfId="0" applyNumberFormat="1" applyFont="1" applyFill="1" applyBorder="1"/>
    <xf numFmtId="0" fontId="170" fillId="29" borderId="159" xfId="0" applyFont="1" applyFill="1" applyBorder="1"/>
    <xf numFmtId="0" fontId="170" fillId="29" borderId="160" xfId="0" applyFont="1" applyFill="1" applyBorder="1"/>
    <xf numFmtId="37" fontId="170" fillId="29" borderId="161" xfId="0" applyNumberFormat="1" applyFont="1" applyFill="1" applyBorder="1"/>
    <xf numFmtId="37" fontId="170" fillId="29" borderId="161" xfId="0" applyNumberFormat="1" applyFont="1" applyFill="1" applyBorder="1" applyProtection="1">
      <protection locked="0"/>
    </xf>
    <xf numFmtId="0" fontId="170" fillId="29" borderId="157" xfId="0" applyFont="1" applyFill="1" applyBorder="1"/>
    <xf numFmtId="0" fontId="170" fillId="29" borderId="162" xfId="0" applyFont="1" applyFill="1" applyBorder="1"/>
    <xf numFmtId="0" fontId="170" fillId="29" borderId="163" xfId="0" applyFont="1" applyFill="1" applyBorder="1"/>
    <xf numFmtId="37" fontId="170" fillId="29" borderId="164" xfId="0" applyNumberFormat="1" applyFont="1" applyFill="1" applyBorder="1"/>
    <xf numFmtId="37" fontId="170" fillId="29" borderId="164" xfId="0" applyNumberFormat="1" applyFont="1" applyFill="1" applyBorder="1" applyProtection="1">
      <protection locked="0"/>
    </xf>
    <xf numFmtId="37" fontId="169" fillId="30" borderId="174" xfId="0" applyNumberFormat="1" applyFont="1" applyFill="1" applyBorder="1"/>
    <xf numFmtId="0" fontId="169" fillId="30" borderId="175" xfId="0" applyFont="1" applyFill="1" applyBorder="1" applyAlignment="1">
      <alignment horizontal="center"/>
    </xf>
    <xf numFmtId="175" fontId="169" fillId="30" borderId="176" xfId="0" applyNumberFormat="1" applyFont="1" applyFill="1" applyBorder="1"/>
    <xf numFmtId="37" fontId="169" fillId="30" borderId="177" xfId="0" applyNumberFormat="1" applyFont="1" applyFill="1" applyBorder="1"/>
    <xf numFmtId="0" fontId="170" fillId="31" borderId="156" xfId="0" applyFont="1" applyFill="1" applyBorder="1"/>
    <xf numFmtId="0" fontId="170" fillId="31" borderId="157" xfId="0" applyFont="1" applyFill="1" applyBorder="1"/>
    <xf numFmtId="37" fontId="169" fillId="31" borderId="155" xfId="0" applyNumberFormat="1" applyFont="1" applyFill="1" applyBorder="1"/>
    <xf numFmtId="0" fontId="170" fillId="30" borderId="178" xfId="0" applyFont="1" applyFill="1" applyBorder="1"/>
    <xf numFmtId="0" fontId="170" fillId="30" borderId="179" xfId="0" applyFont="1" applyFill="1" applyBorder="1"/>
    <xf numFmtId="37" fontId="169" fillId="30" borderId="180" xfId="0" applyNumberFormat="1" applyFont="1" applyFill="1" applyBorder="1"/>
    <xf numFmtId="0" fontId="171" fillId="29" borderId="0" xfId="0" applyFont="1" applyFill="1"/>
    <xf numFmtId="37" fontId="171" fillId="29" borderId="0" xfId="0" applyNumberFormat="1" applyFont="1" applyFill="1"/>
    <xf numFmtId="0" fontId="172" fillId="29" borderId="0" xfId="0" applyFont="1" applyFill="1"/>
    <xf numFmtId="0" fontId="173" fillId="29" borderId="0" xfId="0" applyFont="1" applyFill="1"/>
    <xf numFmtId="0" fontId="170" fillId="29" borderId="154" xfId="0" applyFont="1" applyFill="1" applyBorder="1" applyAlignment="1">
      <alignment horizontal="center"/>
    </xf>
    <xf numFmtId="0" fontId="170" fillId="29" borderId="155" xfId="0" applyFont="1" applyFill="1" applyBorder="1" applyAlignment="1">
      <alignment horizontal="center"/>
    </xf>
    <xf numFmtId="3" fontId="170" fillId="29" borderId="158" xfId="0" applyNumberFormat="1" applyFont="1" applyFill="1" applyBorder="1" applyAlignment="1" applyProtection="1">
      <alignment horizontal="center"/>
      <protection locked="0"/>
    </xf>
    <xf numFmtId="3" fontId="170" fillId="29" borderId="156" xfId="0" applyNumberFormat="1" applyFont="1" applyFill="1" applyBorder="1"/>
    <xf numFmtId="3" fontId="170" fillId="29" borderId="157" xfId="0" applyNumberFormat="1" applyFont="1" applyFill="1" applyBorder="1"/>
    <xf numFmtId="3" fontId="170" fillId="29" borderId="158" xfId="0" applyNumberFormat="1" applyFont="1" applyFill="1" applyBorder="1"/>
    <xf numFmtId="0" fontId="169" fillId="29" borderId="154" xfId="0" applyFont="1" applyFill="1" applyBorder="1"/>
    <xf numFmtId="0" fontId="169" fillId="29" borderId="0" xfId="0" applyFont="1" applyFill="1"/>
    <xf numFmtId="0" fontId="169" fillId="29" borderId="155" xfId="0" applyFont="1" applyFill="1" applyBorder="1"/>
    <xf numFmtId="0" fontId="170" fillId="29" borderId="154" xfId="0" applyFont="1" applyFill="1" applyBorder="1" applyAlignment="1">
      <alignment horizontal="right"/>
    </xf>
    <xf numFmtId="175" fontId="170" fillId="29" borderId="0" xfId="0" applyNumberFormat="1" applyFont="1" applyFill="1"/>
    <xf numFmtId="0" fontId="169" fillId="30" borderId="181" xfId="0" applyFont="1" applyFill="1" applyBorder="1" applyAlignment="1">
      <alignment horizontal="center"/>
    </xf>
    <xf numFmtId="175" fontId="169" fillId="30" borderId="182" xfId="0" applyNumberFormat="1" applyFont="1" applyFill="1" applyBorder="1"/>
    <xf numFmtId="0" fontId="169" fillId="30" borderId="178" xfId="0" applyFont="1" applyFill="1" applyBorder="1"/>
    <xf numFmtId="0" fontId="169" fillId="30" borderId="179" xfId="0" applyFont="1" applyFill="1" applyBorder="1"/>
    <xf numFmtId="37" fontId="172" fillId="29" borderId="0" xfId="0" applyNumberFormat="1" applyFont="1" applyFill="1"/>
    <xf numFmtId="37" fontId="170" fillId="29" borderId="154" xfId="0" applyNumberFormat="1" applyFont="1" applyFill="1" applyBorder="1"/>
    <xf numFmtId="37" fontId="170" fillId="29" borderId="154" xfId="0" applyNumberFormat="1" applyFont="1" applyFill="1" applyBorder="1" applyProtection="1">
      <protection locked="0"/>
    </xf>
    <xf numFmtId="37" fontId="170" fillId="29" borderId="0" xfId="0" applyNumberFormat="1" applyFont="1" applyFill="1" applyProtection="1">
      <protection locked="0"/>
    </xf>
    <xf numFmtId="175" fontId="170" fillId="29" borderId="155" xfId="0" applyNumberFormat="1" applyFont="1" applyFill="1" applyBorder="1"/>
    <xf numFmtId="37" fontId="170" fillId="29" borderId="156" xfId="0" applyNumberFormat="1" applyFont="1" applyFill="1" applyBorder="1"/>
    <xf numFmtId="2" fontId="170" fillId="29" borderId="157" xfId="0" applyNumberFormat="1" applyFont="1" applyFill="1" applyBorder="1"/>
    <xf numFmtId="175" fontId="170" fillId="29" borderId="158" xfId="0" applyNumberFormat="1" applyFont="1" applyFill="1" applyBorder="1"/>
    <xf numFmtId="37" fontId="170" fillId="29" borderId="159" xfId="0" applyNumberFormat="1" applyFont="1" applyFill="1" applyBorder="1"/>
    <xf numFmtId="37" fontId="170" fillId="29" borderId="160" xfId="0" applyNumberFormat="1" applyFont="1" applyFill="1" applyBorder="1"/>
    <xf numFmtId="37" fontId="170" fillId="29" borderId="159" xfId="0" applyNumberFormat="1" applyFont="1" applyFill="1" applyBorder="1" applyProtection="1">
      <protection locked="0"/>
    </xf>
    <xf numFmtId="37" fontId="170" fillId="29" borderId="160" xfId="0" applyNumberFormat="1" applyFont="1" applyFill="1" applyBorder="1" applyProtection="1">
      <protection locked="0"/>
    </xf>
    <xf numFmtId="174" fontId="170" fillId="29" borderId="0" xfId="0" applyNumberFormat="1" applyFont="1" applyFill="1"/>
    <xf numFmtId="176" fontId="170" fillId="29" borderId="0" xfId="0" applyNumberFormat="1" applyFont="1" applyFill="1"/>
    <xf numFmtId="37" fontId="169" fillId="29" borderId="154" xfId="0" applyNumberFormat="1" applyFont="1" applyFill="1" applyBorder="1"/>
    <xf numFmtId="174" fontId="169" fillId="29" borderId="0" xfId="0" applyNumberFormat="1" applyFont="1" applyFill="1"/>
    <xf numFmtId="37" fontId="169" fillId="29" borderId="156" xfId="0" applyNumberFormat="1" applyFont="1" applyFill="1" applyBorder="1"/>
    <xf numFmtId="176" fontId="170" fillId="29" borderId="157" xfId="0" applyNumberFormat="1" applyFont="1" applyFill="1" applyBorder="1"/>
    <xf numFmtId="37" fontId="169" fillId="31" borderId="165" xfId="0" applyNumberFormat="1" applyFont="1" applyFill="1" applyBorder="1"/>
    <xf numFmtId="37" fontId="169" fillId="31" borderId="166" xfId="0" applyNumberFormat="1" applyFont="1" applyFill="1" applyBorder="1"/>
    <xf numFmtId="37" fontId="169" fillId="31" borderId="167" xfId="0" applyNumberFormat="1" applyFont="1" applyFill="1" applyBorder="1"/>
    <xf numFmtId="37" fontId="169" fillId="31" borderId="156" xfId="0" applyNumberFormat="1" applyFont="1" applyFill="1" applyBorder="1"/>
    <xf numFmtId="39" fontId="169" fillId="31" borderId="157" xfId="0" applyNumberFormat="1" applyFont="1" applyFill="1" applyBorder="1"/>
    <xf numFmtId="175" fontId="169" fillId="29" borderId="155" xfId="0" applyNumberFormat="1" applyFont="1" applyFill="1" applyBorder="1"/>
    <xf numFmtId="37" fontId="170" fillId="29" borderId="183" xfId="0" applyNumberFormat="1" applyFont="1" applyFill="1" applyBorder="1"/>
    <xf numFmtId="174" fontId="170" fillId="29" borderId="0" xfId="0" applyNumberFormat="1" applyFont="1" applyFill="1" applyProtection="1">
      <protection locked="0"/>
    </xf>
    <xf numFmtId="174" fontId="170" fillId="29" borderId="160" xfId="0" applyNumberFormat="1" applyFont="1" applyFill="1" applyBorder="1"/>
    <xf numFmtId="174" fontId="170" fillId="29" borderId="160" xfId="0" applyNumberFormat="1" applyFont="1" applyFill="1" applyBorder="1" applyProtection="1">
      <protection locked="0"/>
    </xf>
    <xf numFmtId="174" fontId="170" fillId="29" borderId="157" xfId="0" applyNumberFormat="1" applyFont="1" applyFill="1" applyBorder="1"/>
    <xf numFmtId="37" fontId="169" fillId="31" borderId="159" xfId="0" applyNumberFormat="1" applyFont="1" applyFill="1" applyBorder="1"/>
    <xf numFmtId="174" fontId="169" fillId="31" borderId="160" xfId="0" applyNumberFormat="1" applyFont="1" applyFill="1" applyBorder="1"/>
    <xf numFmtId="37" fontId="169" fillId="31" borderId="161" xfId="0" applyNumberFormat="1" applyFont="1" applyFill="1" applyBorder="1"/>
    <xf numFmtId="37" fontId="169" fillId="30" borderId="166" xfId="0" applyNumberFormat="1" applyFont="1" applyFill="1" applyBorder="1"/>
    <xf numFmtId="175" fontId="169" fillId="30" borderId="170" xfId="0" applyNumberFormat="1" applyFont="1" applyFill="1" applyBorder="1"/>
    <xf numFmtId="175" fontId="169" fillId="31" borderId="155" xfId="0" applyNumberFormat="1" applyFont="1" applyFill="1" applyBorder="1"/>
    <xf numFmtId="37" fontId="169" fillId="29" borderId="159" xfId="0" applyNumberFormat="1" applyFont="1" applyFill="1" applyBorder="1"/>
    <xf numFmtId="175" fontId="169" fillId="29" borderId="160" xfId="0" applyNumberFormat="1" applyFont="1" applyFill="1" applyBorder="1"/>
    <xf numFmtId="37" fontId="169" fillId="29" borderId="161" xfId="0" applyNumberFormat="1" applyFont="1" applyFill="1" applyBorder="1"/>
    <xf numFmtId="0" fontId="170" fillId="29" borderId="158" xfId="0" applyFont="1" applyFill="1" applyBorder="1"/>
    <xf numFmtId="175" fontId="170" fillId="29" borderId="0" xfId="2" applyNumberFormat="1" applyFont="1" applyFill="1"/>
    <xf numFmtId="37" fontId="170" fillId="29" borderId="162" xfId="0" applyNumberFormat="1" applyFont="1" applyFill="1" applyBorder="1"/>
    <xf numFmtId="175" fontId="170" fillId="29" borderId="163" xfId="0" applyNumberFormat="1" applyFont="1" applyFill="1" applyBorder="1"/>
    <xf numFmtId="37" fontId="170" fillId="29" borderId="162" xfId="0" applyNumberFormat="1" applyFont="1" applyFill="1" applyBorder="1" applyProtection="1">
      <protection locked="0"/>
    </xf>
    <xf numFmtId="175" fontId="169" fillId="30" borderId="166" xfId="0" applyNumberFormat="1" applyFont="1" applyFill="1" applyBorder="1"/>
    <xf numFmtId="37" fontId="169" fillId="30" borderId="184" xfId="0" applyNumberFormat="1" applyFont="1" applyFill="1" applyBorder="1"/>
    <xf numFmtId="174" fontId="169" fillId="30" borderId="185" xfId="0" applyNumberFormat="1" applyFont="1" applyFill="1" applyBorder="1"/>
    <xf numFmtId="37" fontId="169" fillId="30" borderId="186" xfId="0" applyNumberFormat="1" applyFont="1" applyFill="1" applyBorder="1"/>
    <xf numFmtId="37" fontId="169" fillId="31" borderId="154" xfId="0" applyNumberFormat="1" applyFont="1" applyFill="1" applyBorder="1"/>
    <xf numFmtId="174" fontId="169" fillId="31" borderId="0" xfId="0" applyNumberFormat="1" applyFont="1" applyFill="1"/>
    <xf numFmtId="37" fontId="169" fillId="29" borderId="0" xfId="0" applyNumberFormat="1" applyFont="1" applyFill="1"/>
    <xf numFmtId="0" fontId="170" fillId="30" borderId="187" xfId="0" applyFont="1" applyFill="1" applyBorder="1"/>
    <xf numFmtId="0" fontId="170" fillId="30" borderId="188" xfId="0" applyFont="1" applyFill="1" applyBorder="1"/>
    <xf numFmtId="37" fontId="169" fillId="30" borderId="189" xfId="0" applyNumberFormat="1" applyFont="1" applyFill="1" applyBorder="1"/>
    <xf numFmtId="37" fontId="173" fillId="29" borderId="0" xfId="0" applyNumberFormat="1" applyFont="1" applyFill="1"/>
    <xf numFmtId="0" fontId="172" fillId="29" borderId="0" xfId="0" applyFont="1" applyFill="1" applyAlignment="1">
      <alignment horizontal="center"/>
    </xf>
    <xf numFmtId="0" fontId="172" fillId="29" borderId="169" xfId="0" applyFont="1" applyFill="1" applyBorder="1" applyAlignment="1">
      <alignment horizontal="center"/>
    </xf>
    <xf numFmtId="37" fontId="172" fillId="29" borderId="169" xfId="0" applyNumberFormat="1" applyFont="1" applyFill="1" applyBorder="1" applyAlignment="1">
      <alignment horizontal="center"/>
    </xf>
    <xf numFmtId="0" fontId="170" fillId="29" borderId="190" xfId="0" applyFont="1" applyFill="1" applyBorder="1" applyAlignment="1">
      <alignment horizontal="center"/>
    </xf>
    <xf numFmtId="0" fontId="170" fillId="29" borderId="157" xfId="0" applyFont="1" applyFill="1" applyBorder="1" applyAlignment="1">
      <alignment horizontal="center"/>
    </xf>
    <xf numFmtId="0" fontId="170" fillId="29" borderId="191" xfId="0" applyFont="1" applyFill="1" applyBorder="1" applyAlignment="1">
      <alignment horizontal="center"/>
    </xf>
    <xf numFmtId="37" fontId="174" fillId="29" borderId="190" xfId="0" applyNumberFormat="1" applyFont="1" applyFill="1" applyBorder="1"/>
    <xf numFmtId="37" fontId="174" fillId="29" borderId="157" xfId="0" applyNumberFormat="1" applyFont="1" applyFill="1" applyBorder="1"/>
    <xf numFmtId="37" fontId="174" fillId="29" borderId="191" xfId="0" applyNumberFormat="1" applyFont="1" applyFill="1" applyBorder="1"/>
    <xf numFmtId="37" fontId="175" fillId="30" borderId="190" xfId="0" applyNumberFormat="1" applyFont="1" applyFill="1" applyBorder="1"/>
    <xf numFmtId="37" fontId="175" fillId="30" borderId="157" xfId="0" applyNumberFormat="1" applyFont="1" applyFill="1" applyBorder="1"/>
    <xf numFmtId="37" fontId="175" fillId="30" borderId="191" xfId="0" applyNumberFormat="1" applyFont="1" applyFill="1" applyBorder="1"/>
    <xf numFmtId="37" fontId="174" fillId="29" borderId="192" xfId="0" applyNumberFormat="1" applyFont="1" applyFill="1" applyBorder="1"/>
    <xf numFmtId="0" fontId="174" fillId="29" borderId="0" xfId="0" applyFont="1" applyFill="1"/>
    <xf numFmtId="37" fontId="174" fillId="29" borderId="193" xfId="0" applyNumberFormat="1" applyFont="1" applyFill="1" applyBorder="1"/>
    <xf numFmtId="175" fontId="174" fillId="29" borderId="192" xfId="2" applyNumberFormat="1" applyFont="1" applyFill="1" applyBorder="1"/>
    <xf numFmtId="174" fontId="174" fillId="29" borderId="0" xfId="0" applyNumberFormat="1" applyFont="1" applyFill="1"/>
    <xf numFmtId="0" fontId="174" fillId="29" borderId="192" xfId="0" applyFont="1" applyFill="1" applyBorder="1"/>
    <xf numFmtId="175" fontId="174" fillId="29" borderId="190" xfId="2" applyNumberFormat="1" applyFont="1" applyFill="1" applyBorder="1"/>
    <xf numFmtId="174" fontId="174" fillId="29" borderId="157" xfId="0" applyNumberFormat="1" applyFont="1" applyFill="1" applyBorder="1"/>
    <xf numFmtId="0" fontId="174" fillId="29" borderId="190" xfId="0" applyFont="1" applyFill="1" applyBorder="1"/>
    <xf numFmtId="175" fontId="175" fillId="30" borderId="194" xfId="0" applyNumberFormat="1" applyFont="1" applyFill="1" applyBorder="1"/>
    <xf numFmtId="172" fontId="175" fillId="30" borderId="172" xfId="1" applyNumberFormat="1" applyFont="1" applyFill="1" applyBorder="1"/>
    <xf numFmtId="37" fontId="175" fillId="30" borderId="195" xfId="0" applyNumberFormat="1" applyFont="1" applyFill="1" applyBorder="1"/>
    <xf numFmtId="0" fontId="175" fillId="30" borderId="172" xfId="0" applyFont="1" applyFill="1" applyBorder="1"/>
    <xf numFmtId="37" fontId="174" fillId="29" borderId="193" xfId="0" applyNumberFormat="1" applyFont="1" applyFill="1" applyBorder="1" applyProtection="1">
      <protection locked="0"/>
    </xf>
    <xf numFmtId="175" fontId="174" fillId="29" borderId="157" xfId="2" applyNumberFormat="1" applyFont="1" applyFill="1" applyBorder="1"/>
    <xf numFmtId="175" fontId="174" fillId="29" borderId="0" xfId="2" applyNumberFormat="1" applyFont="1" applyFill="1"/>
    <xf numFmtId="174" fontId="175" fillId="30" borderId="172" xfId="0" applyNumberFormat="1" applyFont="1" applyFill="1" applyBorder="1"/>
    <xf numFmtId="0" fontId="174" fillId="29" borderId="196" xfId="0" applyFont="1" applyFill="1" applyBorder="1"/>
    <xf numFmtId="174" fontId="174" fillId="29" borderId="160" xfId="0" applyNumberFormat="1" applyFont="1" applyFill="1" applyBorder="1"/>
    <xf numFmtId="37" fontId="174" fillId="29" borderId="197" xfId="0" applyNumberFormat="1" applyFont="1" applyFill="1" applyBorder="1"/>
    <xf numFmtId="0" fontId="174" fillId="29" borderId="198" xfId="0" applyFont="1" applyFill="1" applyBorder="1"/>
    <xf numFmtId="174" fontId="174" fillId="29" borderId="163" xfId="0" applyNumberFormat="1" applyFont="1" applyFill="1" applyBorder="1"/>
    <xf numFmtId="37" fontId="174" fillId="29" borderId="199" xfId="0" applyNumberFormat="1" applyFont="1" applyFill="1" applyBorder="1"/>
    <xf numFmtId="0" fontId="174" fillId="29" borderId="200" xfId="0" applyFont="1" applyFill="1" applyBorder="1"/>
    <xf numFmtId="174" fontId="174" fillId="29" borderId="201" xfId="0" applyNumberFormat="1" applyFont="1" applyFill="1" applyBorder="1"/>
    <xf numFmtId="37" fontId="174" fillId="29" borderId="191" xfId="0" applyNumberFormat="1" applyFont="1" applyFill="1" applyBorder="1" applyProtection="1">
      <protection locked="0"/>
    </xf>
    <xf numFmtId="0" fontId="176" fillId="29" borderId="192" xfId="0" applyFont="1" applyFill="1" applyBorder="1"/>
    <xf numFmtId="0" fontId="176" fillId="29" borderId="0" xfId="0" applyFont="1" applyFill="1"/>
    <xf numFmtId="37" fontId="176" fillId="29" borderId="193" xfId="0" applyNumberFormat="1" applyFont="1" applyFill="1" applyBorder="1"/>
    <xf numFmtId="175" fontId="175" fillId="29" borderId="196" xfId="0" applyNumberFormat="1" applyFont="1" applyFill="1" applyBorder="1"/>
    <xf numFmtId="0" fontId="175" fillId="29" borderId="160" xfId="0" applyFont="1" applyFill="1" applyBorder="1"/>
    <xf numFmtId="37" fontId="174" fillId="31" borderId="197" xfId="0" applyNumberFormat="1" applyFont="1" applyFill="1" applyBorder="1"/>
    <xf numFmtId="175" fontId="175" fillId="29" borderId="192" xfId="0" applyNumberFormat="1" applyFont="1" applyFill="1" applyBorder="1"/>
    <xf numFmtId="0" fontId="175" fillId="29" borderId="0" xfId="0" applyFont="1" applyFill="1"/>
    <xf numFmtId="175" fontId="175" fillId="29" borderId="190" xfId="0" applyNumberFormat="1" applyFont="1" applyFill="1" applyBorder="1"/>
    <xf numFmtId="0" fontId="174" fillId="30" borderId="172" xfId="0" applyFont="1" applyFill="1" applyBorder="1"/>
    <xf numFmtId="0" fontId="177" fillId="31" borderId="196" xfId="0" applyFont="1" applyFill="1" applyBorder="1"/>
    <xf numFmtId="0" fontId="176" fillId="31" borderId="160" xfId="0" applyFont="1" applyFill="1" applyBorder="1"/>
    <xf numFmtId="37" fontId="176" fillId="31" borderId="197" xfId="0" applyNumberFormat="1" applyFont="1" applyFill="1" applyBorder="1"/>
    <xf numFmtId="0" fontId="175" fillId="30" borderId="202" xfId="0" applyFont="1" applyFill="1" applyBorder="1" applyAlignment="1">
      <alignment horizontal="center"/>
    </xf>
    <xf numFmtId="175" fontId="175" fillId="30" borderId="203" xfId="0" applyNumberFormat="1" applyFont="1" applyFill="1" applyBorder="1"/>
    <xf numFmtId="37" fontId="175" fillId="30" borderId="204" xfId="0" applyNumberFormat="1" applyFont="1" applyFill="1" applyBorder="1"/>
    <xf numFmtId="0" fontId="175" fillId="30" borderId="205" xfId="0" applyFont="1" applyFill="1" applyBorder="1" applyAlignment="1">
      <alignment horizontal="center"/>
    </xf>
    <xf numFmtId="175" fontId="175" fillId="30" borderId="188" xfId="0" applyNumberFormat="1" applyFont="1" applyFill="1" applyBorder="1"/>
    <xf numFmtId="37" fontId="175" fillId="30" borderId="206" xfId="0" applyNumberFormat="1" applyFont="1" applyFill="1" applyBorder="1"/>
    <xf numFmtId="39" fontId="174" fillId="29" borderId="0" xfId="0" applyNumberFormat="1" applyFont="1" applyFill="1"/>
    <xf numFmtId="0" fontId="175" fillId="30" borderId="207" xfId="0" applyFont="1" applyFill="1" applyBorder="1" applyAlignment="1">
      <alignment horizontal="center"/>
    </xf>
    <xf numFmtId="175" fontId="175" fillId="30" borderId="207" xfId="0" applyNumberFormat="1" applyFont="1" applyFill="1" applyBorder="1"/>
    <xf numFmtId="37" fontId="175" fillId="30" borderId="207" xfId="0" applyNumberFormat="1" applyFont="1" applyFill="1" applyBorder="1"/>
    <xf numFmtId="0" fontId="175" fillId="30" borderId="208" xfId="0" applyFont="1" applyFill="1" applyBorder="1" applyAlignment="1">
      <alignment horizontal="center"/>
    </xf>
    <xf numFmtId="37" fontId="175" fillId="30" borderId="209" xfId="0" applyNumberFormat="1" applyFont="1" applyFill="1" applyBorder="1"/>
    <xf numFmtId="0" fontId="178" fillId="29" borderId="0" xfId="0" applyFont="1" applyFill="1"/>
    <xf numFmtId="0" fontId="178" fillId="29" borderId="192" xfId="0" applyFont="1" applyFill="1" applyBorder="1"/>
    <xf numFmtId="0" fontId="178" fillId="29" borderId="193" xfId="0" applyFont="1" applyFill="1" applyBorder="1"/>
    <xf numFmtId="37" fontId="174" fillId="29" borderId="0" xfId="0" applyNumberFormat="1" applyFont="1" applyFill="1"/>
    <xf numFmtId="0" fontId="172" fillId="29" borderId="192" xfId="0" applyFont="1" applyFill="1" applyBorder="1"/>
    <xf numFmtId="0" fontId="170" fillId="29" borderId="192" xfId="0" applyFont="1" applyFill="1" applyBorder="1"/>
    <xf numFmtId="0" fontId="169" fillId="29" borderId="192" xfId="0" applyFont="1" applyFill="1" applyBorder="1"/>
    <xf numFmtId="0" fontId="175" fillId="30" borderId="210" xfId="0" applyFont="1" applyFill="1" applyBorder="1" applyAlignment="1">
      <alignment horizontal="center"/>
    </xf>
    <xf numFmtId="175" fontId="175" fillId="30" borderId="210" xfId="0" applyNumberFormat="1" applyFont="1" applyFill="1" applyBorder="1"/>
    <xf numFmtId="37" fontId="175" fillId="30" borderId="210" xfId="0" applyNumberFormat="1" applyFont="1" applyFill="1" applyBorder="1"/>
    <xf numFmtId="0" fontId="175" fillId="30" borderId="211" xfId="0" applyFont="1" applyFill="1" applyBorder="1" applyAlignment="1">
      <alignment horizontal="center"/>
    </xf>
    <xf numFmtId="37" fontId="175" fillId="30" borderId="212" xfId="0" applyNumberFormat="1" applyFont="1" applyFill="1" applyBorder="1"/>
    <xf numFmtId="0" fontId="147" fillId="32" borderId="1" xfId="0" applyFont="1" applyFill="1" applyBorder="1"/>
    <xf numFmtId="0" fontId="147" fillId="32" borderId="1" xfId="0" applyFont="1" applyFill="1" applyBorder="1" applyAlignment="1">
      <alignment horizontal="center" vertical="center"/>
    </xf>
    <xf numFmtId="0" fontId="147" fillId="32" borderId="1" xfId="0" applyFont="1" applyFill="1" applyBorder="1" applyAlignment="1">
      <alignment horizontal="right"/>
    </xf>
    <xf numFmtId="175" fontId="119" fillId="3" borderId="13" xfId="2" applyNumberFormat="1" applyFont="1" applyFill="1" applyBorder="1"/>
    <xf numFmtId="3" fontId="126" fillId="0" borderId="95" xfId="0" applyNumberFormat="1" applyFont="1" applyBorder="1"/>
    <xf numFmtId="3" fontId="126" fillId="0" borderId="21" xfId="0" applyNumberFormat="1" applyFont="1" applyBorder="1"/>
    <xf numFmtId="175" fontId="119" fillId="3" borderId="36" xfId="2" applyNumberFormat="1" applyFont="1" applyFill="1" applyBorder="1"/>
    <xf numFmtId="0" fontId="147" fillId="32" borderId="1" xfId="0" applyFont="1" applyFill="1" applyBorder="1" applyAlignment="1">
      <alignment vertical="center"/>
    </xf>
    <xf numFmtId="0" fontId="120" fillId="0" borderId="1" xfId="0" applyFont="1" applyBorder="1" applyAlignment="1">
      <alignment horizontal="right" vertical="center"/>
    </xf>
    <xf numFmtId="0" fontId="120" fillId="0" borderId="1" xfId="0" applyFont="1" applyBorder="1" applyAlignment="1">
      <alignment horizontal="center" vertical="center"/>
    </xf>
    <xf numFmtId="0" fontId="120" fillId="0" borderId="1" xfId="0" applyFont="1" applyBorder="1"/>
    <xf numFmtId="37" fontId="127" fillId="0" borderId="110" xfId="0" applyNumberFormat="1" applyFont="1" applyBorder="1"/>
    <xf numFmtId="0" fontId="120" fillId="0" borderId="1" xfId="0" applyFont="1" applyBorder="1" applyAlignment="1">
      <alignment horizontal="right"/>
    </xf>
    <xf numFmtId="43" fontId="125" fillId="0" borderId="0" xfId="1" applyFont="1"/>
    <xf numFmtId="37" fontId="126" fillId="0" borderId="21" xfId="0" applyNumberFormat="1" applyFont="1" applyBorder="1"/>
    <xf numFmtId="37" fontId="127" fillId="0" borderId="1" xfId="0" applyNumberFormat="1" applyFont="1" applyBorder="1"/>
    <xf numFmtId="0" fontId="115" fillId="0" borderId="213" xfId="0" applyFont="1" applyBorder="1" applyAlignment="1">
      <alignment horizontal="center" vertical="center"/>
    </xf>
    <xf numFmtId="0" fontId="116" fillId="0" borderId="215" xfId="0" applyFont="1" applyBorder="1" applyAlignment="1">
      <alignment horizontal="center" vertical="center"/>
    </xf>
    <xf numFmtId="169" fontId="115" fillId="0" borderId="216" xfId="0" applyNumberFormat="1" applyFont="1" applyBorder="1" applyAlignment="1">
      <alignment horizontal="center" vertical="center"/>
    </xf>
    <xf numFmtId="169" fontId="116" fillId="0" borderId="216" xfId="0" applyNumberFormat="1" applyFont="1" applyBorder="1" applyAlignment="1">
      <alignment horizontal="center" vertical="center"/>
    </xf>
    <xf numFmtId="0" fontId="116" fillId="0" borderId="217" xfId="0" applyFont="1" applyBorder="1" applyAlignment="1">
      <alignment horizontal="center" vertical="center"/>
    </xf>
    <xf numFmtId="169" fontId="116" fillId="0" borderId="218" xfId="0" applyNumberFormat="1" applyFont="1" applyBorder="1" applyAlignment="1">
      <alignment horizontal="center" vertical="center"/>
    </xf>
    <xf numFmtId="0" fontId="169" fillId="29" borderId="151" xfId="0" applyFont="1" applyFill="1" applyBorder="1" applyAlignment="1">
      <alignment horizontal="center"/>
    </xf>
    <xf numFmtId="0" fontId="169" fillId="29" borderId="152" xfId="0" applyFont="1" applyFill="1" applyBorder="1" applyAlignment="1">
      <alignment horizontal="center"/>
    </xf>
    <xf numFmtId="0" fontId="169" fillId="29" borderId="153" xfId="0" applyFont="1" applyFill="1" applyBorder="1" applyAlignment="1">
      <alignment horizontal="center"/>
    </xf>
    <xf numFmtId="0" fontId="120" fillId="0" borderId="14" xfId="0" applyFont="1" applyBorder="1" applyAlignment="1">
      <alignment horizontal="center"/>
    </xf>
    <xf numFmtId="0" fontId="123" fillId="0" borderId="14" xfId="0" applyFont="1" applyBorder="1"/>
    <xf numFmtId="169" fontId="115" fillId="0" borderId="1" xfId="0" applyNumberFormat="1" applyFont="1" applyBorder="1" applyAlignment="1">
      <alignment horizontal="center" vertical="center"/>
    </xf>
    <xf numFmtId="169" fontId="116" fillId="0" borderId="1" xfId="0" applyNumberFormat="1" applyFont="1" applyBorder="1" applyAlignment="1">
      <alignment horizontal="center" vertical="center"/>
    </xf>
    <xf numFmtId="0" fontId="143" fillId="0" borderId="219" xfId="0" applyFont="1" applyBorder="1" applyAlignment="1">
      <alignment horizontal="center" vertical="center"/>
    </xf>
    <xf numFmtId="0" fontId="140" fillId="0" borderId="214" xfId="0" applyFont="1" applyBorder="1" applyAlignment="1">
      <alignment horizontal="center" vertical="center"/>
    </xf>
    <xf numFmtId="169" fontId="116" fillId="0" borderId="220" xfId="0" applyNumberFormat="1" applyFont="1" applyBorder="1" applyAlignment="1">
      <alignment horizontal="center" vertical="center"/>
    </xf>
    <xf numFmtId="175" fontId="129" fillId="0" borderId="8" xfId="0" applyNumberFormat="1" applyFont="1" applyBorder="1" applyAlignment="1">
      <alignment vertical="center"/>
    </xf>
    <xf numFmtId="175" fontId="129" fillId="0" borderId="9" xfId="0" applyNumberFormat="1" applyFont="1" applyBorder="1" applyAlignment="1">
      <alignment vertical="center"/>
    </xf>
    <xf numFmtId="0" fontId="179" fillId="0" borderId="0" xfId="0" applyFont="1"/>
    <xf numFmtId="0" fontId="179" fillId="0" borderId="0" xfId="0" applyFont="1" applyAlignment="1">
      <alignment horizontal="center"/>
    </xf>
    <xf numFmtId="0" fontId="179" fillId="0" borderId="0" xfId="0" applyFont="1" applyAlignment="1">
      <alignment horizontal="right" vertical="center"/>
    </xf>
    <xf numFmtId="0" fontId="179" fillId="0" borderId="0" xfId="0" applyFont="1" applyAlignment="1">
      <alignment horizontal="center" vertical="center"/>
    </xf>
    <xf numFmtId="0" fontId="179" fillId="0" borderId="0" xfId="0" applyFont="1" applyAlignment="1">
      <alignment horizontal="right"/>
    </xf>
    <xf numFmtId="0" fontId="126" fillId="0" borderId="1" xfId="0" applyFont="1" applyBorder="1"/>
    <xf numFmtId="0" fontId="126" fillId="0" borderId="20" xfId="0" applyFont="1" applyBorder="1"/>
    <xf numFmtId="14" fontId="117" fillId="0" borderId="0" xfId="0" applyNumberFormat="1" applyFont="1" applyAlignment="1">
      <alignment horizontal="left"/>
    </xf>
    <xf numFmtId="0" fontId="116" fillId="0" borderId="213" xfId="0" applyFont="1" applyBorder="1"/>
    <xf numFmtId="0" fontId="142" fillId="0" borderId="219" xfId="0" applyFont="1" applyBorder="1"/>
    <xf numFmtId="0" fontId="116" fillId="0" borderId="214" xfId="0" applyFont="1" applyBorder="1"/>
    <xf numFmtId="0" fontId="115" fillId="0" borderId="215" xfId="0" applyFont="1" applyBorder="1" applyAlignment="1">
      <alignment horizontal="left"/>
    </xf>
    <xf numFmtId="169" fontId="115" fillId="0" borderId="1" xfId="0" applyNumberFormat="1" applyFont="1" applyBorder="1" applyAlignment="1">
      <alignment horizontal="center"/>
    </xf>
    <xf numFmtId="0" fontId="116" fillId="0" borderId="216" xfId="0" applyFont="1" applyBorder="1"/>
    <xf numFmtId="169" fontId="116" fillId="0" borderId="1" xfId="0" applyNumberFormat="1" applyFont="1" applyBorder="1" applyAlignment="1">
      <alignment horizontal="right"/>
    </xf>
    <xf numFmtId="0" fontId="116" fillId="0" borderId="215" xfId="0" applyFont="1" applyBorder="1"/>
    <xf numFmtId="0" fontId="116" fillId="0" borderId="1" xfId="0" applyFont="1" applyBorder="1"/>
    <xf numFmtId="0" fontId="115" fillId="0" borderId="217" xfId="0" applyFont="1" applyBorder="1" applyAlignment="1">
      <alignment horizontal="left"/>
    </xf>
    <xf numFmtId="169" fontId="116" fillId="0" borderId="220" xfId="0" applyNumberFormat="1" applyFont="1" applyBorder="1" applyAlignment="1">
      <alignment horizontal="right"/>
    </xf>
    <xf numFmtId="177" fontId="117" fillId="0" borderId="0" xfId="0" applyNumberFormat="1" applyFont="1"/>
    <xf numFmtId="3" fontId="0" fillId="0" borderId="0" xfId="0" applyNumberFormat="1"/>
    <xf numFmtId="10" fontId="125" fillId="0" borderId="0" xfId="0" applyNumberFormat="1" applyFont="1"/>
    <xf numFmtId="172" fontId="125" fillId="0" borderId="0" xfId="1" applyNumberFormat="1" applyFont="1"/>
    <xf numFmtId="184" fontId="117" fillId="0" borderId="0" xfId="3" applyNumberFormat="1" applyFont="1"/>
    <xf numFmtId="184" fontId="117" fillId="10" borderId="1" xfId="3" applyNumberFormat="1" applyFont="1" applyFill="1" applyBorder="1" applyAlignment="1">
      <alignment horizontal="center" vertical="center"/>
    </xf>
    <xf numFmtId="184" fontId="117" fillId="10" borderId="1" xfId="3" applyNumberFormat="1" applyFont="1" applyFill="1" applyBorder="1" applyAlignment="1">
      <alignment horizontal="center"/>
    </xf>
    <xf numFmtId="17" fontId="125" fillId="0" borderId="0" xfId="0" applyNumberFormat="1" applyFont="1" applyAlignment="1">
      <alignment horizontal="right"/>
    </xf>
    <xf numFmtId="10" fontId="0" fillId="0" borderId="0" xfId="0" applyNumberFormat="1"/>
    <xf numFmtId="10" fontId="116" fillId="0" borderId="216" xfId="0" applyNumberFormat="1" applyFont="1" applyBorder="1" applyAlignment="1">
      <alignment horizontal="center"/>
    </xf>
    <xf numFmtId="0" fontId="117" fillId="34" borderId="0" xfId="0" applyFont="1" applyFill="1" applyAlignment="1">
      <alignment horizontal="center"/>
    </xf>
    <xf numFmtId="0" fontId="117" fillId="35" borderId="0" xfId="0" applyFont="1" applyFill="1" applyAlignment="1">
      <alignment horizontal="center"/>
    </xf>
    <xf numFmtId="3" fontId="129" fillId="3" borderId="29" xfId="0" applyNumberFormat="1" applyFont="1" applyFill="1" applyBorder="1" applyAlignment="1">
      <alignment horizontal="right"/>
    </xf>
    <xf numFmtId="1" fontId="126" fillId="0" borderId="14" xfId="0" applyNumberFormat="1" applyFont="1" applyBorder="1"/>
    <xf numFmtId="1" fontId="126" fillId="0" borderId="92" xfId="0" applyNumberFormat="1" applyFont="1" applyBorder="1"/>
    <xf numFmtId="37" fontId="127" fillId="33" borderId="0" xfId="0" applyNumberFormat="1" applyFont="1" applyFill="1"/>
    <xf numFmtId="37" fontId="127" fillId="0" borderId="111" xfId="0" applyNumberFormat="1" applyFont="1" applyBorder="1"/>
    <xf numFmtId="172" fontId="126" fillId="0" borderId="0" xfId="1" applyNumberFormat="1" applyFont="1"/>
    <xf numFmtId="49" fontId="160" fillId="27" borderId="1" xfId="0" applyNumberFormat="1" applyFont="1" applyFill="1" applyBorder="1" applyAlignment="1">
      <alignment horizontal="left" vertical="top"/>
    </xf>
    <xf numFmtId="49" fontId="162" fillId="23" borderId="144" xfId="0" applyNumberFormat="1" applyFont="1" applyFill="1" applyBorder="1" applyAlignment="1">
      <alignment horizontal="left" vertical="top"/>
    </xf>
    <xf numFmtId="49" fontId="165" fillId="23" borderId="143" xfId="0" applyNumberFormat="1" applyFont="1" applyFill="1" applyBorder="1" applyAlignment="1">
      <alignment horizontal="left" vertical="top"/>
    </xf>
    <xf numFmtId="49" fontId="162" fillId="23" borderId="143" xfId="0" quotePrefix="1" applyNumberFormat="1" applyFont="1" applyFill="1" applyBorder="1" applyAlignment="1">
      <alignment horizontal="left" vertical="top"/>
    </xf>
    <xf numFmtId="0" fontId="0" fillId="36" borderId="0" xfId="0" applyFill="1"/>
    <xf numFmtId="43" fontId="117" fillId="36" borderId="0" xfId="0" applyNumberFormat="1" applyFont="1" applyFill="1"/>
    <xf numFmtId="1" fontId="117" fillId="36" borderId="0" xfId="0" applyNumberFormat="1" applyFont="1" applyFill="1" applyAlignment="1">
      <alignment horizontal="center"/>
    </xf>
    <xf numFmtId="49" fontId="111" fillId="0" borderId="1" xfId="10" applyNumberFormat="1" applyAlignment="1">
      <alignment horizontal="left" vertical="center"/>
    </xf>
    <xf numFmtId="43" fontId="111" fillId="0" borderId="1" xfId="1" applyFont="1" applyBorder="1" applyAlignment="1">
      <alignment horizontal="left" vertical="center"/>
    </xf>
    <xf numFmtId="0" fontId="110" fillId="36" borderId="1" xfId="11" applyFill="1"/>
    <xf numFmtId="165" fontId="110" fillId="36" borderId="1" xfId="12" applyFont="1" applyFill="1" applyAlignment="1">
      <alignment horizontal="right" vertical="center"/>
    </xf>
    <xf numFmtId="49" fontId="116" fillId="37" borderId="1" xfId="0" applyNumberFormat="1" applyFont="1" applyFill="1" applyBorder="1" applyAlignment="1">
      <alignment horizontal="left" vertical="center"/>
    </xf>
    <xf numFmtId="0" fontId="116" fillId="37" borderId="1" xfId="0" applyFont="1" applyFill="1" applyBorder="1" applyAlignment="1">
      <alignment horizontal="left" vertical="top"/>
    </xf>
    <xf numFmtId="0" fontId="116" fillId="37" borderId="1" xfId="0" applyFont="1" applyFill="1" applyBorder="1"/>
    <xf numFmtId="181" fontId="116" fillId="37" borderId="1" xfId="0" applyNumberFormat="1" applyFont="1" applyFill="1" applyBorder="1" applyAlignment="1">
      <alignment horizontal="right" vertical="center"/>
    </xf>
    <xf numFmtId="4" fontId="116" fillId="37" borderId="1" xfId="0" applyNumberFormat="1" applyFont="1" applyFill="1" applyBorder="1"/>
    <xf numFmtId="37" fontId="0" fillId="0" borderId="0" xfId="0" applyNumberFormat="1"/>
    <xf numFmtId="49" fontId="116" fillId="10" borderId="143" xfId="0" applyNumberFormat="1" applyFont="1" applyFill="1" applyBorder="1" applyAlignment="1">
      <alignment horizontal="left" vertical="top"/>
    </xf>
    <xf numFmtId="49" fontId="166" fillId="23" borderId="143" xfId="0" applyNumberFormat="1" applyFont="1" applyFill="1" applyBorder="1" applyAlignment="1">
      <alignment horizontal="left" vertical="top"/>
    </xf>
    <xf numFmtId="49" fontId="116" fillId="0" borderId="1" xfId="0" applyNumberFormat="1" applyFont="1" applyBorder="1" applyAlignment="1">
      <alignment horizontal="left" vertical="top"/>
    </xf>
    <xf numFmtId="0" fontId="163" fillId="23" borderId="0" xfId="0" applyFont="1" applyFill="1" applyAlignment="1">
      <alignment horizontal="left" vertical="top"/>
    </xf>
    <xf numFmtId="49" fontId="116" fillId="10" borderId="144" xfId="0" applyNumberFormat="1" applyFont="1" applyFill="1" applyBorder="1" applyAlignment="1">
      <alignment horizontal="left" vertical="top"/>
    </xf>
    <xf numFmtId="3" fontId="119" fillId="0" borderId="0" xfId="0" applyNumberFormat="1" applyFont="1"/>
    <xf numFmtId="49" fontId="163" fillId="23" borderId="145" xfId="0" applyNumberFormat="1" applyFont="1" applyFill="1" applyBorder="1" applyAlignment="1">
      <alignment horizontal="left" vertical="top"/>
    </xf>
    <xf numFmtId="0" fontId="87" fillId="36" borderId="1" xfId="690" applyFill="1"/>
    <xf numFmtId="165" fontId="87" fillId="36" borderId="1" xfId="691" applyFont="1" applyFill="1" applyAlignment="1">
      <alignment horizontal="right" vertical="center"/>
    </xf>
    <xf numFmtId="0" fontId="82" fillId="36" borderId="1" xfId="1397" applyFill="1"/>
    <xf numFmtId="165" fontId="82" fillId="36" borderId="1" xfId="1398" applyFont="1" applyFill="1" applyAlignment="1">
      <alignment horizontal="right" vertical="center"/>
    </xf>
    <xf numFmtId="0" fontId="80" fillId="33" borderId="1" xfId="2755" applyFill="1"/>
    <xf numFmtId="185" fontId="80" fillId="33" borderId="1" xfId="2755" applyNumberFormat="1" applyFill="1" applyAlignment="1">
      <alignment horizontal="right" vertical="center"/>
    </xf>
    <xf numFmtId="186" fontId="80" fillId="33" borderId="1" xfId="2755" applyNumberFormat="1" applyFill="1" applyAlignment="1">
      <alignment horizontal="right" vertical="center"/>
    </xf>
    <xf numFmtId="49" fontId="80" fillId="33" borderId="1" xfId="2755" applyNumberFormat="1" applyFill="1" applyAlignment="1">
      <alignment horizontal="left" vertical="center"/>
    </xf>
    <xf numFmtId="49" fontId="181" fillId="36" borderId="1" xfId="2807" applyNumberFormat="1" applyFont="1" applyFill="1" applyAlignment="1">
      <alignment horizontal="left" vertical="center"/>
    </xf>
    <xf numFmtId="165" fontId="181" fillId="36" borderId="1" xfId="2808" applyFont="1" applyFill="1" applyAlignment="1">
      <alignment horizontal="right" vertical="center"/>
    </xf>
    <xf numFmtId="49" fontId="78" fillId="36" borderId="1" xfId="2807" applyNumberFormat="1" applyFill="1" applyAlignment="1">
      <alignment horizontal="left" vertical="center"/>
    </xf>
    <xf numFmtId="0" fontId="78" fillId="36" borderId="1" xfId="2807" applyFill="1"/>
    <xf numFmtId="165" fontId="78" fillId="36" borderId="1" xfId="2808" applyFont="1" applyFill="1" applyAlignment="1">
      <alignment horizontal="right" vertical="center"/>
    </xf>
    <xf numFmtId="186" fontId="76" fillId="34" borderId="1" xfId="2811" applyNumberFormat="1" applyFill="1" applyAlignment="1">
      <alignment horizontal="right" vertical="center"/>
    </xf>
    <xf numFmtId="0" fontId="76" fillId="0" borderId="1" xfId="2811"/>
    <xf numFmtId="49" fontId="181" fillId="0" borderId="1" xfId="2811" applyNumberFormat="1" applyFont="1" applyAlignment="1">
      <alignment horizontal="left" vertical="center"/>
    </xf>
    <xf numFmtId="49" fontId="76" fillId="0" borderId="1" xfId="2811" applyNumberFormat="1" applyAlignment="1">
      <alignment horizontal="left" vertical="center"/>
    </xf>
    <xf numFmtId="185" fontId="181" fillId="0" borderId="1" xfId="2811" applyNumberFormat="1" applyFont="1" applyAlignment="1">
      <alignment horizontal="right" vertical="center"/>
    </xf>
    <xf numFmtId="185" fontId="76" fillId="0" borderId="1" xfId="2811" applyNumberFormat="1" applyAlignment="1">
      <alignment horizontal="right" vertical="center"/>
    </xf>
    <xf numFmtId="186" fontId="181" fillId="0" borderId="1" xfId="2811" applyNumberFormat="1" applyFont="1" applyAlignment="1">
      <alignment horizontal="right" vertical="center"/>
    </xf>
    <xf numFmtId="186" fontId="76" fillId="0" borderId="1" xfId="2811" applyNumberFormat="1" applyAlignment="1">
      <alignment horizontal="right" vertical="center"/>
    </xf>
    <xf numFmtId="49" fontId="140" fillId="0" borderId="1" xfId="4224" applyNumberFormat="1" applyFont="1" applyAlignment="1">
      <alignment horizontal="center" vertical="center"/>
    </xf>
    <xf numFmtId="186" fontId="76" fillId="34" borderId="1" xfId="5565" applyNumberFormat="1" applyFill="1" applyAlignment="1">
      <alignment horizontal="right" vertical="center"/>
    </xf>
    <xf numFmtId="0" fontId="76" fillId="0" borderId="1" xfId="5565"/>
    <xf numFmtId="49" fontId="181" fillId="0" borderId="1" xfId="5565" applyNumberFormat="1" applyFont="1" applyAlignment="1">
      <alignment horizontal="left" vertical="center"/>
    </xf>
    <xf numFmtId="49" fontId="76" fillId="0" borderId="1" xfId="5565" applyNumberFormat="1" applyAlignment="1">
      <alignment horizontal="left" vertical="center"/>
    </xf>
    <xf numFmtId="185" fontId="181" fillId="0" borderId="1" xfId="5565" applyNumberFormat="1" applyFont="1" applyAlignment="1">
      <alignment horizontal="right" vertical="center"/>
    </xf>
    <xf numFmtId="185" fontId="76" fillId="0" borderId="1" xfId="5565" applyNumberFormat="1" applyAlignment="1">
      <alignment horizontal="right" vertical="center"/>
    </xf>
    <xf numFmtId="186" fontId="181" fillId="0" borderId="1" xfId="5565" applyNumberFormat="1" applyFont="1" applyAlignment="1">
      <alignment horizontal="right" vertical="center"/>
    </xf>
    <xf numFmtId="186" fontId="76" fillId="0" borderId="1" xfId="5565" applyNumberFormat="1" applyAlignment="1">
      <alignment horizontal="right" vertical="center"/>
    </xf>
    <xf numFmtId="49" fontId="140" fillId="0" borderId="1" xfId="5551" applyNumberFormat="1" applyFont="1" applyAlignment="1">
      <alignment horizontal="center" vertical="center"/>
    </xf>
    <xf numFmtId="165" fontId="125" fillId="0" borderId="0" xfId="0" applyNumberFormat="1" applyFont="1"/>
    <xf numFmtId="43" fontId="130" fillId="0" borderId="0" xfId="1" applyFont="1"/>
    <xf numFmtId="10" fontId="130" fillId="0" borderId="0" xfId="2" applyNumberFormat="1" applyFont="1"/>
    <xf numFmtId="3" fontId="126" fillId="0" borderId="1" xfId="0" applyNumberFormat="1" applyFont="1" applyBorder="1"/>
    <xf numFmtId="3" fontId="126" fillId="0" borderId="20" xfId="0" applyNumberFormat="1" applyFont="1" applyBorder="1"/>
    <xf numFmtId="3" fontId="126" fillId="0" borderId="23" xfId="0" applyNumberFormat="1" applyFont="1" applyBorder="1"/>
    <xf numFmtId="0" fontId="73" fillId="0" borderId="1" xfId="5626"/>
    <xf numFmtId="2" fontId="186" fillId="0" borderId="1" xfId="5626" applyNumberFormat="1" applyFont="1" applyAlignment="1">
      <alignment horizontal="center"/>
    </xf>
    <xf numFmtId="0" fontId="186" fillId="0" borderId="1" xfId="5626" applyFont="1"/>
    <xf numFmtId="2" fontId="73" fillId="0" borderId="1" xfId="5626" applyNumberFormat="1" applyAlignment="1">
      <alignment horizontal="center"/>
    </xf>
    <xf numFmtId="0" fontId="187" fillId="0" borderId="1" xfId="5626" applyFont="1"/>
    <xf numFmtId="2" fontId="184" fillId="38" borderId="221" xfId="5626" applyNumberFormat="1" applyFont="1" applyFill="1" applyBorder="1" applyAlignment="1">
      <alignment horizontal="center"/>
    </xf>
    <xf numFmtId="2" fontId="184" fillId="38" borderId="223" xfId="5626" applyNumberFormat="1" applyFont="1" applyFill="1" applyBorder="1" applyAlignment="1">
      <alignment horizontal="center"/>
    </xf>
    <xf numFmtId="0" fontId="73" fillId="0" borderId="163" xfId="5626" applyBorder="1"/>
    <xf numFmtId="0" fontId="73" fillId="0" borderId="224" xfId="5626" applyBorder="1"/>
    <xf numFmtId="0" fontId="184" fillId="0" borderId="225" xfId="5627" applyFont="1" applyBorder="1"/>
    <xf numFmtId="0" fontId="73" fillId="29" borderId="226" xfId="5626" applyFill="1" applyBorder="1"/>
    <xf numFmtId="37" fontId="184" fillId="0" borderId="221" xfId="5626" applyNumberFormat="1" applyFont="1" applyBorder="1" applyAlignment="1">
      <alignment horizontal="center"/>
    </xf>
    <xf numFmtId="37" fontId="184" fillId="0" borderId="223" xfId="5626" applyNumberFormat="1" applyFont="1" applyBorder="1" applyAlignment="1">
      <alignment horizontal="center"/>
    </xf>
    <xf numFmtId="175" fontId="184" fillId="0" borderId="223" xfId="5628" applyNumberFormat="1" applyFont="1" applyBorder="1" applyAlignment="1">
      <alignment horizontal="center"/>
    </xf>
    <xf numFmtId="0" fontId="185" fillId="0" borderId="1" xfId="5626" applyFont="1"/>
    <xf numFmtId="0" fontId="73" fillId="0" borderId="225" xfId="5626" applyBorder="1"/>
    <xf numFmtId="0" fontId="73"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73" fillId="0" borderId="226" xfId="5626" applyBorder="1" applyAlignment="1">
      <alignment horizontal="left"/>
    </xf>
    <xf numFmtId="37" fontId="73" fillId="0" borderId="227" xfId="5626" applyNumberFormat="1" applyBorder="1" applyAlignment="1">
      <alignment horizontal="center"/>
    </xf>
    <xf numFmtId="37" fontId="73"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84" fillId="0" borderId="226" xfId="5626" applyFont="1" applyBorder="1"/>
    <xf numFmtId="37" fontId="184" fillId="0" borderId="227" xfId="5629" applyNumberFormat="1" applyFont="1" applyBorder="1" applyAlignment="1">
      <alignment horizontal="center"/>
    </xf>
    <xf numFmtId="37" fontId="184"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73" fillId="0" borderId="225" xfId="5626" applyBorder="1" applyAlignment="1">
      <alignment horizontal="left"/>
    </xf>
    <xf numFmtId="37" fontId="0" fillId="0" borderId="229" xfId="5629" applyNumberFormat="1" applyFont="1" applyFill="1" applyBorder="1" applyAlignment="1">
      <alignment horizontal="center"/>
    </xf>
    <xf numFmtId="0" fontId="185"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73" fillId="0" borderId="232" xfId="5626" applyBorder="1" applyAlignment="1">
      <alignment horizontal="left"/>
    </xf>
    <xf numFmtId="0" fontId="73" fillId="0" borderId="227" xfId="5626" applyBorder="1"/>
    <xf numFmtId="175" fontId="0" fillId="0" borderId="231" xfId="5628" applyNumberFormat="1" applyFont="1" applyBorder="1" applyAlignment="1">
      <alignment horizontal="center"/>
    </xf>
    <xf numFmtId="2" fontId="73" fillId="0" borderId="231" xfId="5626" applyNumberFormat="1" applyBorder="1" applyAlignment="1">
      <alignment horizontal="center"/>
    </xf>
    <xf numFmtId="0" fontId="73" fillId="0" borderId="1" xfId="5626" applyAlignment="1">
      <alignment horizontal="left"/>
    </xf>
    <xf numFmtId="2" fontId="0" fillId="0" borderId="1" xfId="5629" applyNumberFormat="1" applyFont="1" applyBorder="1" applyAlignment="1">
      <alignment horizontal="center"/>
    </xf>
    <xf numFmtId="37" fontId="184" fillId="0" borderId="230" xfId="5629" applyNumberFormat="1" applyFont="1" applyBorder="1" applyAlignment="1">
      <alignment horizontal="center"/>
    </xf>
    <xf numFmtId="37" fontId="188" fillId="0" borderId="228" xfId="5629" applyNumberFormat="1" applyFont="1" applyBorder="1" applyAlignment="1">
      <alignment horizontal="center"/>
    </xf>
    <xf numFmtId="0" fontId="184" fillId="0" borderId="232" xfId="5626" applyFont="1" applyBorder="1"/>
    <xf numFmtId="37" fontId="184" fillId="0" borderId="231" xfId="5629" applyNumberFormat="1" applyFont="1" applyBorder="1" applyAlignment="1">
      <alignment horizontal="center"/>
    </xf>
    <xf numFmtId="0" fontId="183" fillId="0" borderId="1" xfId="5626" applyFont="1"/>
    <xf numFmtId="0" fontId="73" fillId="29" borderId="233" xfId="5626" applyFill="1" applyBorder="1"/>
    <xf numFmtId="0" fontId="184" fillId="0" borderId="1" xfId="5626" applyFont="1"/>
    <xf numFmtId="0" fontId="73" fillId="0" borderId="1" xfId="5626" applyAlignment="1">
      <alignment horizontal="center"/>
    </xf>
    <xf numFmtId="2" fontId="183" fillId="0" borderId="1" xfId="5626" applyNumberFormat="1" applyFont="1" applyAlignment="1">
      <alignment horizontal="center"/>
    </xf>
    <xf numFmtId="2" fontId="73" fillId="0" borderId="1" xfId="5626" applyNumberFormat="1"/>
    <xf numFmtId="1" fontId="116" fillId="36" borderId="232" xfId="5626" applyNumberFormat="1" applyFont="1" applyFill="1" applyBorder="1" applyAlignment="1">
      <alignment horizontal="left" vertical="top"/>
    </xf>
    <xf numFmtId="187" fontId="73" fillId="33" borderId="1" xfId="5626" applyNumberFormat="1" applyFill="1" applyAlignment="1">
      <alignment horizontal="center"/>
    </xf>
    <xf numFmtId="0" fontId="184" fillId="0" borderId="1" xfId="5626" applyFont="1" applyAlignment="1">
      <alignment horizontal="center" vertical="center"/>
    </xf>
    <xf numFmtId="0" fontId="184" fillId="0" borderId="225" xfId="5626" applyFont="1" applyBorder="1" applyAlignment="1">
      <alignment horizontal="center" vertical="center"/>
    </xf>
    <xf numFmtId="0" fontId="184" fillId="0" borderId="233" xfId="5626" applyFont="1" applyBorder="1" applyAlignment="1">
      <alignment horizontal="center" vertical="center"/>
    </xf>
    <xf numFmtId="0" fontId="184" fillId="0" borderId="233" xfId="5626" applyFont="1" applyBorder="1" applyAlignment="1">
      <alignment horizontal="center" wrapText="1"/>
    </xf>
    <xf numFmtId="0" fontId="73" fillId="0" borderId="1" xfId="5626" applyAlignment="1">
      <alignment horizontal="center" vertical="center"/>
    </xf>
    <xf numFmtId="0" fontId="184" fillId="0" borderId="225" xfId="5626" applyFont="1" applyBorder="1" applyAlignment="1">
      <alignment horizontal="center"/>
    </xf>
    <xf numFmtId="3" fontId="73" fillId="36" borderId="226" xfId="5626" applyNumberFormat="1" applyFill="1" applyBorder="1" applyAlignment="1">
      <alignment horizontal="center"/>
    </xf>
    <xf numFmtId="2" fontId="184" fillId="0" borderId="226" xfId="5626" applyNumberFormat="1" applyFont="1" applyBorder="1" applyAlignment="1">
      <alignment horizontal="center"/>
    </xf>
    <xf numFmtId="0" fontId="184" fillId="0" borderId="226" xfId="5626" applyFont="1" applyBorder="1" applyAlignment="1">
      <alignment horizontal="center"/>
    </xf>
    <xf numFmtId="0" fontId="184" fillId="0" borderId="232" xfId="5626" applyFont="1" applyBorder="1" applyAlignment="1">
      <alignment horizontal="center"/>
    </xf>
    <xf numFmtId="3" fontId="73" fillId="36" borderId="232" xfId="5626" applyNumberFormat="1" applyFill="1" applyBorder="1" applyAlignment="1">
      <alignment horizontal="center"/>
    </xf>
    <xf numFmtId="175" fontId="126" fillId="0" borderId="0" xfId="2" applyNumberFormat="1" applyFont="1"/>
    <xf numFmtId="175" fontId="126" fillId="0" borderId="8" xfId="2" applyNumberFormat="1" applyFont="1" applyBorder="1"/>
    <xf numFmtId="175" fontId="126" fillId="0" borderId="93" xfId="2" applyNumberFormat="1" applyFont="1" applyBorder="1"/>
    <xf numFmtId="175" fontId="119" fillId="3" borderId="35" xfId="2" applyNumberFormat="1" applyFont="1" applyFill="1" applyBorder="1"/>
    <xf numFmtId="175" fontId="127" fillId="0" borderId="71" xfId="2" applyNumberFormat="1" applyFont="1" applyBorder="1"/>
    <xf numFmtId="175" fontId="127" fillId="0" borderId="85" xfId="2" applyNumberFormat="1" applyFont="1" applyBorder="1"/>
    <xf numFmtId="175" fontId="127" fillId="0" borderId="14" xfId="2" applyNumberFormat="1" applyFont="1" applyBorder="1"/>
    <xf numFmtId="175" fontId="127" fillId="0" borderId="0" xfId="2" applyNumberFormat="1" applyFont="1"/>
    <xf numFmtId="37" fontId="182" fillId="0" borderId="0" xfId="0" applyNumberFormat="1" applyFont="1"/>
    <xf numFmtId="187" fontId="73" fillId="0" borderId="1" xfId="5626" applyNumberFormat="1"/>
    <xf numFmtId="4" fontId="116" fillId="36" borderId="0" xfId="0" applyNumberFormat="1" applyFont="1" applyFill="1" applyAlignment="1">
      <alignment horizontal="center" vertical="top"/>
    </xf>
    <xf numFmtId="10" fontId="116" fillId="0" borderId="218" xfId="0" applyNumberFormat="1" applyFont="1" applyBorder="1" applyAlignment="1">
      <alignment horizontal="center"/>
    </xf>
    <xf numFmtId="49" fontId="190" fillId="23" borderId="143" xfId="11272" applyNumberFormat="1" applyFill="1" applyBorder="1" applyAlignment="1">
      <alignment horizontal="left" vertical="top"/>
    </xf>
    <xf numFmtId="185" fontId="62" fillId="36" borderId="1" xfId="11277" applyNumberFormat="1" applyFill="1" applyAlignment="1">
      <alignment horizontal="right" vertical="center"/>
    </xf>
    <xf numFmtId="0" fontId="61" fillId="0" borderId="0" xfId="0" applyFont="1"/>
    <xf numFmtId="9" fontId="126" fillId="0" borderId="0" xfId="2" applyFont="1" applyAlignment="1">
      <alignment horizontal="right"/>
    </xf>
    <xf numFmtId="9" fontId="126" fillId="0" borderId="0" xfId="2" applyFont="1"/>
    <xf numFmtId="9" fontId="126" fillId="0" borderId="8" xfId="2" applyFont="1" applyFill="1" applyBorder="1"/>
    <xf numFmtId="175" fontId="126" fillId="0" borderId="0" xfId="2" applyNumberFormat="1" applyFont="1" applyFill="1"/>
    <xf numFmtId="0" fontId="58" fillId="0" borderId="1" xfId="11280"/>
    <xf numFmtId="49" fontId="140" fillId="0" borderId="227" xfId="11280" applyNumberFormat="1" applyFont="1" applyBorder="1" applyAlignment="1">
      <alignment horizontal="center" vertical="center"/>
    </xf>
    <xf numFmtId="49" fontId="140" fillId="0" borderId="1" xfId="11280" applyNumberFormat="1" applyFont="1" applyAlignment="1">
      <alignment horizontal="center" vertical="center"/>
    </xf>
    <xf numFmtId="3" fontId="140" fillId="0" borderId="1" xfId="11280" applyNumberFormat="1" applyFont="1" applyAlignment="1">
      <alignment horizontal="center" vertical="center"/>
    </xf>
    <xf numFmtId="49" fontId="140" fillId="0" borderId="224" xfId="11280" applyNumberFormat="1" applyFont="1" applyBorder="1" applyAlignment="1">
      <alignment horizontal="center" vertical="center"/>
    </xf>
    <xf numFmtId="0" fontId="58" fillId="0" borderId="227" xfId="11280" applyBorder="1" applyAlignment="1">
      <alignment horizontal="center"/>
    </xf>
    <xf numFmtId="0" fontId="58" fillId="0" borderId="1" xfId="11280" applyAlignment="1">
      <alignment horizontal="center"/>
    </xf>
    <xf numFmtId="3" fontId="58" fillId="0" borderId="1" xfId="11280" applyNumberFormat="1" applyAlignment="1">
      <alignment horizontal="center"/>
    </xf>
    <xf numFmtId="0" fontId="58" fillId="0" borderId="224" xfId="11280" applyBorder="1" applyAlignment="1">
      <alignment horizontal="center"/>
    </xf>
    <xf numFmtId="0" fontId="162" fillId="39" borderId="143" xfId="0" applyFont="1" applyFill="1" applyBorder="1" applyAlignment="1">
      <alignment horizontal="left" vertical="top"/>
    </xf>
    <xf numFmtId="0" fontId="163" fillId="39" borderId="143" xfId="0" applyFont="1" applyFill="1" applyBorder="1" applyAlignment="1">
      <alignment horizontal="left" vertical="top"/>
    </xf>
    <xf numFmtId="49" fontId="162" fillId="39" borderId="143" xfId="0" applyNumberFormat="1" applyFont="1" applyFill="1" applyBorder="1" applyAlignment="1">
      <alignment horizontal="left" vertical="top"/>
    </xf>
    <xf numFmtId="9" fontId="128" fillId="0" borderId="0" xfId="2" applyFont="1"/>
    <xf numFmtId="0" fontId="57" fillId="0" borderId="1" xfId="11280" applyFont="1" applyAlignment="1">
      <alignment horizontal="center"/>
    </xf>
    <xf numFmtId="0" fontId="57" fillId="0" borderId="224" xfId="11280" applyFont="1" applyBorder="1" applyAlignment="1">
      <alignment horizontal="center"/>
    </xf>
    <xf numFmtId="0" fontId="53" fillId="0" borderId="0" xfId="0" applyFont="1"/>
    <xf numFmtId="43" fontId="73" fillId="0" borderId="1" xfId="1" applyFont="1" applyBorder="1"/>
    <xf numFmtId="43" fontId="73" fillId="0" borderId="1" xfId="1" applyFont="1" applyBorder="1" applyAlignment="1">
      <alignment horizontal="center"/>
    </xf>
    <xf numFmtId="165" fontId="73" fillId="0" borderId="1" xfId="5626" applyNumberFormat="1"/>
    <xf numFmtId="0" fontId="129" fillId="3" borderId="127" xfId="0" applyFont="1" applyFill="1" applyBorder="1"/>
    <xf numFmtId="0" fontId="129" fillId="3" borderId="128" xfId="0" applyFont="1" applyFill="1" applyBorder="1"/>
    <xf numFmtId="0" fontId="129" fillId="3" borderId="128" xfId="0" applyFont="1" applyFill="1" applyBorder="1" applyAlignment="1">
      <alignment horizontal="center"/>
    </xf>
    <xf numFmtId="175" fontId="129" fillId="3" borderId="128" xfId="0" applyNumberFormat="1" applyFont="1" applyFill="1" applyBorder="1"/>
    <xf numFmtId="37" fontId="129" fillId="3" borderId="128" xfId="0" applyNumberFormat="1" applyFont="1" applyFill="1" applyBorder="1"/>
    <xf numFmtId="175" fontId="129" fillId="3" borderId="129" xfId="0" applyNumberFormat="1" applyFont="1" applyFill="1" applyBorder="1"/>
    <xf numFmtId="9" fontId="129" fillId="3" borderId="108" xfId="2" applyFont="1" applyFill="1" applyBorder="1"/>
    <xf numFmtId="3" fontId="119" fillId="3" borderId="27" xfId="0" applyNumberFormat="1" applyFont="1" applyFill="1" applyBorder="1"/>
    <xf numFmtId="0" fontId="46" fillId="0" borderId="0" xfId="0" applyFont="1"/>
    <xf numFmtId="0" fontId="41" fillId="0" borderId="1" xfId="11280" applyFont="1" applyAlignment="1">
      <alignment horizontal="center"/>
    </xf>
    <xf numFmtId="0" fontId="41" fillId="0" borderId="224" xfId="11280" applyFont="1" applyBorder="1" applyAlignment="1">
      <alignment horizontal="center"/>
    </xf>
    <xf numFmtId="0" fontId="41" fillId="0" borderId="0" xfId="0" applyFont="1"/>
    <xf numFmtId="9" fontId="126" fillId="0" borderId="14" xfId="2" applyFont="1" applyBorder="1" applyAlignment="1">
      <alignment horizontal="right"/>
    </xf>
    <xf numFmtId="0" fontId="31" fillId="0" borderId="0" xfId="0" applyFont="1"/>
    <xf numFmtId="3" fontId="41" fillId="0" borderId="0" xfId="0" applyNumberFormat="1" applyFont="1"/>
    <xf numFmtId="0" fontId="26" fillId="0" borderId="1" xfId="11280" applyFont="1" applyAlignment="1">
      <alignment horizontal="center"/>
    </xf>
    <xf numFmtId="175" fontId="126" fillId="0" borderId="1" xfId="0" applyNumberFormat="1" applyFont="1" applyBorder="1"/>
    <xf numFmtId="0" fontId="21" fillId="0" borderId="1" xfId="11280" applyFont="1" applyAlignment="1">
      <alignment horizontal="center"/>
    </xf>
    <xf numFmtId="185" fontId="15" fillId="36" borderId="1" xfId="11321" applyNumberFormat="1" applyFill="1" applyAlignment="1">
      <alignment horizontal="right" vertical="center"/>
    </xf>
    <xf numFmtId="185" fontId="14" fillId="36" borderId="1" xfId="11322" applyNumberFormat="1" applyFill="1" applyAlignment="1">
      <alignment horizontal="right" vertical="center"/>
    </xf>
    <xf numFmtId="0" fontId="14" fillId="36" borderId="1" xfId="11322" applyFill="1"/>
    <xf numFmtId="185" fontId="12" fillId="36" borderId="1" xfId="11324" applyNumberFormat="1" applyFill="1" applyAlignment="1">
      <alignment horizontal="right" vertical="center"/>
    </xf>
    <xf numFmtId="0" fontId="12" fillId="36" borderId="1" xfId="11324" applyFill="1"/>
    <xf numFmtId="0" fontId="12" fillId="0" borderId="1" xfId="11280" applyFont="1" applyAlignment="1">
      <alignment horizontal="center"/>
    </xf>
    <xf numFmtId="0" fontId="12" fillId="0" borderId="224" xfId="11280" applyFont="1" applyBorder="1" applyAlignment="1">
      <alignment horizontal="center"/>
    </xf>
    <xf numFmtId="6" fontId="125" fillId="0" borderId="0" xfId="0" applyNumberFormat="1" applyFont="1"/>
    <xf numFmtId="0" fontId="191" fillId="0" borderId="0" xfId="0" applyFont="1"/>
    <xf numFmtId="172" fontId="127" fillId="0" borderId="73" xfId="0" applyNumberFormat="1" applyFont="1" applyBorder="1"/>
    <xf numFmtId="9" fontId="125" fillId="0" borderId="0" xfId="2" applyFont="1"/>
    <xf numFmtId="0" fontId="115" fillId="8" borderId="44" xfId="0" applyFont="1" applyFill="1" applyBorder="1" applyAlignment="1">
      <alignment horizontal="center" vertical="center" wrapText="1"/>
    </xf>
    <xf numFmtId="0" fontId="123" fillId="0" borderId="49" xfId="0" applyFont="1" applyBorder="1"/>
    <xf numFmtId="0" fontId="139" fillId="9" borderId="50" xfId="0" applyFont="1" applyFill="1" applyBorder="1" applyAlignment="1">
      <alignment horizontal="center" vertical="center" wrapText="1"/>
    </xf>
    <xf numFmtId="0" fontId="123" fillId="0" borderId="51" xfId="0" applyFont="1" applyBorder="1"/>
    <xf numFmtId="0" fontId="119" fillId="0" borderId="104" xfId="0" applyFont="1" applyBorder="1" applyAlignment="1">
      <alignment horizontal="center" vertical="center"/>
    </xf>
    <xf numFmtId="0" fontId="123" fillId="0" borderId="102" xfId="0" applyFont="1" applyBorder="1"/>
    <xf numFmtId="0" fontId="123" fillId="0" borderId="105" xfId="0" applyFont="1" applyBorder="1"/>
    <xf numFmtId="0" fontId="119" fillId="0" borderId="17" xfId="0" applyFont="1" applyBorder="1" applyAlignment="1">
      <alignment horizontal="center"/>
    </xf>
    <xf numFmtId="0" fontId="123" fillId="0" borderId="17" xfId="0" applyFont="1" applyBorder="1"/>
    <xf numFmtId="0" fontId="123" fillId="0" borderId="4" xfId="0" applyFont="1" applyBorder="1"/>
    <xf numFmtId="0" fontId="119" fillId="0" borderId="3" xfId="0" applyFont="1" applyBorder="1" applyAlignment="1">
      <alignment horizontal="center"/>
    </xf>
    <xf numFmtId="0" fontId="119" fillId="0" borderId="16" xfId="0" applyFont="1" applyBorder="1" applyAlignment="1">
      <alignment horizontal="center"/>
    </xf>
    <xf numFmtId="0" fontId="123" fillId="0" borderId="18" xfId="0" applyFont="1" applyBorder="1"/>
    <xf numFmtId="0" fontId="119" fillId="0" borderId="102" xfId="0" applyFont="1" applyBorder="1" applyAlignment="1">
      <alignment horizontal="center" vertical="center"/>
    </xf>
    <xf numFmtId="0" fontId="123" fillId="0" borderId="103" xfId="0" applyFont="1" applyBorder="1"/>
    <xf numFmtId="0" fontId="117" fillId="13" borderId="89" xfId="0" applyFont="1" applyFill="1" applyBorder="1" applyAlignment="1">
      <alignment horizontal="left" vertical="top" wrapText="1"/>
    </xf>
    <xf numFmtId="0" fontId="123" fillId="0" borderId="69" xfId="0" applyFont="1" applyBorder="1"/>
    <xf numFmtId="0" fontId="123" fillId="0" borderId="83" xfId="0" applyFont="1" applyBorder="1"/>
    <xf numFmtId="0" fontId="139" fillId="0" borderId="14" xfId="0" applyFont="1" applyBorder="1" applyAlignment="1">
      <alignment horizontal="center"/>
    </xf>
    <xf numFmtId="0" fontId="123" fillId="0" borderId="14" xfId="0" applyFont="1" applyBorder="1"/>
    <xf numFmtId="0" fontId="186" fillId="0" borderId="234" xfId="11280" applyFont="1" applyBorder="1" applyAlignment="1">
      <alignment horizontal="center" wrapText="1"/>
    </xf>
    <xf numFmtId="0" fontId="186" fillId="0" borderId="235" xfId="11280" applyFont="1" applyBorder="1" applyAlignment="1">
      <alignment horizontal="center" wrapText="1"/>
    </xf>
    <xf numFmtId="0" fontId="186" fillId="0" borderId="236" xfId="11280" applyFont="1" applyBorder="1" applyAlignment="1">
      <alignment horizontal="center" wrapText="1"/>
    </xf>
    <xf numFmtId="0" fontId="184" fillId="0" borderId="221" xfId="5626" applyFont="1" applyBorder="1" applyAlignment="1">
      <alignment horizontal="center"/>
    </xf>
    <xf numFmtId="0" fontId="184" fillId="0" borderId="223" xfId="5626" applyFont="1" applyBorder="1" applyAlignment="1">
      <alignment horizontal="center"/>
    </xf>
    <xf numFmtId="0" fontId="186" fillId="0" borderId="1" xfId="5626" applyFont="1" applyAlignment="1">
      <alignment horizontal="left" vertical="center"/>
    </xf>
    <xf numFmtId="2" fontId="184" fillId="38" borderId="221" xfId="5626" applyNumberFormat="1" applyFont="1" applyFill="1" applyBorder="1" applyAlignment="1">
      <alignment horizontal="center"/>
    </xf>
    <xf numFmtId="2" fontId="184" fillId="38" borderId="222" xfId="5626" applyNumberFormat="1" applyFont="1" applyFill="1" applyBorder="1" applyAlignment="1">
      <alignment horizontal="center"/>
    </xf>
    <xf numFmtId="2" fontId="184" fillId="38" borderId="223" xfId="5626" applyNumberFormat="1" applyFont="1" applyFill="1" applyBorder="1" applyAlignment="1">
      <alignment horizontal="center"/>
    </xf>
    <xf numFmtId="2" fontId="184" fillId="38" borderId="221" xfId="5626" applyNumberFormat="1" applyFont="1" applyFill="1" applyBorder="1" applyAlignment="1">
      <alignment horizontal="center" wrapText="1"/>
    </xf>
    <xf numFmtId="2" fontId="184" fillId="38" borderId="222" xfId="5626" applyNumberFormat="1" applyFont="1" applyFill="1" applyBorder="1" applyAlignment="1">
      <alignment horizontal="center" wrapText="1"/>
    </xf>
    <xf numFmtId="2" fontId="184" fillId="38" borderId="223" xfId="5626" applyNumberFormat="1" applyFont="1" applyFill="1" applyBorder="1" applyAlignment="1">
      <alignment horizontal="center" wrapText="1"/>
    </xf>
    <xf numFmtId="0" fontId="184" fillId="0" borderId="1" xfId="5626" applyFont="1" applyAlignment="1">
      <alignment horizontal="center"/>
    </xf>
    <xf numFmtId="0" fontId="115" fillId="0" borderId="127" xfId="0" applyFont="1" applyBorder="1" applyAlignment="1">
      <alignment horizontal="center"/>
    </xf>
    <xf numFmtId="0" fontId="123" fillId="0" borderId="128" xfId="0" applyFont="1" applyBorder="1"/>
    <xf numFmtId="0" fontId="123" fillId="0" borderId="129" xfId="0" applyFont="1" applyBorder="1"/>
    <xf numFmtId="0" fontId="116" fillId="0" borderId="130" xfId="0" applyFont="1" applyBorder="1" applyAlignment="1">
      <alignment horizontal="center"/>
    </xf>
    <xf numFmtId="0" fontId="123" fillId="0" borderId="63" xfId="0" applyFont="1" applyBorder="1"/>
    <xf numFmtId="0" fontId="123" fillId="0" borderId="131" xfId="0" applyFont="1" applyBorder="1"/>
    <xf numFmtId="49" fontId="181" fillId="36" borderId="1" xfId="11335" applyNumberFormat="1" applyFont="1" applyFill="1" applyAlignment="1">
      <alignment horizontal="left" vertical="center"/>
    </xf>
    <xf numFmtId="185" fontId="181" fillId="36" borderId="1" xfId="11335" applyNumberFormat="1" applyFont="1" applyFill="1" applyAlignment="1">
      <alignment horizontal="right" vertical="center"/>
    </xf>
    <xf numFmtId="49" fontId="1" fillId="36" borderId="1" xfId="11335" applyNumberFormat="1" applyFill="1" applyAlignment="1">
      <alignment horizontal="left" vertical="center"/>
    </xf>
    <xf numFmtId="0" fontId="1" fillId="36" borderId="1" xfId="11335" applyFill="1"/>
    <xf numFmtId="185" fontId="1" fillId="36" borderId="1" xfId="11335" applyNumberFormat="1" applyFill="1" applyAlignment="1">
      <alignment horizontal="right" vertical="center"/>
    </xf>
    <xf numFmtId="37" fontId="126" fillId="40" borderId="9" xfId="0" applyNumberFormat="1" applyFont="1" applyFill="1" applyBorder="1"/>
    <xf numFmtId="37" fontId="126" fillId="40" borderId="7" xfId="0" applyNumberFormat="1" applyFont="1" applyFill="1" applyBorder="1"/>
    <xf numFmtId="0" fontId="1" fillId="0" borderId="0" xfId="0" applyFont="1"/>
    <xf numFmtId="9" fontId="126" fillId="0" borderId="8" xfId="2" applyFont="1" applyBorder="1"/>
    <xf numFmtId="3" fontId="119" fillId="40" borderId="92" xfId="0" applyNumberFormat="1" applyFont="1" applyFill="1" applyBorder="1"/>
    <xf numFmtId="3" fontId="126" fillId="40" borderId="0" xfId="0" applyNumberFormat="1" applyFont="1" applyFill="1"/>
    <xf numFmtId="3" fontId="126" fillId="41" borderId="0" xfId="0" applyNumberFormat="1" applyFont="1" applyFill="1"/>
    <xf numFmtId="175" fontId="119" fillId="42" borderId="26" xfId="0" applyNumberFormat="1" applyFont="1" applyFill="1" applyBorder="1"/>
    <xf numFmtId="37" fontId="126" fillId="40" borderId="5" xfId="0" applyNumberFormat="1" applyFont="1" applyFill="1" applyBorder="1"/>
    <xf numFmtId="3" fontId="119" fillId="40" borderId="7" xfId="0" applyNumberFormat="1" applyFont="1" applyFill="1" applyBorder="1"/>
    <xf numFmtId="0" fontId="126" fillId="40" borderId="9" xfId="0" applyFont="1" applyFill="1" applyBorder="1"/>
    <xf numFmtId="3" fontId="119" fillId="40" borderId="14" xfId="0" applyNumberFormat="1" applyFont="1" applyFill="1" applyBorder="1"/>
  </cellXfs>
  <cellStyles count="11336">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8F985BBA-CE9C-4B07-B3AC-DAC9EC883376}"/>
    <cellStyle name="Normal 103" xfId="11326" xr:uid="{3AD4E412-7546-4437-94A5-6901C189203F}"/>
    <cellStyle name="Normal 104" xfId="11327" xr:uid="{4FDB210D-A02F-42BF-8E6E-2A3DE3679FC7}"/>
    <cellStyle name="Normal 105" xfId="11328" xr:uid="{8DABD734-2B65-4A88-AE63-F658F19551DF}"/>
    <cellStyle name="Normal 106" xfId="11329" xr:uid="{4BD17FA5-8E22-48E5-9E2F-EA9DB5C1C45E}"/>
    <cellStyle name="Normal 107" xfId="11330" xr:uid="{C615D0F4-1138-49EC-8204-6D33DF7DA2E7}"/>
    <cellStyle name="Normal 108" xfId="11331" xr:uid="{64255E71-5590-499A-80CE-4B185D52339F}"/>
    <cellStyle name="Normal 109" xfId="11332" xr:uid="{8AA3C7BA-0A8A-4118-ABAE-EA7E2870A2A8}"/>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453D04D7-A404-47DC-BE73-1DEF33F2E487}"/>
    <cellStyle name="Normal 111" xfId="11334" xr:uid="{A8F8CC7D-8DE4-487C-AB92-1BAC8A795971}"/>
    <cellStyle name="Normal 112" xfId="11335" xr:uid="{B68CB122-93D1-4288-B401-C3ADD9B25118}"/>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1.7%</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(1,079)</c:v>
                  </c:pt>
                  <c:pt idx="9">
                    <c:v>0 </c:v>
                  </c:pt>
                  <c:pt idx="10">
                    <c:v>0.0%</c:v>
                  </c:pt>
                  <c:pt idx="13">
                    <c:v>(4,354)</c:v>
                  </c:pt>
                </c:lvl>
                <c:lvl>
                  <c:pt idx="0">
                    <c:v>0 </c:v>
                  </c:pt>
                  <c:pt idx="2">
                    <c:v>0 </c:v>
                  </c:pt>
                  <c:pt idx="3">
                    <c:v>0.0%</c:v>
                  </c:pt>
                  <c:pt idx="6">
                    <c:v>(917)</c:v>
                  </c:pt>
                </c:lvl>
                <c:lvl>
                  <c:pt idx="0">
                    <c:v>0 </c:v>
                  </c:pt>
                  <c:pt idx="2">
                    <c:v>0 </c:v>
                  </c:pt>
                  <c:pt idx="3">
                    <c:v>0.0%</c:v>
                  </c:pt>
                  <c:pt idx="6">
                    <c:v>0 </c:v>
                  </c:pt>
                </c:lvl>
                <c:lvl>
                  <c:pt idx="0">
                    <c:v>42,648 </c:v>
                  </c:pt>
                  <c:pt idx="2">
                    <c:v>0 </c:v>
                  </c:pt>
                  <c:pt idx="3">
                    <c:v>0.0%</c:v>
                  </c:pt>
                  <c:pt idx="6">
                    <c:v>6,315 </c:v>
                  </c:pt>
                </c:lvl>
              </c:multiLvlStrCache>
            </c:multiLvlStrRef>
          </c:cat>
          <c:val>
            <c:numRef>
              <c:f>Print_Mois!$AF$498:$AL$498</c:f>
              <c:numCache>
                <c:formatCode>#,##0_);\(#,##0\)</c:formatCode>
                <c:ptCount val="7"/>
                <c:pt idx="0">
                  <c:v>80072.789999999979</c:v>
                </c:pt>
                <c:pt idx="2">
                  <c:v>-32560.36709285299</c:v>
                </c:pt>
                <c:pt idx="3" formatCode="0.0%">
                  <c:v>-0.28908332087336186</c:v>
                </c:pt>
                <c:pt idx="4" formatCode="General">
                  <c:v>0</c:v>
                </c:pt>
                <c:pt idx="5" formatCode="0.0%">
                  <c:v>4.007684846518382E-2</c:v>
                </c:pt>
                <c:pt idx="6">
                  <c:v>236019.95999999924</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9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10833379" cy="7860742"/>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printerSettings" Target="../printerSettings/printerSettings17.bin"/><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23" sqref="D2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v>
      </c>
    </row>
    <row r="2" spans="1:14" ht="14.4">
      <c r="A2" s="1"/>
      <c r="G2" s="3" t="s">
        <v>2</v>
      </c>
      <c r="M2" s="4" t="s">
        <v>3</v>
      </c>
      <c r="N2" s="4" t="s">
        <v>4</v>
      </c>
    </row>
    <row r="3" spans="1:14" ht="14.4">
      <c r="A3" s="1" t="s">
        <v>5</v>
      </c>
      <c r="B3" s="2" t="s">
        <v>12</v>
      </c>
      <c r="C3" s="4">
        <f>+VLOOKUP(B3,$K$3:$L$14,2,0)</f>
        <v>4</v>
      </c>
      <c r="G3" s="3" t="s">
        <v>7</v>
      </c>
      <c r="K3" s="5" t="s">
        <v>8</v>
      </c>
      <c r="L3" s="4">
        <v>1</v>
      </c>
      <c r="M3" s="4" t="str">
        <f t="shared" ref="M3:M14" si="0">+IF($K3=$B$3,"X","")</f>
        <v/>
      </c>
      <c r="N3" s="4" t="str">
        <f t="shared" ref="N3:N14" si="1">+IF(K3=B3,"X",IF(L3&lt;=$C$3,"X",""))</f>
        <v>X</v>
      </c>
    </row>
    <row r="4" spans="1:14" ht="14.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4">
      <c r="A6" s="1"/>
      <c r="B6" s="6"/>
      <c r="K6" s="5" t="s">
        <v>12</v>
      </c>
      <c r="L6" s="4">
        <v>4</v>
      </c>
      <c r="M6" s="4" t="str">
        <f t="shared" si="0"/>
        <v>X</v>
      </c>
      <c r="N6" s="4" t="str">
        <f t="shared" si="1"/>
        <v>X</v>
      </c>
    </row>
    <row r="7" spans="1:14" ht="14.4">
      <c r="A7" s="3"/>
      <c r="B7" s="7"/>
      <c r="K7" s="5" t="s">
        <v>13</v>
      </c>
      <c r="L7" s="4">
        <v>5</v>
      </c>
      <c r="M7" s="4" t="str">
        <f t="shared" si="0"/>
        <v/>
      </c>
      <c r="N7" s="4" t="str">
        <f t="shared" si="1"/>
        <v/>
      </c>
    </row>
    <row r="8" spans="1:14" ht="14.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ht="14.4">
      <c r="A10" s="3" t="s">
        <v>17</v>
      </c>
      <c r="I10" s="3"/>
      <c r="K10" s="5" t="s">
        <v>18</v>
      </c>
      <c r="L10" s="4">
        <v>8</v>
      </c>
      <c r="M10" s="4" t="str">
        <f t="shared" si="0"/>
        <v/>
      </c>
      <c r="N10" s="4" t="str">
        <f t="shared" si="1"/>
        <v/>
      </c>
    </row>
    <row r="11" spans="1:14" ht="14.4">
      <c r="A11" s="3" t="s">
        <v>19</v>
      </c>
      <c r="I11" s="3"/>
      <c r="K11" s="5" t="s">
        <v>20</v>
      </c>
      <c r="L11" s="4">
        <v>9</v>
      </c>
      <c r="M11" s="4" t="str">
        <f t="shared" si="0"/>
        <v/>
      </c>
      <c r="N11" s="4" t="str">
        <f t="shared" si="1"/>
        <v/>
      </c>
    </row>
    <row r="12" spans="1:14" ht="14.4">
      <c r="A12" s="3" t="s">
        <v>21</v>
      </c>
      <c r="I12" s="3"/>
      <c r="K12" s="5" t="s">
        <v>22</v>
      </c>
      <c r="L12" s="4">
        <v>10</v>
      </c>
      <c r="M12" s="4" t="str">
        <f t="shared" si="0"/>
        <v/>
      </c>
      <c r="N12" s="4" t="str">
        <f t="shared" si="1"/>
        <v/>
      </c>
    </row>
    <row r="13" spans="1:14" ht="14.4">
      <c r="A13" s="3"/>
      <c r="I13" s="3"/>
      <c r="K13" s="5" t="s">
        <v>23</v>
      </c>
      <c r="L13" s="4">
        <v>11</v>
      </c>
      <c r="M13" s="4" t="str">
        <f t="shared" si="0"/>
        <v/>
      </c>
      <c r="N13" s="4" t="str">
        <f t="shared" si="1"/>
        <v/>
      </c>
    </row>
    <row r="14" spans="1:14" ht="14.4">
      <c r="A14" s="3"/>
      <c r="I14" s="3"/>
      <c r="K14" s="5" t="s">
        <v>6</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4" workbookViewId="0">
      <selection activeCell="D59" sqref="D59"/>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24</v>
      </c>
      <c r="B1" s="3"/>
      <c r="C1" s="3"/>
      <c r="D1" s="3"/>
      <c r="E1" s="3"/>
      <c r="F1" s="3"/>
      <c r="G1" s="3"/>
      <c r="H1" s="3"/>
      <c r="I1" s="3"/>
      <c r="J1" s="3"/>
      <c r="K1" s="3"/>
      <c r="L1" s="3"/>
      <c r="M1" s="3"/>
      <c r="N1" s="3"/>
      <c r="O1" s="3"/>
      <c r="P1" s="3"/>
      <c r="Q1" s="3"/>
      <c r="R1" s="3"/>
      <c r="S1" s="3"/>
      <c r="T1" s="3"/>
      <c r="U1" s="3"/>
      <c r="V1" s="3"/>
      <c r="W1" s="3"/>
      <c r="X1" s="3"/>
      <c r="Y1" s="3"/>
    </row>
    <row r="2" spans="1:25" ht="35.4">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Avril 2025</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25</v>
      </c>
      <c r="B5" s="14">
        <f>SUMIFS(BV_Data_An_Cour!$P:$P,BV_Data_An_Cour!$U:$U,$A$1,BV_Data_An_Cour!$V:$V,$A5)</f>
        <v>27679.780000000021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4">
      <c r="A6" s="17" t="s">
        <v>27</v>
      </c>
      <c r="B6" s="18">
        <f>SUM(B5)</f>
        <v>27679.780000000021</v>
      </c>
      <c r="C6" s="19"/>
      <c r="D6" s="20"/>
      <c r="E6" s="21"/>
      <c r="F6" s="3"/>
      <c r="G6" s="3"/>
      <c r="H6" s="3"/>
      <c r="I6" s="3"/>
      <c r="J6" s="3"/>
      <c r="K6" s="3"/>
      <c r="L6" s="3"/>
      <c r="M6" s="3"/>
      <c r="N6" s="3"/>
      <c r="O6" s="3"/>
      <c r="P6" s="3"/>
      <c r="Q6" s="3"/>
      <c r="R6" s="3"/>
      <c r="S6" s="3"/>
      <c r="T6" s="3"/>
      <c r="U6" s="3"/>
      <c r="V6" s="3"/>
      <c r="W6" s="3"/>
      <c r="X6" s="3"/>
      <c r="Y6" s="3"/>
    </row>
    <row r="7" spans="1:25" ht="14.4">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4">
      <c r="A8" s="20" t="s">
        <v>29</v>
      </c>
      <c r="B8" s="21">
        <f>SUMIFS(BV_Data_An_Cour!$P:$P,BV_Data_An_Cour!$U:$U,$A$1,BV_Data_An_Cour!$V:$V,$A8)</f>
        <v>1243020.6399999999</v>
      </c>
      <c r="C8" s="15"/>
      <c r="D8" s="20"/>
      <c r="E8" s="21"/>
      <c r="F8" s="3"/>
      <c r="G8" s="3"/>
      <c r="H8" s="3"/>
      <c r="I8" s="3"/>
      <c r="J8" s="3"/>
      <c r="K8" s="3"/>
      <c r="L8" s="3"/>
      <c r="M8" s="3"/>
      <c r="N8" s="3"/>
      <c r="O8" s="3"/>
      <c r="P8" s="3"/>
      <c r="Q8" s="3"/>
      <c r="R8" s="3"/>
      <c r="S8" s="3"/>
      <c r="T8" s="3"/>
      <c r="U8" s="3"/>
      <c r="V8" s="3"/>
      <c r="W8" s="3"/>
      <c r="X8" s="3"/>
      <c r="Y8" s="3"/>
    </row>
    <row r="9" spans="1:25" ht="14.4">
      <c r="A9" s="20" t="s">
        <v>30</v>
      </c>
      <c r="B9" s="21">
        <f>SUMIFS(BV_Data_An_Cour!$P:$P,BV_Data_An_Cour!$U:$U,$A$1,BV_Data_An_Cour!$V:$V,$A9)</f>
        <v>443018.02</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4">
      <c r="A10" s="20" t="s">
        <v>32</v>
      </c>
      <c r="B10" s="21">
        <f>SUMIFS(BV_Data_An_Cour!$P:$P,BV_Data_An_Cour!$U:$U,$A$1,BV_Data_An_Cour!$V:$V,$A10)</f>
        <v>19250</v>
      </c>
      <c r="C10" s="15"/>
      <c r="D10" s="20" t="s">
        <v>33</v>
      </c>
      <c r="E10" s="21">
        <f>-SUMIFS(BV_Data_An_Cour!$P:$P,BV_Data_An_Cour!$U:$U,$A$1,BV_Data_An_Cour!$V:$V,$D10)</f>
        <v>528897.57999999996</v>
      </c>
      <c r="F10" s="3"/>
      <c r="G10" s="3"/>
      <c r="H10" s="3"/>
      <c r="I10" s="3"/>
      <c r="J10" s="3"/>
      <c r="K10" s="3"/>
      <c r="L10" s="3"/>
      <c r="M10" s="3"/>
      <c r="N10" s="3"/>
      <c r="O10" s="3"/>
      <c r="P10" s="3"/>
      <c r="Q10" s="3"/>
      <c r="R10" s="3"/>
      <c r="S10" s="3"/>
      <c r="T10" s="3"/>
      <c r="U10" s="3"/>
      <c r="V10" s="3"/>
      <c r="W10" s="3"/>
      <c r="X10" s="3"/>
      <c r="Y10" s="3"/>
    </row>
    <row r="11" spans="1:25" ht="14.4">
      <c r="A11" s="20" t="s">
        <v>34</v>
      </c>
      <c r="B11" s="21">
        <f>SUMIFS(BV_Data_An_Cour!$P:$P,BV_Data_An_Cour!$U:$U,$A$1,BV_Data_An_Cour!$V:$V,$A11)</f>
        <v>262938.94</v>
      </c>
      <c r="C11" s="15"/>
      <c r="D11" s="20" t="s">
        <v>35</v>
      </c>
      <c r="E11" s="21">
        <f>-SUMIFS(BV_Data_An_Cour!$P:$P,BV_Data_An_Cour!$U:$U,$A$1,BV_Data_An_Cour!$V:$V,$D11)</f>
        <v>62191.949999999983</v>
      </c>
      <c r="F11" s="3"/>
      <c r="G11" s="3"/>
      <c r="H11" s="3"/>
      <c r="I11" s="3"/>
      <c r="J11" s="3"/>
      <c r="K11" s="3"/>
      <c r="L11" s="3"/>
      <c r="M11" s="3"/>
      <c r="N11" s="3"/>
      <c r="O11" s="3"/>
      <c r="P11" s="3"/>
      <c r="Q11" s="3"/>
      <c r="R11" s="3"/>
      <c r="S11" s="3"/>
      <c r="T11" s="3"/>
      <c r="U11" s="3"/>
      <c r="V11" s="3"/>
      <c r="W11" s="3"/>
      <c r="X11" s="3"/>
      <c r="Y11" s="3"/>
    </row>
    <row r="12" spans="1:25" ht="14.4">
      <c r="A12" s="20" t="s">
        <v>36</v>
      </c>
      <c r="B12" s="21">
        <f>SUMIFS(BV_Data_An_Cour!$P:$P,BV_Data_An_Cour!$U:$U,$A$1,BV_Data_An_Cour!$V:$V,$A12)</f>
        <v>31018.54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4">
      <c r="A13" s="20" t="s">
        <v>38</v>
      </c>
      <c r="B13" s="21">
        <f>SUMIFS(BV_Data_An_Cour!$P:$P,BV_Data_An_Cour!$U:$U,$A$1,BV_Data_An_Cour!$V:$V,$A13)</f>
        <v>-3656.65</v>
      </c>
      <c r="C13" s="15"/>
      <c r="D13" s="20" t="s">
        <v>39</v>
      </c>
      <c r="E13" s="21">
        <f>-SUMIFS(BV_Data_An_Cour!$P:$P,BV_Data_An_Cour!$U:$U,$A$1,BV_Data_An_Cour!$V:$V,$D13)</f>
        <v>40650</v>
      </c>
      <c r="F13" s="3"/>
      <c r="G13" s="3"/>
      <c r="H13" s="3"/>
      <c r="I13" s="3"/>
      <c r="J13" s="3"/>
      <c r="K13" s="3"/>
      <c r="L13" s="3"/>
      <c r="M13" s="3"/>
      <c r="N13" s="3"/>
      <c r="O13" s="3"/>
      <c r="P13" s="3"/>
      <c r="Q13" s="3"/>
      <c r="R13" s="3"/>
      <c r="S13" s="3"/>
      <c r="T13" s="3"/>
      <c r="U13" s="3"/>
      <c r="V13" s="3"/>
      <c r="W13" s="3"/>
      <c r="X13" s="3"/>
      <c r="Y13" s="3"/>
    </row>
    <row r="14" spans="1:25" ht="14.4">
      <c r="A14" s="20" t="s">
        <v>40</v>
      </c>
      <c r="B14" s="21">
        <f>SUMIFS(BV_Data_An_Cour!$P:$P,BV_Data_An_Cour!$U:$U,$A$1,BV_Data_An_Cour!$V:$V,$A14)</f>
        <v>52300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ht="14.4">
      <c r="A15" s="20" t="s">
        <v>42</v>
      </c>
      <c r="B15" s="21">
        <f>SUMIFS(BV_Data_An_Cour!$P:$P,BV_Data_An_Cour!$U:$U,$A$1,BV_Data_An_Cour!$V:$V,$A15)</f>
        <v>-56989.33</v>
      </c>
      <c r="C15" s="15"/>
      <c r="D15" s="20" t="s">
        <v>43</v>
      </c>
      <c r="E15" s="21">
        <f>-SUMIFS(BV_Data_An_Cour!$P:$P,BV_Data_An_Cour!$U:$U,$A$1,BV_Data_An_Cour!$V:$V,$D15)</f>
        <v>413461.92000000004</v>
      </c>
      <c r="F15" s="3"/>
      <c r="G15" s="3"/>
      <c r="H15" s="3"/>
      <c r="I15" s="3"/>
      <c r="J15" s="3"/>
      <c r="K15" s="3"/>
      <c r="L15" s="3"/>
      <c r="M15" s="3"/>
      <c r="N15" s="3"/>
      <c r="O15" s="3"/>
      <c r="P15" s="3"/>
      <c r="Q15" s="3"/>
      <c r="R15" s="3"/>
      <c r="S15" s="3"/>
      <c r="T15" s="3"/>
      <c r="U15" s="3"/>
      <c r="V15" s="3"/>
      <c r="W15" s="3"/>
      <c r="X15" s="3"/>
      <c r="Y15" s="3"/>
    </row>
    <row r="16" spans="1:25" ht="14.4">
      <c r="A16" s="17" t="s">
        <v>44</v>
      </c>
      <c r="B16" s="18">
        <f>+SUM(B8:B15)</f>
        <v>1990900.16</v>
      </c>
      <c r="C16" s="19"/>
      <c r="D16" s="17" t="s">
        <v>45</v>
      </c>
      <c r="E16" s="18">
        <f>+SUM(E10:E15)</f>
        <v>1045201.45</v>
      </c>
      <c r="F16" s="3"/>
      <c r="G16" s="3"/>
      <c r="H16" s="3"/>
      <c r="I16" s="3"/>
      <c r="J16" s="3"/>
      <c r="K16" s="3"/>
      <c r="L16" s="3"/>
      <c r="M16" s="3"/>
      <c r="N16" s="3"/>
      <c r="O16" s="3"/>
      <c r="P16" s="3"/>
      <c r="Q16" s="3"/>
      <c r="R16" s="3"/>
      <c r="S16" s="3"/>
      <c r="T16" s="3"/>
      <c r="U16" s="3"/>
      <c r="V16" s="3"/>
      <c r="W16" s="3"/>
      <c r="X16" s="3"/>
      <c r="Y16" s="3"/>
    </row>
    <row r="17" spans="1:25" ht="14.4">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4">
      <c r="A18" s="20" t="s">
        <v>46</v>
      </c>
      <c r="B18" s="21">
        <f>SUMIFS(BV_Data_An_Cour!$P:$P,BV_Data_An_Cour!$U:$U,$A$1,BV_Data_An_Cour!$V:$V,$A18)</f>
        <v>3911950.1900000004</v>
      </c>
      <c r="C18" s="15"/>
      <c r="D18" s="20" t="s">
        <v>47</v>
      </c>
      <c r="E18" s="21">
        <f>-SUMIFS(BV_Data_An_Cour!$P:$P,BV_Data_An_Cour!$U:$U,$A$1,BV_Data_An_Cour!$V:$V,$D18)</f>
        <v>4140932.24</v>
      </c>
      <c r="F18" s="3"/>
      <c r="G18" s="3"/>
      <c r="H18" s="3"/>
      <c r="I18" s="3"/>
      <c r="J18" s="3"/>
      <c r="K18" s="3"/>
      <c r="L18" s="3"/>
      <c r="M18" s="3"/>
      <c r="N18" s="3"/>
      <c r="O18" s="3"/>
      <c r="P18" s="3"/>
      <c r="Q18" s="3"/>
      <c r="R18" s="3"/>
      <c r="S18" s="3"/>
      <c r="T18" s="3"/>
      <c r="U18" s="3"/>
      <c r="V18" s="3"/>
      <c r="W18" s="3"/>
      <c r="X18" s="3"/>
      <c r="Y18" s="3"/>
    </row>
    <row r="19" spans="1:25" ht="14.4">
      <c r="A19" s="20" t="s">
        <v>48</v>
      </c>
      <c r="B19" s="21">
        <f>SUMIFS(BV_Data_An_Cour!$P:$P,BV_Data_An_Cour!$U:$U,$A$1,BV_Data_An_Cour!$V:$V,$A19)</f>
        <v>1570505.6800000002</v>
      </c>
      <c r="C19" s="15"/>
      <c r="D19" s="20" t="s">
        <v>49</v>
      </c>
      <c r="E19" s="21">
        <f>-SUMIFS(BV_Data_An_Cour!$P:$P,BV_Data_An_Cour!$U:$U,$A$1,BV_Data_An_Cour!$V:$V,$D19)</f>
        <v>767857.14</v>
      </c>
      <c r="F19" s="3"/>
      <c r="G19" s="3"/>
      <c r="H19" s="3"/>
      <c r="I19" s="3"/>
      <c r="J19" s="3"/>
      <c r="K19" s="3"/>
      <c r="L19" s="3"/>
      <c r="M19" s="3"/>
      <c r="N19" s="3"/>
      <c r="O19" s="3"/>
      <c r="P19" s="3"/>
      <c r="Q19" s="3"/>
      <c r="R19" s="3"/>
      <c r="S19" s="3"/>
      <c r="T19" s="3"/>
      <c r="U19" s="3"/>
      <c r="V19" s="3"/>
      <c r="W19" s="3"/>
      <c r="X19" s="3"/>
      <c r="Y19" s="3"/>
    </row>
    <row r="20" spans="1:25" ht="14.4">
      <c r="A20" s="20" t="s">
        <v>50</v>
      </c>
      <c r="B20" s="21">
        <f>SUMIFS(BV_Data_An_Cour!$P:$P,BV_Data_An_Cour!$U:$U,$A$1,BV_Data_An_Cour!$V:$V,$A20)</f>
        <v>588793.23</v>
      </c>
      <c r="C20" s="15"/>
      <c r="D20" s="17" t="s">
        <v>51</v>
      </c>
      <c r="E20" s="18">
        <f>+SUM(E18:E19)</f>
        <v>4908789.38</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6071249.1000000015</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407372.81000000006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-8521.67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19224.7</v>
      </c>
      <c r="C24" s="15"/>
      <c r="D24" s="20" t="s">
        <v>57</v>
      </c>
      <c r="E24" s="21">
        <f>-SUMIFS(BV_Data_An_Cour!$P:$P,BV_Data_An_Cour!$U:$U,$A$1,BV_Data_An_Cour!$V:$V,$D24)</f>
        <v>385246.69999999995</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-27993.15</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49701.979999999996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784097.84000000008</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40933.53</v>
      </c>
      <c r="C30" s="19"/>
      <c r="D30" s="23" t="s">
        <v>63</v>
      </c>
      <c r="E30" s="24">
        <f>+E5+E7+E16+E20+E28</f>
        <v>6738088.6699999999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8130762.5700000012</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10036631.280000001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368258.36</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20804.809999999998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57869.83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10483564.290000001</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6738088.6699999999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723600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8178673.6900000013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11207164.290000001</v>
      </c>
      <c r="C53" s="19"/>
      <c r="D53" s="23" t="s">
        <v>89</v>
      </c>
      <c r="E53" s="24">
        <f>SUM(E48:E51)</f>
        <v>12599838.190000001</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19337926.860000003</v>
      </c>
      <c r="C56" s="19"/>
      <c r="D56" s="23" t="s">
        <v>91</v>
      </c>
      <c r="E56" s="24">
        <f>+E53+E45</f>
        <v>19337926.859999999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0" zoomScale="80" zoomScaleNormal="80" workbookViewId="0">
      <selection activeCell="C505" sqref="C505"/>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3934</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3938</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87" workbookViewId="0">
      <selection activeCell="B512" sqref="B512"/>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X</v>
      </c>
      <c r="P2" s="35" t="str">
        <f>+IF(Parametres!$B$3=O$6,"O","")</f>
        <v>O</v>
      </c>
      <c r="Q2" s="35" t="str">
        <f>+IF(Parametres!$B$3=O$6,"U","")</f>
        <v>U</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3937</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6"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399999999999999">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399999999999999">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399999999999999">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399999999999999">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399999999999999">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399999999999999">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399999999999999">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399999999999999">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399999999999999">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1">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399999999999999">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1">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399999999999999">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1">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3937</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3937</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3937</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3937</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3937</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3937</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1054857.8199999996</v>
      </c>
      <c r="F419" s="889"/>
      <c r="G419" s="888"/>
      <c r="H419" s="886">
        <v>59178.759999999987</v>
      </c>
      <c r="I419" s="889"/>
      <c r="J419" s="888"/>
      <c r="K419" s="886">
        <v>83258.900000000009</v>
      </c>
      <c r="L419" s="889"/>
      <c r="M419" s="888"/>
      <c r="N419" s="886">
        <v>83280.58</v>
      </c>
      <c r="O419" s="889"/>
      <c r="P419" s="888"/>
      <c r="Q419" s="886">
        <v>85242.319999999905</v>
      </c>
      <c r="R419" s="889"/>
      <c r="S419" s="888"/>
      <c r="T419" s="886">
        <v>104823.25</v>
      </c>
      <c r="U419" s="889"/>
      <c r="V419" s="888"/>
      <c r="W419" s="886">
        <v>95307.329999999987</v>
      </c>
      <c r="X419" s="889"/>
      <c r="Y419" s="888"/>
      <c r="Z419" s="886">
        <v>87185.4399999999</v>
      </c>
      <c r="AA419" s="889"/>
      <c r="AB419" s="888"/>
      <c r="AC419" s="886">
        <v>80281.080000000016</v>
      </c>
      <c r="AD419" s="889"/>
      <c r="AE419" s="888"/>
      <c r="AF419" s="886">
        <v>100251.99</v>
      </c>
      <c r="AG419" s="889"/>
      <c r="AH419" s="888"/>
      <c r="AI419" s="886">
        <v>109604.2999999999</v>
      </c>
      <c r="AJ419" s="889"/>
      <c r="AK419" s="888"/>
      <c r="AL419" s="886">
        <v>91032.56</v>
      </c>
      <c r="AM419" s="889"/>
      <c r="AN419" s="888"/>
      <c r="AO419" s="886">
        <v>75411.309999999896</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1054857.8199999996</v>
      </c>
      <c r="F420" s="889"/>
      <c r="G420" s="888"/>
      <c r="H420" s="886">
        <v>59178.759999999987</v>
      </c>
      <c r="I420" s="889"/>
      <c r="J420" s="888"/>
      <c r="K420" s="886">
        <v>83258.900000000009</v>
      </c>
      <c r="L420" s="889"/>
      <c r="M420" s="888"/>
      <c r="N420" s="886">
        <v>83280.58</v>
      </c>
      <c r="O420" s="889"/>
      <c r="P420" s="888"/>
      <c r="Q420" s="886">
        <v>85242.319999999905</v>
      </c>
      <c r="R420" s="889"/>
      <c r="S420" s="888"/>
      <c r="T420" s="886">
        <v>104823.25</v>
      </c>
      <c r="U420" s="889"/>
      <c r="V420" s="888"/>
      <c r="W420" s="886">
        <v>95307.329999999987</v>
      </c>
      <c r="X420" s="889"/>
      <c r="Y420" s="888"/>
      <c r="Z420" s="886">
        <v>87185.4399999999</v>
      </c>
      <c r="AA420" s="889"/>
      <c r="AB420" s="888"/>
      <c r="AC420" s="886">
        <v>80281.080000000016</v>
      </c>
      <c r="AD420" s="889"/>
      <c r="AE420" s="888"/>
      <c r="AF420" s="886">
        <v>100251.99</v>
      </c>
      <c r="AG420" s="889"/>
      <c r="AH420" s="888"/>
      <c r="AI420" s="886">
        <v>109604.2999999999</v>
      </c>
      <c r="AJ420" s="889"/>
      <c r="AK420" s="888"/>
      <c r="AL420" s="886">
        <v>91032.56</v>
      </c>
      <c r="AM420" s="889"/>
      <c r="AN420" s="888"/>
      <c r="AO420" s="886">
        <v>75411.309999999896</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1536102.5099999998</v>
      </c>
      <c r="F421" s="889">
        <v>2.2690776991104174E-2</v>
      </c>
      <c r="G421" s="888"/>
      <c r="H421" s="886">
        <v>95753.689999999988</v>
      </c>
      <c r="I421" s="889">
        <v>1.9994763577058091E-2</v>
      </c>
      <c r="J421" s="888"/>
      <c r="K421" s="886">
        <v>117350.16000000002</v>
      </c>
      <c r="L421" s="889">
        <v>2.5304574718797788E-2</v>
      </c>
      <c r="M421" s="888"/>
      <c r="N421" s="886">
        <v>155169.59</v>
      </c>
      <c r="O421" s="889">
        <v>2.2962610020939387E-2</v>
      </c>
      <c r="P421" s="888"/>
      <c r="Q421" s="886">
        <v>135231.04999999999</v>
      </c>
      <c r="R421" s="889">
        <v>2.309987957171182E-2</v>
      </c>
      <c r="S421" s="888"/>
      <c r="T421" s="886">
        <v>150965.21999999997</v>
      </c>
      <c r="U421" s="889">
        <v>2.534984459150123E-2</v>
      </c>
      <c r="V421" s="888"/>
      <c r="W421" s="886">
        <v>101489.41999999988</v>
      </c>
      <c r="X421" s="889">
        <v>2.1693987227544346E-2</v>
      </c>
      <c r="Y421" s="888"/>
      <c r="Z421" s="886">
        <v>144307.46</v>
      </c>
      <c r="AA421" s="889">
        <v>2.2116642024164468E-2</v>
      </c>
      <c r="AB421" s="888"/>
      <c r="AC421" s="886">
        <v>142995.36000000002</v>
      </c>
      <c r="AD421" s="889">
        <v>2.9384755035817618E-2</v>
      </c>
      <c r="AE421" s="888"/>
      <c r="AF421" s="886">
        <v>127123.55999999988</v>
      </c>
      <c r="AG421" s="889">
        <v>2.887289746748822E-2</v>
      </c>
      <c r="AH421" s="888"/>
      <c r="AI421" s="886">
        <v>137342.37</v>
      </c>
      <c r="AJ421" s="889">
        <v>3.1445373868776313E-2</v>
      </c>
      <c r="AK421" s="888"/>
      <c r="AL421" s="886">
        <v>132641.60000000001</v>
      </c>
      <c r="AM421" s="889">
        <v>2.5952012801568447E-2</v>
      </c>
      <c r="AN421" s="888"/>
      <c r="AO421" s="886">
        <v>95733.029999999912</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3937</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3936</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3938</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I7" sqref="I7"/>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3932</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4">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FORECAST</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1" t="s">
        <v>228</v>
      </c>
      <c r="B4" s="121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2"/>
      <c r="B5" s="1212"/>
      <c r="C5" s="1213" t="s">
        <v>248</v>
      </c>
      <c r="D5" s="1214"/>
      <c r="E5" s="103">
        <f t="shared" ref="E5:S5" si="0">+SUM(E6:E20)</f>
        <v>36004.54</v>
      </c>
      <c r="F5" s="104">
        <f t="shared" si="0"/>
        <v>40000</v>
      </c>
      <c r="G5" s="104">
        <f t="shared" si="0"/>
        <v>-3995.4600000000028</v>
      </c>
      <c r="H5" s="105">
        <f t="shared" si="0"/>
        <v>30931.3</v>
      </c>
      <c r="I5" s="106">
        <f t="shared" si="0"/>
        <v>5073.24</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2000</v>
      </c>
      <c r="F6" s="111">
        <v>40000</v>
      </c>
      <c r="G6" s="111">
        <f t="shared" ref="G6:G20" si="2">+E6-F6</f>
        <v>-38000</v>
      </c>
      <c r="H6" s="112"/>
      <c r="I6" s="111">
        <v>2000</v>
      </c>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3933</v>
      </c>
      <c r="D7" s="110"/>
      <c r="E7" s="112">
        <f t="shared" si="1"/>
        <v>3073.24</v>
      </c>
      <c r="F7" s="111"/>
      <c r="G7" s="111">
        <f t="shared" si="2"/>
        <v>3073.24</v>
      </c>
      <c r="H7" s="112"/>
      <c r="I7" s="111">
        <v>3073.24</v>
      </c>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3940</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abSelected="1" topLeftCell="C1" zoomScale="80" zoomScaleNormal="80" workbookViewId="0">
      <selection activeCell="J22" sqref="J22"/>
    </sheetView>
  </sheetViews>
  <sheetFormatPr baseColWidth="10" defaultColWidth="12.59765625" defaultRowHeight="15" customHeight="1"/>
  <cols>
    <col min="1" max="1" width="10.3984375" hidden="1" customWidth="1"/>
    <col min="2" max="2" width="21.8984375" hidden="1" customWidth="1"/>
    <col min="3" max="3" width="31.19921875" customWidth="1"/>
    <col min="4" max="4" width="16.5" customWidth="1"/>
    <col min="5" max="5" width="14.59765625" customWidth="1"/>
    <col min="6" max="6" width="14" customWidth="1"/>
    <col min="7" max="7" width="17.69921875" hidden="1" customWidth="1"/>
    <col min="8" max="8" width="15.09765625" hidden="1" customWidth="1"/>
    <col min="9" max="9" width="14" hidden="1" customWidth="1"/>
    <col min="10" max="10" width="15.59765625" customWidth="1"/>
    <col min="11" max="11" width="15.5" customWidth="1"/>
    <col min="12" max="12" width="14.8984375" customWidth="1"/>
    <col min="13" max="14" width="16.19921875" customWidth="1"/>
    <col min="15" max="15" width="15.5" customWidth="1"/>
    <col min="16" max="16" width="14.59765625" customWidth="1"/>
    <col min="17" max="17" width="14.8984375" bestFit="1" customWidth="1"/>
    <col min="18" max="18" width="14.69921875" customWidth="1"/>
    <col min="19" max="19" width="19" customWidth="1"/>
    <col min="20" max="20" width="4.59765625" customWidth="1"/>
    <col min="21" max="21" width="31.69921875" customWidth="1"/>
    <col min="22" max="22" width="34" customWidth="1"/>
    <col min="23" max="23" width="12.19921875" customWidth="1"/>
    <col min="24" max="24" width="13.69921875" customWidth="1"/>
    <col min="25" max="25" width="15.09765625" customWidth="1"/>
    <col min="26" max="26" width="15" customWidth="1"/>
    <col min="27" max="27" width="11.09765625" hidden="1" customWidth="1"/>
    <col min="28" max="28" width="9.3984375" hidden="1" customWidth="1"/>
    <col min="29" max="29" width="14.5" hidden="1" customWidth="1"/>
    <col min="30" max="30" width="13.5" customWidth="1"/>
    <col min="31" max="31" width="14.19921875" customWidth="1"/>
    <col min="32" max="32" width="14.09765625" customWidth="1"/>
    <col min="33" max="33" width="9" customWidth="1"/>
    <col min="34" max="34" width="13.5" customWidth="1"/>
    <col min="35" max="35" width="11.5" bestFit="1" customWidth="1"/>
    <col min="36" max="36" width="10.8984375" customWidth="1"/>
    <col min="37" max="37" width="11.3984375" customWidth="1"/>
    <col min="38" max="38" width="12.69921875" customWidth="1"/>
    <col min="39" max="39" width="9" customWidth="1"/>
    <col min="40" max="40" width="11.5" bestFit="1" customWidth="1"/>
    <col min="41" max="41" width="14.69921875" customWidth="1"/>
    <col min="42" max="42" width="11" customWidth="1"/>
    <col min="43" max="43" width="48.3984375" customWidth="1"/>
    <col min="44" max="62" width="11" customWidth="1"/>
  </cols>
  <sheetData>
    <row r="1" spans="1:40" ht="35.4">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1">
      <c r="B3" s="41"/>
      <c r="C3" s="238"/>
      <c r="D3" s="1218" t="s">
        <v>343</v>
      </c>
      <c r="E3" s="1219"/>
      <c r="F3" s="1220"/>
      <c r="G3" s="1221"/>
      <c r="H3" s="1219"/>
      <c r="I3" s="1220"/>
      <c r="J3" s="1221" t="s">
        <v>344</v>
      </c>
      <c r="K3" s="1219"/>
      <c r="L3" s="1220"/>
      <c r="M3" s="1221" t="s">
        <v>3310</v>
      </c>
      <c r="N3" s="1220"/>
      <c r="O3" s="1218" t="s">
        <v>345</v>
      </c>
      <c r="P3" s="1219"/>
      <c r="Q3" s="1220"/>
      <c r="R3" s="1222" t="s">
        <v>3312</v>
      </c>
      <c r="S3" s="1223"/>
      <c r="T3" s="41"/>
      <c r="U3" s="41"/>
      <c r="V3" s="239" t="s">
        <v>347</v>
      </c>
      <c r="W3" s="240">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399999999999999">
      <c r="A5" s="5" t="s">
        <v>350</v>
      </c>
      <c r="B5" s="41" t="s">
        <v>92</v>
      </c>
      <c r="C5" s="246" t="s">
        <v>96</v>
      </c>
      <c r="D5" s="247"/>
      <c r="E5" s="247"/>
      <c r="F5" s="248">
        <f>+INDEX('Budget original'!$A$2:$AO$501,MATCH($A5,'Budget original'!$A$2:$A$501,0),MATCH(F$2,'Budget original'!$A$2:$AO$2,0))</f>
        <v>3150915.1351248776</v>
      </c>
      <c r="G5" s="247"/>
      <c r="H5" s="247"/>
      <c r="I5" s="249"/>
      <c r="J5" s="246"/>
      <c r="K5" s="250"/>
      <c r="L5" s="248">
        <f>-SUMIFS(BV_Data_An_Cour!$O:$O,BV_Data_An_Cour!$X:$X,"Oui",BV_Data_An_Cour!$U:$U,$B5)</f>
        <v>2860821</v>
      </c>
      <c r="M5" s="251"/>
      <c r="N5" s="252"/>
      <c r="O5" s="246"/>
      <c r="P5" s="250"/>
      <c r="Q5" s="248">
        <f t="array" ref="Q5">+INDEX('Réel 2024'!$A$2:$AO$501,MATCH($A5,'Réel 2024'!$A$2:$A$501,0),MATCH(Q$2,'Réel 2024'!$A$2:$AO$2,0))</f>
        <v>3890022.88</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399999999999999">
      <c r="A6" s="5" t="s">
        <v>352</v>
      </c>
      <c r="B6" s="41" t="s">
        <v>92</v>
      </c>
      <c r="C6" s="253" t="s">
        <v>97</v>
      </c>
      <c r="D6" s="254">
        <f>+INDEX('Budget original'!$A$2:$AO$501,MATCH($A6,'Budget original'!$A$2:$A$501,0),MATCH(D$2,'Budget original'!$A$2:$AO$2,0))</f>
        <v>15</v>
      </c>
      <c r="E6" s="254">
        <f>IF(D6=0,0,F6/D6)</f>
        <v>1953.6491683802794</v>
      </c>
      <c r="F6" s="254">
        <f>+INDEX('Budget original'!$A$2:$AO$501,MATCH($A6,'Budget original'!$A$2:$A$501,0),MATCH(F$2,'Budget original'!$A$2:$AO$2,0))</f>
        <v>29304.737525704193</v>
      </c>
      <c r="G6" s="255"/>
      <c r="H6" s="254"/>
      <c r="I6" s="254"/>
      <c r="J6" s="255">
        <f>-SUMIFS(BV_Data_An_Cour!$O:$O,BV_Data_An_Cour!$U:$U,$B6,BV_Data_An_Cour!$V:$V,$C6,BV_Data_An_Cour!$W:$W,J$2)</f>
        <v>24</v>
      </c>
      <c r="K6" s="254">
        <f t="shared" ref="K6:K12" si="0">IF(J6=0,0,L6/J6)</f>
        <v>1996.3658333333381</v>
      </c>
      <c r="L6" s="256">
        <f>-SUMIFS(BV_Data_An_Cour!$O:$O,BV_Data_An_Cour!$U:$U,$B6,BV_Data_An_Cour!$V:$V,$C6,BV_Data_An_Cour!$W:$W,L$2)</f>
        <v>47912.780000000115</v>
      </c>
      <c r="M6" s="255">
        <f t="shared" ref="M6:M12" si="1">J6-D6</f>
        <v>9</v>
      </c>
      <c r="N6" s="256">
        <f t="shared" ref="N6:N12" si="2">L6-F6</f>
        <v>18608.042474295922</v>
      </c>
      <c r="O6" s="255">
        <f>+INDEX('Réel 2024'!$A$2:$AO$501,MATCH($A6,'Réel 2024'!$A$2:$A$501,0),MATCH(O$2,'Réel 2024'!$A$2:$AO$2,0))</f>
        <v>18</v>
      </c>
      <c r="P6" s="254">
        <f t="shared" ref="P6:P12" si="3">IF(O6=0,0,Q6/O6)</f>
        <v>2168.0938888888832</v>
      </c>
      <c r="Q6" s="256">
        <f t="array" ref="Q6">+INDEX('Réel 2024'!$A$2:$AO$501,MATCH($A6,'Réel 2024'!$A$2:$A$501,0),MATCH(Q$2,'Réel 2024'!$A$2:$AO$2,0))</f>
        <v>39025.6899999999</v>
      </c>
      <c r="R6" s="255">
        <f t="shared" ref="R6:R12" si="4">J6-O6</f>
        <v>6</v>
      </c>
      <c r="S6" s="256">
        <f t="shared" ref="S6:S12" si="5">L6-Q6</f>
        <v>8887.0900000002148</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399999999999999">
      <c r="A7" s="5" t="s">
        <v>354</v>
      </c>
      <c r="B7" s="41" t="s">
        <v>92</v>
      </c>
      <c r="C7" s="253" t="s">
        <v>98</v>
      </c>
      <c r="D7" s="254">
        <f>+INDEX('Budget original'!$A$2:$AO$501,MATCH($A7,'Budget original'!$A$2:$A$501,0),MATCH(D$2,'Budget original'!$A$2:$AO$2,0))</f>
        <v>42</v>
      </c>
      <c r="E7" s="254">
        <f t="shared" ref="E7:E12" si="6">IF(D7=0,0,F7/D7)</f>
        <v>2435.9046775963693</v>
      </c>
      <c r="F7" s="254">
        <f>+INDEX('Budget original'!$A$2:$AO$501,MATCH($A7,'Budget original'!$A$2:$A$501,0),MATCH(F$2,'Budget original'!$A$2:$AO$2,0))</f>
        <v>102307.99645904751</v>
      </c>
      <c r="G7" s="255"/>
      <c r="H7" s="254"/>
      <c r="I7" s="254"/>
      <c r="J7" s="255">
        <f>-SUMIFS(BV_Data_An_Cour!$O:$O,BV_Data_An_Cour!$U:$U,$B7,BV_Data_An_Cour!$V:$V,$C7,BV_Data_An_Cour!$W:$W,J$2)</f>
        <v>32</v>
      </c>
      <c r="K7" s="254">
        <f t="shared" si="0"/>
        <v>2034.6890625000015</v>
      </c>
      <c r="L7" s="256">
        <f>-SUMIFS(BV_Data_An_Cour!$O:$O,BV_Data_An_Cour!$U:$U,$B7,BV_Data_An_Cour!$V:$V,$C7,BV_Data_An_Cour!$W:$W,L$2)</f>
        <v>65110.050000000047</v>
      </c>
      <c r="M7" s="255">
        <f t="shared" si="1"/>
        <v>-10</v>
      </c>
      <c r="N7" s="256">
        <f t="shared" si="2"/>
        <v>-37197.946459047467</v>
      </c>
      <c r="O7" s="255">
        <f t="array" ref="O7">+INDEX('Réel 2024'!$A$2:$AO$501,MATCH($A7,'Réel 2024'!$A$2:$A$501,0),MATCH(O$2,'Réel 2024'!$A$2:$AO$2,0))</f>
        <v>51</v>
      </c>
      <c r="P7" s="254">
        <f t="shared" si="3"/>
        <v>2906.286862745098</v>
      </c>
      <c r="Q7" s="256">
        <f t="array" ref="Q7">+INDEX('Réel 2024'!$A$2:$AO$501,MATCH($A7,'Réel 2024'!$A$2:$A$501,0),MATCH(Q$2,'Réel 2024'!$A$2:$AO$2,0))</f>
        <v>148220.63</v>
      </c>
      <c r="R7" s="255">
        <f t="shared" si="4"/>
        <v>-19</v>
      </c>
      <c r="S7" s="256">
        <f t="shared" si="5"/>
        <v>-83110.579999999958</v>
      </c>
      <c r="T7" s="41"/>
      <c r="U7" s="41"/>
      <c r="V7" s="239" t="s">
        <v>355</v>
      </c>
      <c r="W7" s="240">
        <v>0.2</v>
      </c>
      <c r="X7" s="41"/>
      <c r="Y7" s="41"/>
      <c r="Z7" s="41"/>
      <c r="AA7" s="41"/>
      <c r="AB7" s="41"/>
      <c r="AC7" s="41"/>
      <c r="AD7" s="41"/>
      <c r="AE7" s="41"/>
      <c r="AF7" s="41"/>
      <c r="AG7" s="41"/>
      <c r="AH7" s="41"/>
      <c r="AI7" s="41"/>
      <c r="AJ7" s="41"/>
      <c r="AK7" s="41"/>
      <c r="AL7" s="41"/>
      <c r="AM7" s="41"/>
      <c r="AN7" s="41"/>
    </row>
    <row r="8" spans="1:40" ht="20.399999999999999">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
        <v>359</v>
      </c>
      <c r="B13" s="41" t="s">
        <v>92</v>
      </c>
      <c r="C13" s="259" t="s">
        <v>101</v>
      </c>
      <c r="D13" s="260">
        <f>+SUM(D6:D12)</f>
        <v>57</v>
      </c>
      <c r="E13" s="260">
        <f>IF(D13&lt;=0,0,F13/D13)</f>
        <v>2308.9953330658195</v>
      </c>
      <c r="F13" s="261">
        <f>+SUM(F6:F12)</f>
        <v>131612.73398475171</v>
      </c>
      <c r="G13" s="262"/>
      <c r="H13" s="260"/>
      <c r="I13" s="261"/>
      <c r="J13" s="262">
        <f t="shared" ref="J13" si="7">+SUM(J6:J12)</f>
        <v>56</v>
      </c>
      <c r="K13" s="260">
        <f>IF(J13&lt;=0,0,L13/J13)</f>
        <v>2018.2648214285744</v>
      </c>
      <c r="L13" s="1264">
        <f t="shared" ref="L13" si="8">+SUM(L6:L12)</f>
        <v>113022.83000000016</v>
      </c>
      <c r="M13" s="262">
        <f>+SUM(M6:M12)</f>
        <v>-1</v>
      </c>
      <c r="N13" s="261">
        <f t="shared" ref="N13" si="9">+SUM(N6:N12)</f>
        <v>-18589.903984751545</v>
      </c>
      <c r="O13" s="262">
        <f>+SUM(O6:O12)</f>
        <v>69</v>
      </c>
      <c r="P13" s="260">
        <f>IF(O13&lt;=0,0,Q13/O13)</f>
        <v>2713.7147826086939</v>
      </c>
      <c r="Q13" s="261">
        <f t="shared" ref="Q13" si="10">+SUM(Q6:Q12)</f>
        <v>187246.31999999989</v>
      </c>
      <c r="R13" s="262">
        <f t="shared" ref="R13:S13" si="11">+SUM(R6:R12)</f>
        <v>-13</v>
      </c>
      <c r="S13" s="261">
        <f t="shared" si="11"/>
        <v>-74223.489999999743</v>
      </c>
      <c r="T13" s="41"/>
      <c r="U13" s="41"/>
      <c r="V13" s="41"/>
      <c r="W13" s="41"/>
      <c r="X13" s="41"/>
      <c r="Y13" s="41"/>
      <c r="Z13" s="41"/>
      <c r="AA13" s="41"/>
      <c r="AB13" s="41"/>
      <c r="AC13" s="41"/>
      <c r="AD13" s="41"/>
      <c r="AE13" s="41"/>
      <c r="AF13" s="41"/>
      <c r="AG13" s="41"/>
      <c r="AH13" s="41"/>
      <c r="AI13" s="41"/>
      <c r="AJ13" s="41"/>
      <c r="AK13" s="41"/>
      <c r="AL13" s="41"/>
      <c r="AM13" s="41"/>
      <c r="AN13" s="41"/>
    </row>
    <row r="14" spans="1:40" ht="20.399999999999999">
      <c r="A14" s="5" t="s">
        <v>92</v>
      </c>
      <c r="B14" s="41" t="s">
        <v>92</v>
      </c>
      <c r="C14" s="253"/>
      <c r="D14" s="41"/>
      <c r="E14" s="254"/>
      <c r="F14" s="263"/>
      <c r="G14" s="253"/>
      <c r="H14" s="254"/>
      <c r="I14" s="263"/>
      <c r="J14" s="253"/>
      <c r="K14" s="254"/>
      <c r="L14" s="1265"/>
      <c r="M14" s="979">
        <f>IF(D13=0,0,M13/D13)</f>
        <v>-1.7543859649122806E-2</v>
      </c>
      <c r="N14" s="980">
        <f>IF(F13=0,0,N13/F13)</f>
        <v>-0.14124700112152763</v>
      </c>
      <c r="O14" s="253"/>
      <c r="P14" s="254"/>
      <c r="Q14" s="263"/>
      <c r="R14" s="979">
        <f>R13/O13</f>
        <v>-0.18840579710144928</v>
      </c>
      <c r="S14" s="980">
        <f>IF(Q13=0,0,(S13/Q13))</f>
        <v>-0.39639491980403024</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1">
      <c r="A15" s="5" t="s">
        <v>360</v>
      </c>
      <c r="B15" s="41" t="s">
        <v>92</v>
      </c>
      <c r="C15" s="266" t="s">
        <v>102</v>
      </c>
      <c r="D15" s="250">
        <f>+INDEX('Budget original'!$A$2:$AO$501,MATCH($A15,'Budget original'!$A$2:$A$501,0),MATCH(D$2,'Budget original'!$A$2:$AO$2,0))</f>
        <v>3</v>
      </c>
      <c r="E15" s="250">
        <f>IF(D15=0,0,F15/D15)</f>
        <v>1534.7521433415677</v>
      </c>
      <c r="F15" s="248">
        <f>+INDEX('Budget original'!$A$2:$AO$501,MATCH($A15,'Budget original'!$A$2:$A$501,0),MATCH(F$2,'Budget original'!$A$2:$AO$2,0))</f>
        <v>4604.2564300247031</v>
      </c>
      <c r="G15" s="267"/>
      <c r="H15" s="250"/>
      <c r="I15" s="248"/>
      <c r="J15" s="268">
        <f>-SUMIFS(BV_Data_An_Cour!$O:$O,BV_Data_An_Cour!$U:$U,$B15,BV_Data_An_Cour!$V:$V,$C15,BV_Data_An_Cour!$W:$W,J$2)</f>
        <v>2</v>
      </c>
      <c r="K15" s="269">
        <f>IF(J15=0,0,L15/J15)</f>
        <v>417.95500000000175</v>
      </c>
      <c r="L15" s="1266">
        <f>-SUMIFS(BV_Data_An_Cour!$O:$O,BV_Data_An_Cour!$U:$U,$B15,BV_Data_An_Cour!$V:$V,$C15,BV_Data_An_Cour!$W:$W,L$2)</f>
        <v>835.91000000000349</v>
      </c>
      <c r="M15" s="267">
        <f>J15-D15</f>
        <v>-1</v>
      </c>
      <c r="N15" s="248">
        <f>L15-F15</f>
        <v>-3768.3464300246997</v>
      </c>
      <c r="O15" s="268">
        <f t="array" ref="O15">+INDEX('Réel 2024'!$A$2:$AO$501,MATCH($A15,'Réel 2024'!$A$2:$A$501,0),MATCH(O$2,'Réel 2024'!$A$2:$AO$2,0))</f>
        <v>4</v>
      </c>
      <c r="P15" s="269">
        <f>IF(O15=0,0,Q15/O15)</f>
        <v>2264.375</v>
      </c>
      <c r="Q15" s="269">
        <f t="array" ref="Q15">+INDEX('Réel 2024'!$A$2:$AO$501,MATCH($A15,'Réel 2024'!$A$2:$A$501,0),MATCH(Q$2,'Réel 2024'!$A$2:$AO$2,0))</f>
        <v>9057.5</v>
      </c>
      <c r="R15" s="267">
        <f>J15-O15</f>
        <v>-2</v>
      </c>
      <c r="S15" s="248">
        <f>L15-Q15</f>
        <v>-8221.5899999999965</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1">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0</v>
      </c>
      <c r="P17" s="254">
        <f>IF(O17=0,0,Q17/O17)</f>
        <v>0</v>
      </c>
      <c r="Q17" s="256">
        <f t="array" ref="Q17">+INDEX('Réel 2024'!$A$2:$AO$501,MATCH($A17,'Réel 2024'!$A$2:$A$501,0),MATCH(Q$2,'Réel 2024'!$A$2:$AO$2,0))</f>
        <v>0</v>
      </c>
      <c r="R17" s="255">
        <f>J17-O17</f>
        <v>0</v>
      </c>
      <c r="S17" s="256">
        <f>L17-Q17</f>
        <v>0</v>
      </c>
      <c r="T17" s="41"/>
      <c r="U17" s="38"/>
      <c r="V17" s="1001"/>
      <c r="W17" s="41"/>
      <c r="X17" s="41"/>
      <c r="Y17" s="41"/>
      <c r="Z17" s="41"/>
      <c r="AA17" s="254"/>
      <c r="AB17" s="41"/>
      <c r="AC17" s="41"/>
      <c r="AD17" s="41"/>
      <c r="AE17" s="41"/>
      <c r="AF17" s="41"/>
      <c r="AG17" s="41"/>
      <c r="AH17" s="41"/>
      <c r="AI17" s="41"/>
      <c r="AJ17" s="41"/>
      <c r="AK17" s="41"/>
      <c r="AL17" s="41"/>
      <c r="AM17" s="41"/>
      <c r="AN17" s="41"/>
    </row>
    <row r="18" spans="1:40" ht="21">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1">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6375</v>
      </c>
      <c r="G19" s="255"/>
      <c r="H19" s="254"/>
      <c r="I19" s="254"/>
      <c r="J19" s="267"/>
      <c r="K19" s="254"/>
      <c r="L19" s="256">
        <f>-SUMIFS(BV_Data_An_Cour!$O:$O,BV_Data_An_Cour!$U:$U,$B19,BV_Data_An_Cour!$V:$V,$C19,BV_Data_An_Cour!$W:$W,L$2)</f>
        <v>5903.289999999979</v>
      </c>
      <c r="M19" s="255"/>
      <c r="N19" s="256">
        <f>L19-F19</f>
        <v>-471.71000000002095</v>
      </c>
      <c r="O19" s="267"/>
      <c r="P19" s="254"/>
      <c r="Q19" s="256">
        <f t="array" ref="Q19">+INDEX('Réel 2024'!$A$2:$AO$501,MATCH($A19,'Réel 2024'!$A$2:$A$501,0),MATCH(Q$2,'Réel 2024'!$A$2:$AO$2,0))</f>
        <v>6030.3699999999899</v>
      </c>
      <c r="R19" s="255">
        <f>O19-K19</f>
        <v>0</v>
      </c>
      <c r="S19" s="256">
        <f>L19-Q19</f>
        <v>-127.08000000001084</v>
      </c>
      <c r="T19" s="41"/>
      <c r="W19" s="254"/>
      <c r="X19" s="274"/>
      <c r="Y19" s="41"/>
      <c r="Z19" s="41"/>
      <c r="AA19" s="41"/>
      <c r="AB19" s="41"/>
      <c r="AC19" s="41"/>
      <c r="AD19" s="41"/>
      <c r="AE19" s="41"/>
      <c r="AF19" s="41"/>
      <c r="AG19" s="41"/>
      <c r="AH19" s="41"/>
      <c r="AI19" s="41"/>
      <c r="AJ19" s="41"/>
      <c r="AK19" s="41"/>
      <c r="AL19" s="41"/>
      <c r="AM19" s="41"/>
      <c r="AN19" s="41"/>
    </row>
    <row r="20" spans="1:40" ht="21">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3000</v>
      </c>
      <c r="G21" s="255"/>
      <c r="H21" s="254"/>
      <c r="I21" s="254"/>
      <c r="J21" s="255"/>
      <c r="K21" s="254">
        <f>IF(J13=0,0,L21/(J13+J15))</f>
        <v>0</v>
      </c>
      <c r="L21" s="256">
        <f>-SUMIFS(BV_Data_An_Cour!$O:$O,BV_Data_An_Cour!$U:$U,$B21,BV_Data_An_Cour!$V:$V,$C21,BV_Data_An_Cour!$W:$W,L$2)</f>
        <v>0</v>
      </c>
      <c r="M21" s="255"/>
      <c r="N21" s="256">
        <f>L21-F21</f>
        <v>-3000</v>
      </c>
      <c r="O21" s="255"/>
      <c r="P21" s="254"/>
      <c r="Q21" s="256">
        <f t="array" ref="Q21">+INDEX('Réel 2024'!$A$2:$AO$501,MATCH($A21,'Réel 2024'!$A$2:$A$501,0),MATCH(Q$2,'Réel 2024'!$A$2:$AO$2,0))</f>
        <v>0</v>
      </c>
      <c r="R21" s="255">
        <f t="shared" ref="R21:R23" si="12">O21-K21</f>
        <v>0</v>
      </c>
      <c r="S21" s="256">
        <f t="shared" ref="S21:S24" si="13">L21-Q21</f>
        <v>0</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55800</v>
      </c>
      <c r="G22" s="255"/>
      <c r="H22" s="254"/>
      <c r="I22" s="254"/>
      <c r="J22" s="255"/>
      <c r="K22" s="254">
        <f>IF(J13=0,0,L22/(J13+J15))</f>
        <v>931.86034482758623</v>
      </c>
      <c r="L22" s="256">
        <f>-SUMIFS(BV_Data_An_Cour!$O:$O,BV_Data_An_Cour!$U:$U,$B22,BV_Data_An_Cour!$V:$V,$C22,BV_Data_An_Cour!$W:$W,L$2)</f>
        <v>54047.9</v>
      </c>
      <c r="M22" s="255"/>
      <c r="N22" s="256">
        <f>L22-F22</f>
        <v>-1752.0999999999985</v>
      </c>
      <c r="O22" s="255"/>
      <c r="P22" s="254"/>
      <c r="Q22" s="256">
        <f t="array" ref="Q22">+INDEX('Réel 2024'!$A$2:$AO$501,MATCH($A22,'Réel 2024'!$A$2:$A$501,0),MATCH(Q$2,'Réel 2024'!$A$2:$AO$2,0))</f>
        <v>55912.32</v>
      </c>
      <c r="R22" s="255">
        <f t="shared" si="12"/>
        <v>-931.86034482758623</v>
      </c>
      <c r="S22" s="256">
        <f t="shared" si="13"/>
        <v>-1864.4199999999983</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1200</v>
      </c>
      <c r="G23" s="255"/>
      <c r="H23" s="254"/>
      <c r="I23" s="254"/>
      <c r="J23" s="255"/>
      <c r="K23" s="254">
        <f>IF(J13=0,0,L23/(J13+J15))</f>
        <v>0</v>
      </c>
      <c r="L23" s="256">
        <f>-SUMIFS(BV_Data_An_Cour!$O:$O,BV_Data_An_Cour!$U:$U,$B23,BV_Data_An_Cour!$V:$V,$C23,BV_Data_An_Cour!$W:$W,L$2)</f>
        <v>0</v>
      </c>
      <c r="M23" s="267"/>
      <c r="N23" s="256">
        <f>L23-F23</f>
        <v>-1200</v>
      </c>
      <c r="O23" s="255"/>
      <c r="P23" s="254"/>
      <c r="Q23" s="256">
        <f t="array" ref="Q23">+INDEX('Réel 2024'!$A$2:$AO$501,MATCH($A23,'Réel 2024'!$A$2:$A$501,0),MATCH(Q$2,'Réel 2024'!$A$2:$AO$2,0))</f>
        <v>1358.23</v>
      </c>
      <c r="R23" s="255">
        <f t="shared" si="12"/>
        <v>0</v>
      </c>
      <c r="S23" s="256">
        <f t="shared" si="13"/>
        <v>-1358.23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60</v>
      </c>
      <c r="E24" s="260">
        <f>IF(D24&lt;=0,0,F24/D24)</f>
        <v>1000</v>
      </c>
      <c r="F24" s="261">
        <f>F21+F22+F23</f>
        <v>60000</v>
      </c>
      <c r="G24" s="262"/>
      <c r="H24" s="260"/>
      <c r="I24" s="261"/>
      <c r="J24" s="262">
        <f>+J15+J13</f>
        <v>58</v>
      </c>
      <c r="K24" s="260">
        <f>IF(J24&lt;=0,0,L24/J24)</f>
        <v>931.86034482758623</v>
      </c>
      <c r="L24" s="261">
        <f>L21+L22+L23</f>
        <v>54047.9</v>
      </c>
      <c r="M24" s="275">
        <f>J24-D24</f>
        <v>-2</v>
      </c>
      <c r="N24" s="261">
        <f>L24-F24</f>
        <v>-5952.0999999999985</v>
      </c>
      <c r="O24" s="262">
        <f>+O15+O13</f>
        <v>73</v>
      </c>
      <c r="P24" s="260">
        <f>IF(O24&lt;=0,0,Q24/O24)</f>
        <v>784.52808219178087</v>
      </c>
      <c r="Q24" s="261">
        <f>Q21+Q22+Q23</f>
        <v>57270.55</v>
      </c>
      <c r="R24" s="273"/>
      <c r="S24" s="261">
        <f t="shared" si="13"/>
        <v>-3222.6500000000015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-9.9201666666666646E-2</v>
      </c>
      <c r="O25" s="253"/>
      <c r="P25" s="41"/>
      <c r="Q25" s="276"/>
      <c r="R25" s="277"/>
      <c r="S25" s="265">
        <f>IF(Q24=0,0,(S24/Q24))</f>
        <v>-5.6270631240663851E-2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62</v>
      </c>
      <c r="E27" s="280">
        <f>IF(D27&lt;=0,0,F27/D27)</f>
        <v>3344.8337847291286</v>
      </c>
      <c r="F27" s="281">
        <f>F13+F17+F24+F19+F15</f>
        <v>207379.69465320598</v>
      </c>
      <c r="G27" s="282"/>
      <c r="H27" s="280"/>
      <c r="I27" s="281"/>
      <c r="J27" s="282">
        <f>+J13+J15+J17</f>
        <v>58</v>
      </c>
      <c r="K27" s="280">
        <f>IF(J27&lt;=0,0,L27/J27)</f>
        <v>2996.7229310344851</v>
      </c>
      <c r="L27" s="281">
        <f>L13+L17+L24+L19+L15</f>
        <v>173809.93000000014</v>
      </c>
      <c r="M27" s="282">
        <f>J27-D27</f>
        <v>-4</v>
      </c>
      <c r="N27" s="281">
        <f>L27-F27</f>
        <v>-33569.764653205842</v>
      </c>
      <c r="O27" s="282">
        <f>+O13+O15+O17</f>
        <v>73</v>
      </c>
      <c r="P27" s="280">
        <f>IF(O27&lt;=0,0,Q27/O27)</f>
        <v>3556.2293150684914</v>
      </c>
      <c r="Q27" s="281">
        <f>Q13+Q17+Q24+Q19+Q15</f>
        <v>259604.73999999987</v>
      </c>
      <c r="R27" s="282">
        <f>J27-O27</f>
        <v>-15</v>
      </c>
      <c r="S27" s="281">
        <f>L27-Q27</f>
        <v>-85794.809999999736</v>
      </c>
      <c r="T27" s="41"/>
      <c r="U27" s="41" t="s">
        <v>3962</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9"/>
      <c r="L28" s="950">
        <f>L27/F27</f>
        <v>0.83812414851249817</v>
      </c>
      <c r="M28" s="286">
        <f>M27/D27</f>
        <v>-6.4516129032258063E-2</v>
      </c>
      <c r="N28" s="287">
        <f>N27/F27</f>
        <v>-0.1618758514875018</v>
      </c>
      <c r="O28" s="283"/>
      <c r="P28" s="284"/>
      <c r="Q28" s="285"/>
      <c r="R28" s="286">
        <f>R27/O27</f>
        <v>-0.20547945205479451</v>
      </c>
      <c r="S28" s="287">
        <f>IF(Q27=0,0,S27/Q27)</f>
        <v>-0.33048244804775051</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0.33304493795843365</v>
      </c>
      <c r="E31" s="291">
        <f t="shared" ref="E31:E36" si="14">F31/D$24</f>
        <v>756.10631869289614</v>
      </c>
      <c r="F31" s="254">
        <f>+INDEX('Budget original'!$A$2:$AO$501,MATCH($A31,'Budget original'!$A$2:$A$501,0),MATCH(F$2,'Budget original'!$A$2:$AO$2,0))</f>
        <v>45366.379121573766</v>
      </c>
      <c r="G31" s="292"/>
      <c r="H31" s="291"/>
      <c r="I31" s="254"/>
      <c r="J31" s="292">
        <f>L31/(L15+L13+L17)</f>
        <v>0.29765874802408626</v>
      </c>
      <c r="K31" s="291">
        <f t="shared" ref="K31:K40" si="15">IF(L31=0,0,L31/J$24)</f>
        <v>584.32844827586212</v>
      </c>
      <c r="L31" s="254">
        <f>SUMIFS(BV_Data_An_Cour!$O:$O,BV_Data_An_Cour!$U:$U,$B31,BV_Data_An_Cour!$V:$V,$C31,BV_Data_An_Cour!$W:$W,L$2)</f>
        <v>33891.050000000003</v>
      </c>
      <c r="M31" s="253"/>
      <c r="N31" s="276">
        <f t="shared" ref="N31:N53" si="16">L31-F31</f>
        <v>-11475.329121573763</v>
      </c>
      <c r="O31" s="1145">
        <f>Q31/(Q13+Q15+Q17)</f>
        <v>0.24820204721436409</v>
      </c>
      <c r="P31" s="291">
        <f t="shared" ref="P31:P40" si="17">Q31/O$24</f>
        <v>667.43849315068496</v>
      </c>
      <c r="Q31" s="256">
        <f t="array" ref="Q31">+INDEX('Réel 2024'!$A$2:$AO$501,MATCH($A31,'Réel 2024'!$A$2:$A$501,0),MATCH(Q$2,'Réel 2024'!$A$2:$AO$2,0))</f>
        <v>48723.01</v>
      </c>
      <c r="R31" s="253"/>
      <c r="S31" s="276">
        <f t="shared" ref="S31:S53" si="18">L31-Q31</f>
        <v>-14831.96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v>
      </c>
      <c r="F32" s="248">
        <f>+INDEX('Budget original'!$A$2:$AO$501,MATCH($A32,'Budget original'!$A$2:$A$501,0),MATCH(F$2,'Budget original'!$A$2:$AO$2,0))</f>
        <v>16800</v>
      </c>
      <c r="G32" s="295"/>
      <c r="H32" s="294"/>
      <c r="I32" s="248"/>
      <c r="J32" s="295">
        <f>L32/L24</f>
        <v>0.20000869599003845</v>
      </c>
      <c r="K32" s="294">
        <f t="shared" si="15"/>
        <v>186.3801724137931</v>
      </c>
      <c r="L32" s="248">
        <f>SUMIFS(BV_Data_An_Cour!$O:$O,BV_Data_An_Cour!$U:$U,$B32,BV_Data_An_Cour!$V:$V,$C32,BV_Data_An_Cour!$W:$W,L$2)</f>
        <v>10810.05</v>
      </c>
      <c r="M32" s="246"/>
      <c r="N32" s="296">
        <f t="shared" si="16"/>
        <v>-5989.9500000000007</v>
      </c>
      <c r="O32" s="1146">
        <f>Q32/Q24</f>
        <v>0.29711867617824522</v>
      </c>
      <c r="P32" s="294">
        <f t="shared" si="17"/>
        <v>233.09794520547948</v>
      </c>
      <c r="Q32" s="248">
        <f t="array" ref="Q32">+INDEX('Réel 2024'!$A$2:$AO$501,MATCH($A32,'Réel 2024'!$A$2:$A$501,0),MATCH(Q$2,'Réel 2024'!$A$2:$AO$2,0))</f>
        <v>17016.150000000001</v>
      </c>
      <c r="R32" s="246"/>
      <c r="S32" s="296">
        <f t="shared" si="18"/>
        <v>-6206.1000000000022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6900</v>
      </c>
      <c r="G33" s="298"/>
      <c r="H33" s="291"/>
      <c r="I33" s="254"/>
      <c r="J33" s="253"/>
      <c r="K33" s="291">
        <f t="shared" si="15"/>
        <v>166.21517241379308</v>
      </c>
      <c r="L33" s="254">
        <f>SUMIFS(BV_Data_An_Cour!$O:$O,BV_Data_An_Cour!$U:$U,$B33,BV_Data_An_Cour!$V:$V,$C33,BV_Data_An_Cour!$W:$W,L$2)</f>
        <v>9640.48</v>
      </c>
      <c r="M33" s="253"/>
      <c r="N33" s="276">
        <f t="shared" si="16"/>
        <v>2740.4799999999996</v>
      </c>
      <c r="O33" s="253"/>
      <c r="P33" s="291">
        <f t="shared" si="17"/>
        <v>51.421369863013702</v>
      </c>
      <c r="Q33" s="256">
        <f t="array" ref="Q33">+INDEX('Réel 2024'!$A$2:$AO$501,MATCH($A33,'Réel 2024'!$A$2:$A$501,0),MATCH(Q$2,'Réel 2024'!$A$2:$AO$2,0))</f>
        <v>3753.76</v>
      </c>
      <c r="R33" s="253"/>
      <c r="S33" s="276">
        <f t="shared" si="18"/>
        <v>5886.7199999999993</v>
      </c>
      <c r="T33" s="41"/>
      <c r="U33" s="1196"/>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600</v>
      </c>
      <c r="G34" s="298"/>
      <c r="H34" s="291"/>
      <c r="I34" s="254"/>
      <c r="J34" s="253"/>
      <c r="K34" s="291">
        <f t="shared" si="15"/>
        <v>6.0170689655172414</v>
      </c>
      <c r="L34" s="254">
        <f>SUMIFS(BV_Data_An_Cour!$O:$O,BV_Data_An_Cour!$U:$U,$B34,BV_Data_An_Cour!$V:$V,$C34,BV_Data_An_Cour!$W:$W,L$2)</f>
        <v>348.99</v>
      </c>
      <c r="M34" s="253"/>
      <c r="N34" s="276">
        <f t="shared" si="16"/>
        <v>-251.01</v>
      </c>
      <c r="O34" s="253"/>
      <c r="P34" s="291">
        <f t="shared" si="17"/>
        <v>1.516027397260274</v>
      </c>
      <c r="Q34" s="256">
        <f t="array" ref="Q34">+INDEX('Réel 2024'!$A$2:$AO$501,MATCH($A34,'Réel 2024'!$A$2:$A$501,0),MATCH(Q$2,'Réel 2024'!$A$2:$AO$2,0))</f>
        <v>110.67</v>
      </c>
      <c r="R34" s="253"/>
      <c r="S34" s="276">
        <f t="shared" si="18"/>
        <v>238.32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7245</v>
      </c>
      <c r="G35" s="300"/>
      <c r="H35" s="294"/>
      <c r="I35" s="248"/>
      <c r="J35" s="246"/>
      <c r="K35" s="294">
        <f t="shared" si="15"/>
        <v>133.99603448275863</v>
      </c>
      <c r="L35" s="248">
        <f>SUMIFS(BV_Data_An_Cour!$O:$O,BV_Data_An_Cour!$U:$U,$B35,BV_Data_An_Cour!$V:$V,$C35,BV_Data_An_Cour!$W:$W,L$2)</f>
        <v>7771.77</v>
      </c>
      <c r="M35" s="246"/>
      <c r="N35" s="296">
        <f t="shared" si="16"/>
        <v>526.77000000000044</v>
      </c>
      <c r="O35" s="246"/>
      <c r="P35" s="294">
        <f t="shared" si="17"/>
        <v>164.94</v>
      </c>
      <c r="Q35" s="256">
        <f t="array" ref="Q35">+INDEX('Réel 2024'!$A$2:$AO$501,MATCH($A35,'Réel 2024'!$A$2:$A$501,0),MATCH(Q$2,'Réel 2024'!$A$2:$AO$2,0))</f>
        <v>12040.62</v>
      </c>
      <c r="R35" s="246"/>
      <c r="S35" s="296">
        <f t="shared" si="18"/>
        <v>-4268.8500000000004</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91.033333333333331</v>
      </c>
      <c r="F36" s="254">
        <f>+INDEX('Budget original'!$A$2:$AO$501,MATCH($A36,'Budget original'!$A$2:$A$501,0),MATCH(F$2,'Budget original'!$A$2:$AO$2,0))</f>
        <v>5462</v>
      </c>
      <c r="G36" s="298"/>
      <c r="H36" s="291"/>
      <c r="I36" s="254"/>
      <c r="J36" s="253"/>
      <c r="K36" s="291">
        <f t="shared" si="15"/>
        <v>366.41689655172416</v>
      </c>
      <c r="L36" s="301">
        <f>SUMIFS(BV_Data_An_Cour!$O:$O,BV_Data_An_Cour!$U:$U,$B36,BV_Data_An_Cour!$V:$V,$C36,BV_Data_An_Cour!$W:$W,L$2)</f>
        <v>21252.18</v>
      </c>
      <c r="M36" s="41"/>
      <c r="N36" s="1255">
        <f t="shared" si="16"/>
        <v>15790.18</v>
      </c>
      <c r="O36" s="253"/>
      <c r="P36" s="291">
        <f t="shared" si="17"/>
        <v>131.05397260273958</v>
      </c>
      <c r="Q36" s="272">
        <f t="array" ref="Q36">+INDEX('Réel 2024'!$A$2:$AO$501,MATCH($A36,'Réel 2024'!$A$2:$A$501,0),MATCH(Q$2,'Réel 2024'!$A$2:$AO$2,0))</f>
        <v>9566.9399999999896</v>
      </c>
      <c r="R36" s="253"/>
      <c r="S36" s="276">
        <f t="shared" si="18"/>
        <v>11685.240000000011</v>
      </c>
      <c r="T36" s="41"/>
      <c r="U36" s="1190"/>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601.02305483238945</v>
      </c>
      <c r="F37" s="254">
        <f>+INDEX('Budget original'!$A$2:$AO$501,MATCH($A37,'Budget original'!$A$2:$A$501,0),MATCH(F$2,'Budget original'!$A$2:$AO$2,0))</f>
        <v>36061.383289943369</v>
      </c>
      <c r="G37" s="298"/>
      <c r="H37" s="291"/>
      <c r="I37" s="254"/>
      <c r="J37" s="253"/>
      <c r="K37" s="291">
        <f t="shared" si="15"/>
        <v>284.33689655172418</v>
      </c>
      <c r="L37" s="951">
        <f>SUMIFS(BV_Data_An_Cour!$O:$O,BV_Data_An_Cour!$U:$U,$B37,BV_Data_An_Cour!$V:$V,$C37,BV_Data_An_Cour!$W:$W,L$2)</f>
        <v>16491.54</v>
      </c>
      <c r="M37" s="41"/>
      <c r="N37" s="961">
        <f t="shared" si="16"/>
        <v>-19569.843289943368</v>
      </c>
      <c r="O37" s="253"/>
      <c r="P37" s="291">
        <f t="shared" si="17"/>
        <v>474.72863013698634</v>
      </c>
      <c r="Q37" s="256">
        <f t="array" ref="Q37">+INDEX('Réel 2024'!$A$2:$AO$501,MATCH($A37,'Réel 2024'!$A$2:$A$501,0),MATCH(Q$2,'Réel 2024'!$A$2:$AO$2,0))</f>
        <v>34655.19</v>
      </c>
      <c r="R37" s="253"/>
      <c r="S37" s="276">
        <f t="shared" si="18"/>
        <v>-18163.650000000001</v>
      </c>
      <c r="T37" s="41"/>
      <c r="U37" s="1257" t="s">
        <v>3959</v>
      </c>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0.57110105504577746</v>
      </c>
      <c r="F41" s="307">
        <f>SUM(F31:F40)</f>
        <v>118434.76241151712</v>
      </c>
      <c r="G41" s="308"/>
      <c r="H41" s="306"/>
      <c r="I41" s="307"/>
      <c r="J41" s="308" t="s">
        <v>119</v>
      </c>
      <c r="K41" s="306">
        <f>L41/L$27</f>
        <v>0.57652666910342765</v>
      </c>
      <c r="L41" s="307">
        <f>SUM(L31:L40)</f>
        <v>100206.06</v>
      </c>
      <c r="M41" s="309"/>
      <c r="N41" s="307">
        <f t="shared" si="16"/>
        <v>-18228.702411517123</v>
      </c>
      <c r="O41" s="308" t="s">
        <v>119</v>
      </c>
      <c r="P41" s="306">
        <f>Q41/Q$27</f>
        <v>0.4848383739064242</v>
      </c>
      <c r="Q41" s="310">
        <f>SUM(Q31:Q40)</f>
        <v>125866.33999999998</v>
      </c>
      <c r="R41" s="311"/>
      <c r="S41" s="307">
        <f t="shared" si="18"/>
        <v>-25660.279999999984</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14988.29</v>
      </c>
      <c r="M42" s="253"/>
      <c r="N42" s="276">
        <f t="shared" si="16"/>
        <v>-9498.1753846153879</v>
      </c>
      <c r="O42" s="253"/>
      <c r="P42" s="1144">
        <f>Q42/Q27</f>
        <v>5.0650269328672524E-2</v>
      </c>
      <c r="Q42" s="256">
        <f t="array" ref="Q42">+INDEX('Réel 2024'!$A$2:$AO$501,MATCH($A42,'Réel 2024'!$A$2:$A$501,0),MATCH(Q$2,'Réel 2024'!$A$2:$AO$2,0))</f>
        <v>13149.05</v>
      </c>
      <c r="R42" s="253"/>
      <c r="S42" s="276">
        <f t="shared" si="18"/>
        <v>1839.2400000000016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12485.89</v>
      </c>
      <c r="M43" s="253"/>
      <c r="N43" s="276">
        <f t="shared" si="16"/>
        <v>-1418.3290769230789</v>
      </c>
      <c r="O43" s="253"/>
      <c r="P43" s="41"/>
      <c r="Q43" s="256">
        <f t="array" ref="Q43">+INDEX('Réel 2024'!$A$2:$AO$501,MATCH($A43,'Réel 2024'!$A$2:$A$501,0),MATCH(Q$2,'Réel 2024'!$A$2:$AO$2,0))</f>
        <v>9365.85</v>
      </c>
      <c r="R43" s="253"/>
      <c r="S43" s="276">
        <f t="shared" si="18"/>
        <v>3120.0399999999991</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3948.25</v>
      </c>
      <c r="M44" s="241"/>
      <c r="N44" s="1256">
        <f t="shared" si="16"/>
        <v>3632.6961538461537</v>
      </c>
      <c r="O44" s="241"/>
      <c r="P44" s="315"/>
      <c r="Q44" s="272">
        <f t="array" ref="Q44">+INDEX('Réel 2024'!$A$2:$AO$501,MATCH($A44,'Réel 2024'!$A$2:$A$501,0),MATCH(Q$2,'Réel 2024'!$A$2:$AO$2,0))</f>
        <v>4575.3599999999997</v>
      </c>
      <c r="R44" s="241"/>
      <c r="S44" s="317">
        <f t="shared" si="18"/>
        <v>-627.10999999999967</v>
      </c>
      <c r="T44" s="41"/>
      <c r="U44" s="41" t="s">
        <v>3958</v>
      </c>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13219.128099359219</v>
      </c>
      <c r="G49" s="298"/>
      <c r="H49" s="41"/>
      <c r="I49" s="248"/>
      <c r="J49" s="253"/>
      <c r="K49" s="41"/>
      <c r="L49" s="248">
        <f>SUMIFS(BV_Data_An_Cour!$O:$O,BV_Data_An_Cour!$U:$U,$B49,BV_Data_An_Cour!$V:$V,$C49,BV_Data_An_Cour!$W:$W,L$2)</f>
        <v>12288.84</v>
      </c>
      <c r="M49" s="253"/>
      <c r="N49" s="276">
        <f t="shared" si="16"/>
        <v>-930.2880993592189</v>
      </c>
      <c r="O49" s="253"/>
      <c r="P49" s="41"/>
      <c r="Q49" s="248">
        <f t="array" ref="Q49">+INDEX('Réel 2024'!$A$2:$AO$501,MATCH($A49,'Réel 2024'!$A$2:$A$501,0),MATCH(Q$2,'Réel 2024'!$A$2:$AO$2,0))</f>
        <v>11763.15</v>
      </c>
      <c r="R49" s="253"/>
      <c r="S49" s="276">
        <f t="shared" si="18"/>
        <v>525.69000000000051</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16072.596279397112</v>
      </c>
      <c r="G50" s="316"/>
      <c r="H50" s="315"/>
      <c r="I50" s="254"/>
      <c r="J50" s="241"/>
      <c r="K50" s="315"/>
      <c r="L50" s="256">
        <f>SUMIFS(BV_Data_An_Cour!$O:$O,BV_Data_An_Cour!$U:$U,$B50,BV_Data_An_Cour!$V:$V,$C50,BV_Data_An_Cour!$W:$W,L$2)</f>
        <v>15510.75</v>
      </c>
      <c r="M50" s="241"/>
      <c r="N50" s="317">
        <f t="shared" si="16"/>
        <v>-561.84627939711208</v>
      </c>
      <c r="O50" s="241"/>
      <c r="P50" s="315"/>
      <c r="Q50" s="256">
        <f t="array" ref="Q50">+INDEX('Réel 2024'!$A$2:$AO$501,MATCH($A50,'Réel 2024'!$A$2:$A$501,0),MATCH(Q$2,'Réel 2024'!$A$2:$AO$2,0))</f>
        <v>18598.07</v>
      </c>
      <c r="R50" s="241"/>
      <c r="S50" s="317">
        <f t="shared" si="18"/>
        <v>-3087.3199999999997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8280.8811265589466</v>
      </c>
      <c r="G51" s="298"/>
      <c r="H51" s="41"/>
      <c r="I51" s="254"/>
      <c r="J51" s="253"/>
      <c r="K51" s="41"/>
      <c r="L51" s="256">
        <f>SUMIFS(BV_Data_An_Cour!$O:$O,BV_Data_An_Cour!$U:$U,$B51,BV_Data_An_Cour!$V:$V,$C51,BV_Data_An_Cour!$W:$W,L$2)</f>
        <v>8178.51</v>
      </c>
      <c r="M51" s="253"/>
      <c r="N51" s="276">
        <f t="shared" si="16"/>
        <v>-102.37112655894634</v>
      </c>
      <c r="O51" s="253"/>
      <c r="P51" s="41"/>
      <c r="Q51" s="256">
        <f t="array" ref="Q51">+INDEX('Réel 2024'!$A$2:$AO$501,MATCH($A51,'Réel 2024'!$A$2:$A$501,0),MATCH(Q$2,'Réel 2024'!$A$2:$AO$2,0))</f>
        <v>7275.41</v>
      </c>
      <c r="R51" s="253"/>
      <c r="S51" s="276">
        <f t="shared" si="18"/>
        <v>903.10000000000036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3610.5107584152929</v>
      </c>
      <c r="G52" s="298"/>
      <c r="H52" s="41"/>
      <c r="I52" s="254"/>
      <c r="J52" s="253"/>
      <c r="K52" s="41"/>
      <c r="L52" s="256">
        <f>SUMIFS(BV_Data_An_Cour!$O:$O,BV_Data_An_Cour!$U:$U,$B52,BV_Data_An_Cour!$V:$V,$C52,BV_Data_An_Cour!$W:$W,L$2)</f>
        <v>3094.69</v>
      </c>
      <c r="M52" s="253"/>
      <c r="N52" s="276">
        <f t="shared" si="16"/>
        <v>-515.82075841529286</v>
      </c>
      <c r="O52" s="253"/>
      <c r="P52" s="41"/>
      <c r="Q52" s="256">
        <f t="array" ref="Q52">+INDEX('Réel 2024'!$A$2:$AO$501,MATCH($A52,'Réel 2024'!$A$2:$A$501,0),MATCH(Q$2,'Réel 2024'!$A$2:$AO$2,0))</f>
        <v>3705.07</v>
      </c>
      <c r="R52" s="253"/>
      <c r="S52" s="276">
        <f t="shared" si="18"/>
        <v>-610.38000000000011</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0.38523228952101185</v>
      </c>
      <c r="F54" s="307">
        <f>+SUM(F42:F53)</f>
        <v>79889.354571422882</v>
      </c>
      <c r="G54" s="308"/>
      <c r="H54" s="306"/>
      <c r="I54" s="307"/>
      <c r="J54" s="308" t="s">
        <v>119</v>
      </c>
      <c r="K54" s="306">
        <f>L54/L$27</f>
        <v>0.40558798913272642</v>
      </c>
      <c r="L54" s="307">
        <f>+SUM(L42:L53)</f>
        <v>70495.22</v>
      </c>
      <c r="M54" s="311"/>
      <c r="N54" s="307">
        <f>+SUM(N42:N53)</f>
        <v>-9394.1345714228846</v>
      </c>
      <c r="O54" s="308" t="s">
        <v>119</v>
      </c>
      <c r="P54" s="306">
        <f>Q54/Q$27</f>
        <v>0.26360057986614588</v>
      </c>
      <c r="Q54" s="307">
        <f>+SUM(Q42:Q53)</f>
        <v>68431.960000000006</v>
      </c>
      <c r="R54" s="311"/>
      <c r="S54" s="307">
        <f>+SUM(S42:S53)</f>
        <v>2063.260000000002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5799.11</v>
      </c>
      <c r="M57" s="246"/>
      <c r="N57" s="296">
        <f t="shared" si="19"/>
        <v>-3153.4379333333336</v>
      </c>
      <c r="O57" s="246"/>
      <c r="P57" s="318"/>
      <c r="Q57" s="248">
        <f t="array" ref="Q57">+INDEX('Réel 2024'!$A$2:$AO$501,MATCH($A57,'Réel 2024'!$A$2:$A$501,0),MATCH(Q$2,'Réel 2024'!$A$2:$AO$2,0))</f>
        <v>11626.31</v>
      </c>
      <c r="R57" s="246"/>
      <c r="S57" s="296">
        <f t="shared" si="20"/>
        <v>-5827.2</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7784.61</v>
      </c>
      <c r="M58" s="253"/>
      <c r="N58" s="276">
        <f t="shared" si="19"/>
        <v>-176.38475851555722</v>
      </c>
      <c r="O58" s="253"/>
      <c r="P58" s="41"/>
      <c r="Q58" s="256">
        <f t="array" ref="Q58">+INDEX('Réel 2024'!$A$2:$AO$501,MATCH($A58,'Réel 2024'!$A$2:$A$501,0),MATCH(Q$2,'Réel 2024'!$A$2:$AO$2,0))</f>
        <v>7516.3</v>
      </c>
      <c r="R58" s="253"/>
      <c r="S58" s="276">
        <f t="shared" si="20"/>
        <v>268.30999999999949</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1501.77</v>
      </c>
      <c r="M59" s="253"/>
      <c r="N59" s="276">
        <f t="shared" si="19"/>
        <v>235.07249913701935</v>
      </c>
      <c r="O59" s="253"/>
      <c r="P59" s="41"/>
      <c r="Q59" s="256">
        <f t="array" ref="Q59">+INDEX('Réel 2024'!$A$2:$AO$501,MATCH($A59,'Réel 2024'!$A$2:$A$501,0),MATCH(Q$2,'Réel 2024'!$A$2:$AO$2,0))</f>
        <v>2705.19</v>
      </c>
      <c r="R59" s="253"/>
      <c r="S59" s="276">
        <f t="shared" si="20"/>
        <v>-1203.42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7415.88</v>
      </c>
      <c r="M60" s="246"/>
      <c r="N60" s="296">
        <f t="shared" si="19"/>
        <v>200.13927641247028</v>
      </c>
      <c r="O60" s="246"/>
      <c r="P60" s="318"/>
      <c r="Q60" s="248">
        <f t="array" ref="Q60">+INDEX('Réel 2024'!$A$2:$AO$501,MATCH($A60,'Réel 2024'!$A$2:$A$501,0),MATCH(Q$2,'Réel 2024'!$A$2:$AO$2,0))</f>
        <v>6746.26</v>
      </c>
      <c r="R60" s="246"/>
      <c r="S60" s="296">
        <f t="shared" si="20"/>
        <v>669.61999999999989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36.28</v>
      </c>
      <c r="R61" s="253"/>
      <c r="S61" s="276">
        <f t="shared" si="20"/>
        <v>-36.28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58.13</v>
      </c>
      <c r="M63" s="253"/>
      <c r="N63" s="276">
        <f t="shared" si="19"/>
        <v>-683.30089466912</v>
      </c>
      <c r="O63" s="253"/>
      <c r="P63" s="41"/>
      <c r="Q63" s="256">
        <f t="array" ref="Q63">+INDEX('Réel 2024'!$A$2:$AO$501,MATCH($A63,'Réel 2024'!$A$2:$A$501,0),MATCH(Q$2,'Réel 2024'!$A$2:$AO$2,0))</f>
        <v>381.04</v>
      </c>
      <c r="R63" s="253"/>
      <c r="S63" s="276">
        <f t="shared" si="20"/>
        <v>-322.91000000000003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396.63</v>
      </c>
      <c r="M64" s="253"/>
      <c r="N64" s="276">
        <f t="shared" si="19"/>
        <v>51.828015082017771</v>
      </c>
      <c r="O64" s="253"/>
      <c r="P64" s="41"/>
      <c r="Q64" s="256">
        <f t="array" ref="Q64">+INDEX('Réel 2024'!$A$2:$AO$501,MATCH($A64,'Réel 2024'!$A$2:$A$501,0),MATCH(Q$2,'Réel 2024'!$A$2:$AO$2,0))</f>
        <v>318.89999999999998</v>
      </c>
      <c r="R64" s="253"/>
      <c r="S64" s="276">
        <f t="shared" si="20"/>
        <v>77.730000000000018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131.27000000000001</v>
      </c>
      <c r="M65" s="253"/>
      <c r="N65" s="276">
        <f t="shared" si="19"/>
        <v>28.447604631582251</v>
      </c>
      <c r="O65" s="253"/>
      <c r="P65" s="41"/>
      <c r="Q65" s="256">
        <f t="array" ref="Q65">+INDEX('Réel 2024'!$A$2:$AO$501,MATCH($A65,'Réel 2024'!$A$2:$A$501,0),MATCH(Q$2,'Réel 2024'!$A$2:$AO$2,0))</f>
        <v>10.56</v>
      </c>
      <c r="R65" s="253"/>
      <c r="S65" s="276">
        <f t="shared" si="20"/>
        <v>120.71000000000001</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121.08</v>
      </c>
      <c r="M66" s="253"/>
      <c r="N66" s="276">
        <f t="shared" si="19"/>
        <v>-80.090385167937782</v>
      </c>
      <c r="O66" s="253"/>
      <c r="P66" s="41"/>
      <c r="Q66" s="256">
        <f t="array" ref="Q66">+INDEX('Réel 2024'!$A$2:$AO$501,MATCH($A66,'Réel 2024'!$A$2:$A$501,0),MATCH(Q$2,'Réel 2024'!$A$2:$AO$2,0))</f>
        <v>201.95</v>
      </c>
      <c r="R66" s="253"/>
      <c r="S66" s="276">
        <f t="shared" si="20"/>
        <v>-80.86999999999999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3882.08</v>
      </c>
      <c r="M67" s="253"/>
      <c r="N67" s="276">
        <f t="shared" si="19"/>
        <v>1947.3737500000004</v>
      </c>
      <c r="O67" s="253"/>
      <c r="P67" s="41"/>
      <c r="Q67" s="256">
        <f t="array" ref="Q67">+INDEX('Réel 2024'!$A$2:$AO$501,MATCH($A67,'Réel 2024'!$A$2:$A$501,0),MATCH(Q$2,'Réel 2024'!$A$2:$AO$2,0))</f>
        <v>1147.3499999999999</v>
      </c>
      <c r="R67" s="253"/>
      <c r="S67" s="276">
        <f t="shared" si="20"/>
        <v>2734.73</v>
      </c>
      <c r="T67" s="41"/>
      <c r="U67" s="1193"/>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3725.0158256549021</v>
      </c>
      <c r="G68" s="298"/>
      <c r="H68" s="41"/>
      <c r="I68" s="254"/>
      <c r="J68" s="253"/>
      <c r="K68" s="41"/>
      <c r="L68" s="952">
        <f>SUMIFS(BV_Data_An_Cour!$O:$O,BV_Data_An_Cour!$U:$U,$B68,BV_Data_An_Cour!$V:$V,$C68,BV_Data_An_Cour!$W:$W,L$2)</f>
        <v>4608.58</v>
      </c>
      <c r="M68" s="253"/>
      <c r="N68" s="961">
        <f t="shared" si="19"/>
        <v>883.56417434509785</v>
      </c>
      <c r="O68" s="253"/>
      <c r="P68" s="41"/>
      <c r="Q68" s="256">
        <f t="array" ref="Q68">+INDEX('Réel 2024'!$A$2:$AO$501,MATCH($A68,'Réel 2024'!$A$2:$A$501,0),MATCH(Q$2,'Réel 2024'!$A$2:$AO$2,0))</f>
        <v>4277.07</v>
      </c>
      <c r="R68" s="253"/>
      <c r="S68" s="276">
        <f t="shared" si="20"/>
        <v>331.51000000000022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0.15706223973958813</v>
      </c>
      <c r="F72" s="307">
        <f>+SUM(F55:F71)</f>
        <v>32571.519318744424</v>
      </c>
      <c r="G72" s="308"/>
      <c r="H72" s="306"/>
      <c r="I72" s="307"/>
      <c r="J72" s="308" t="s">
        <v>119</v>
      </c>
      <c r="K72" s="306">
        <f>L72/L$27</f>
        <v>0.1823781874833042</v>
      </c>
      <c r="L72" s="307">
        <f>+SUM(L55:L71)</f>
        <v>31699.140000000007</v>
      </c>
      <c r="M72" s="311"/>
      <c r="N72" s="307">
        <f>+SUM(N55:N71)</f>
        <v>-872.37931874442779</v>
      </c>
      <c r="O72" s="308" t="s">
        <v>119</v>
      </c>
      <c r="P72" s="306">
        <f>Q72/Q$27</f>
        <v>0.13469403524758453</v>
      </c>
      <c r="Q72" s="307">
        <f>+SUM(Q55:Q71)</f>
        <v>34967.21</v>
      </c>
      <c r="R72" s="311"/>
      <c r="S72" s="307">
        <f>+SUM(S55:S71)</f>
        <v>-3268.0699999999993</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1.1133955843063774</v>
      </c>
      <c r="F74" s="307">
        <f>F41+F54+F72</f>
        <v>230895.63630168443</v>
      </c>
      <c r="G74" s="308"/>
      <c r="H74" s="306"/>
      <c r="I74" s="307"/>
      <c r="J74" s="308" t="s">
        <v>119</v>
      </c>
      <c r="K74" s="306">
        <f>L74/L$27</f>
        <v>1.1644928457194583</v>
      </c>
      <c r="L74" s="307">
        <f>L41+L54+L72</f>
        <v>202400.42</v>
      </c>
      <c r="M74" s="311"/>
      <c r="N74" s="320">
        <f t="shared" ref="N74:N82" si="21">L74-F74</f>
        <v>-28495.216301684413</v>
      </c>
      <c r="O74" s="308" t="s">
        <v>119</v>
      </c>
      <c r="P74" s="306">
        <f>Q74/Q$27</f>
        <v>0.88313298902015458</v>
      </c>
      <c r="Q74" s="307">
        <f>Q41+Q54+Q72</f>
        <v>229265.50999999998</v>
      </c>
      <c r="R74" s="311"/>
      <c r="S74" s="320">
        <f>L74-Q74</f>
        <v>-26865.089999999967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1386.1696514722112</v>
      </c>
      <c r="F78" s="254">
        <f>+INDEX('Budget original'!$A$2:$AO$501,MATCH($A78,'Budget original'!$A$2:$A$501,0),MATCH(F$2,'Budget original'!$A$2:$AO$2,0))</f>
        <v>85942.518391277088</v>
      </c>
      <c r="G78" s="298"/>
      <c r="H78" s="41"/>
      <c r="I78" s="254"/>
      <c r="J78" s="1258">
        <f>K78/E78</f>
        <v>0.96464034614640326</v>
      </c>
      <c r="K78" s="1017">
        <f>+L78/J27</f>
        <v>1337.155172413793</v>
      </c>
      <c r="L78" s="256">
        <f>-SUMIFS(BV_Data_An_Cour!$O:$O,BV_Data_An_Cour!$U:$U,$B78,BV_Data_An_Cour!$V:$V,$C78,BV_Data_An_Cour!$W:$W,L$2)</f>
        <v>77555</v>
      </c>
      <c r="M78" s="253"/>
      <c r="N78" s="276">
        <f t="shared" si="21"/>
        <v>-8387.5183912770881</v>
      </c>
      <c r="O78" s="253"/>
      <c r="P78" s="41"/>
      <c r="Q78" s="256">
        <f t="array" ref="Q78">+INDEX('Réel 2024'!$A$2:$AO$501,MATCH($A78,'Réel 2024'!$A$2:$A$501,0),MATCH(Q$2,'Réel 2024'!$A$2:$AO$2,0))</f>
        <v>106078.85</v>
      </c>
      <c r="R78" s="253"/>
      <c r="S78" s="276">
        <f t="shared" si="22"/>
        <v>-28523.850000000006</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0.95</v>
      </c>
      <c r="E82" s="323">
        <f>+F82/D24</f>
        <v>474.04999999999995</v>
      </c>
      <c r="F82" s="254">
        <f>+INDEX('Budget original'!$A$2:$AO$501,MATCH($A82,'Budget original'!$A$2:$A$501,0),MATCH(F$2,'Budget original'!$A$2:$AO$2,0))</f>
        <v>28442.999999999996</v>
      </c>
      <c r="G82" s="298"/>
      <c r="H82" s="41"/>
      <c r="I82" s="254"/>
      <c r="J82" s="1161">
        <f>K82/474</f>
        <v>0.88902226102138804</v>
      </c>
      <c r="K82" s="323">
        <f>+L82/J24</f>
        <v>421.39655172413791</v>
      </c>
      <c r="L82" s="256">
        <f>-SUMIFS(BV_Data_An_Cour!$O:$O,BV_Data_An_Cour!$U:$U,$B82,BV_Data_An_Cour!$V:$V,$C82,BV_Data_An_Cour!$W:$W,L$2)</f>
        <v>24441</v>
      </c>
      <c r="M82" s="253"/>
      <c r="N82" s="276">
        <f t="shared" si="21"/>
        <v>-4001.9999999999964</v>
      </c>
      <c r="O82" s="253"/>
      <c r="P82" s="41"/>
      <c r="Q82" s="256">
        <f t="array" ref="Q82">+INDEX('Réel 2024'!$A$2:$AO$501,MATCH($A82,'Réel 2024'!$A$2:$A$501,0),MATCH(Q$2,'Réel 2024'!$A$2:$AO$2,0))</f>
        <v>36038</v>
      </c>
      <c r="R82" s="253"/>
      <c r="S82" s="276">
        <f t="shared" si="22"/>
        <v>-11597</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114385.51839127709</v>
      </c>
      <c r="G83" s="308"/>
      <c r="H83" s="306"/>
      <c r="I83" s="307"/>
      <c r="J83" s="308"/>
      <c r="K83" s="306"/>
      <c r="L83" s="307">
        <f>+SUM(L75:L82)</f>
        <v>101996</v>
      </c>
      <c r="M83" s="311"/>
      <c r="N83" s="307">
        <f>+SUM(N75:N82)</f>
        <v>-12389.518391277084</v>
      </c>
      <c r="O83" s="308"/>
      <c r="P83" s="306"/>
      <c r="Q83" s="307">
        <f>+SUM(Q75:Q82)</f>
        <v>142811.85</v>
      </c>
      <c r="R83" s="311"/>
      <c r="S83" s="307">
        <f>+SUM(S75:S82)</f>
        <v>-40120.850000000006</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90869.576742798643</v>
      </c>
      <c r="G85" s="336"/>
      <c r="H85" s="334"/>
      <c r="I85" s="335"/>
      <c r="J85" s="336"/>
      <c r="K85" s="333"/>
      <c r="L85" s="335">
        <f>L27-L74+L83</f>
        <v>73405.510000000126</v>
      </c>
      <c r="M85" s="336"/>
      <c r="N85" s="335">
        <f>N27-N41-N54-N72+N83</f>
        <v>-17464.066742798492</v>
      </c>
      <c r="O85" s="336"/>
      <c r="P85" s="1147">
        <f>Q85/Q5</f>
        <v>4.4511583952431641E-2</v>
      </c>
      <c r="Q85" s="335">
        <f>Q27-Q74+Q83</f>
        <v>173151.0799999999</v>
      </c>
      <c r="R85" s="336"/>
      <c r="S85" s="335">
        <f>S27-S41-S54-S72+S83</f>
        <v>-99050.56999999976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1"/>
      <c r="H91" s="1219"/>
      <c r="I91" s="1220"/>
      <c r="J91" s="1221" t="s">
        <v>344</v>
      </c>
      <c r="K91" s="1219"/>
      <c r="L91" s="1220"/>
      <c r="M91" s="1221" t="s">
        <v>3310</v>
      </c>
      <c r="N91" s="1220"/>
      <c r="O91" s="1218" t="s">
        <v>345</v>
      </c>
      <c r="P91" s="1219"/>
      <c r="Q91" s="1220"/>
      <c r="R91" s="1222" t="s">
        <v>3312</v>
      </c>
      <c r="S91" s="122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1417410.8992929801</v>
      </c>
      <c r="G93" s="267"/>
      <c r="H93" s="250"/>
      <c r="I93" s="248"/>
      <c r="J93" s="246"/>
      <c r="K93" s="250"/>
      <c r="L93" s="248">
        <f>-SUMIFS(BV_Data_An_Cour!$O:$O,BV_Data_An_Cour!$X:$X,"Oui",BV_Data_An_Cour!$U:$U,$B93)</f>
        <v>1017681</v>
      </c>
      <c r="M93" s="342"/>
      <c r="N93" s="343"/>
      <c r="O93" s="246"/>
      <c r="P93" s="250"/>
      <c r="Q93" s="248">
        <f t="array" ref="Q93">+INDEX('Réel 2024'!$A$2:$AO$501,MATCH($A93,'Réel 2024'!$A$2:$A$501,0),MATCH(Q$2,'Réel 2024'!$A$2:$AO$2,0))</f>
        <v>1101235.54999999</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22</v>
      </c>
      <c r="E94" s="254">
        <f>IF(D94=0,0,F94/D94)</f>
        <v>1400</v>
      </c>
      <c r="F94" s="254">
        <f>+INDEX('Budget original'!$A$2:$AO$501,MATCH($A94,'Budget original'!$A$2:$A$501,0),MATCH(F$2,'Budget original'!$A$2:$AO$2,0))</f>
        <v>30800</v>
      </c>
      <c r="G94" s="255"/>
      <c r="H94" s="254"/>
      <c r="I94" s="254"/>
      <c r="J94" s="255">
        <f>-SUMIFS(BV_Data_An_Cour!$O:$O,BV_Data_An_Cour!$U:$U,$B94,BV_Data_An_Cour!$V:$V,$C94,BV_Data_An_Cour!$W:$W,J$2)</f>
        <v>28</v>
      </c>
      <c r="K94" s="254">
        <f t="shared" ref="K94:K95" si="23">IF(J94=0,0,L94/J94)</f>
        <v>784.32428571428477</v>
      </c>
      <c r="L94" s="256">
        <f>-SUMIFS(BV_Data_An_Cour!$O:$O,BV_Data_An_Cour!$U:$U,$B94,BV_Data_An_Cour!$V:$V,$C94,BV_Data_An_Cour!$W:$W,$L2)</f>
        <v>21961.079999999973</v>
      </c>
      <c r="M94" s="255">
        <f>J94-D94</f>
        <v>6</v>
      </c>
      <c r="N94" s="256">
        <f>L94-F94</f>
        <v>-8838.9200000000274</v>
      </c>
      <c r="O94" s="255">
        <f t="array" ref="O94">+INDEX('Réel 2024'!$A$2:$AO$501,MATCH($A94,'Réel 2024'!$A$2:$A$501,0),MATCH(O$2,'Réel 2024'!$A$2:$AO$2,0))</f>
        <v>22</v>
      </c>
      <c r="P94" s="254">
        <f t="shared" ref="P94:P96" si="24">IF(O94=0,0,Q94/O94)</f>
        <v>1680.7486363636317</v>
      </c>
      <c r="Q94" s="256">
        <f t="array" ref="Q94">+INDEX('Réel 2024'!$A$2:$AO$501,MATCH($A94,'Réel 2024'!$A$2:$A$501,0),MATCH(Q$2,'Réel 2024'!$A$2:$AO$2,0))</f>
        <v>36976.469999999899</v>
      </c>
      <c r="R94" s="255">
        <f t="shared" ref="R94:R95" si="25">J94-O94</f>
        <v>6</v>
      </c>
      <c r="S94" s="256">
        <f t="shared" ref="S94:S95" si="26">L94-Q94</f>
        <v>-15015.389999999927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-4479.82</v>
      </c>
      <c r="M95" s="255">
        <f>J95-D95</f>
        <v>-3</v>
      </c>
      <c r="N95" s="256">
        <f>L95-F95</f>
        <v>-9879.82</v>
      </c>
      <c r="O95" s="255">
        <f t="array" ref="O95">+INDEX('Réel 2024'!$A$2:$AO$501,MATCH($A95,'Réel 2024'!$A$2:$A$501,0),MATCH(O$2,'Réel 2024'!$A$2:$AO$2,0))</f>
        <v>1</v>
      </c>
      <c r="P95" s="254">
        <f t="shared" si="24"/>
        <v>1000</v>
      </c>
      <c r="Q95" s="256">
        <f t="array" ref="Q95">+INDEX('Réel 2024'!$A$2:$AO$501,MATCH($A95,'Réel 2024'!$A$2:$A$501,0),MATCH(Q$2,'Réel 2024'!$A$2:$AO$2,0))</f>
        <v>1000</v>
      </c>
      <c r="R95" s="255">
        <f t="shared" si="25"/>
        <v>-1</v>
      </c>
      <c r="S95" s="256">
        <f t="shared" si="26"/>
        <v>-5479.82</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4</v>
      </c>
      <c r="E96" s="1078">
        <f t="shared" si="27"/>
        <v>1500</v>
      </c>
      <c r="F96" s="254">
        <f>+INDEX('Budget original'!$A$2:$AO$501,MATCH($A96,'Budget original'!$A$2:$A$501,0),MATCH(F$2,'Budget original'!$A$2:$AO$2,0))</f>
        <v>6000</v>
      </c>
      <c r="G96" s="1077"/>
      <c r="H96" s="254"/>
      <c r="I96" s="254"/>
      <c r="J96" s="1077">
        <f>-SUMIFS(BV_Data_An_Cour!$O:$O,BV_Data_An_Cour!$U:$U,$B96,BV_Data_An_Cour!$V:$V,$C96,BV_Data_An_Cour!$W:$W,J$2)</f>
        <v>2</v>
      </c>
      <c r="K96" s="254">
        <f t="shared" ref="K96" si="28">IF(J96=0,0,L96/J96)</f>
        <v>2899.7999999999993</v>
      </c>
      <c r="L96" s="952">
        <f>-SUMIFS(BV_Data_An_Cour!$O:$O,BV_Data_An_Cour!$U:$U,$B96,BV_Data_An_Cour!$V:$V,$C96,BV_Data_An_Cour!$W:$W,$L2)</f>
        <v>5799.5999999999985</v>
      </c>
      <c r="M96" s="1077">
        <f>J96-D96</f>
        <v>-2</v>
      </c>
      <c r="N96" s="952">
        <f>L96-F96</f>
        <v>-200.40000000000146</v>
      </c>
      <c r="O96" s="1077">
        <f>+INDEX('Réel 2024'!$A$2:$AO$501,MATCH($A96,'Réel 2024'!$A$2:$A$501,0),MATCH(O$2,'Réel 2024'!$A$2:$AO$2,0))</f>
        <v>0</v>
      </c>
      <c r="P96" s="254">
        <f t="shared" si="24"/>
        <v>0</v>
      </c>
      <c r="Q96" s="952">
        <f>+INDEX('Réel 2024'!$A$2:$AO$501,MATCH($A96,'Réel 2024'!$A$2:$A$501,0),MATCH(Q$2,'Réel 2024'!$A$2:$AO$2,0))</f>
        <v>0</v>
      </c>
      <c r="R96" s="1077">
        <f>J96-O96</f>
        <v>2</v>
      </c>
      <c r="S96" s="952">
        <f>L96-Q96</f>
        <v>5799.5999999999985</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29</v>
      </c>
      <c r="E97" s="254">
        <f t="shared" si="27"/>
        <v>1455.1724137931035</v>
      </c>
      <c r="F97" s="261">
        <f>+F94+F95+F96</f>
        <v>42200</v>
      </c>
      <c r="G97" s="262"/>
      <c r="H97" s="260"/>
      <c r="I97" s="261"/>
      <c r="J97" s="262">
        <f>+J94+J95+J96</f>
        <v>30</v>
      </c>
      <c r="K97" s="1259">
        <f>IF(J97&lt;=0,0,L97/J97)</f>
        <v>776.02866666666569</v>
      </c>
      <c r="L97" s="261">
        <f>+L94+L95+L96</f>
        <v>23280.859999999971</v>
      </c>
      <c r="M97" s="262">
        <f>J97-D97</f>
        <v>1</v>
      </c>
      <c r="N97" s="261">
        <f>L97-F97</f>
        <v>-18919.140000000029</v>
      </c>
      <c r="O97" s="262">
        <f>+O95+O94+O96</f>
        <v>23</v>
      </c>
      <c r="P97" s="260">
        <f>IF(O97=0,0,Q97/O97)</f>
        <v>1651.150869565213</v>
      </c>
      <c r="Q97" s="261">
        <f>+Q94+Q95+Q96</f>
        <v>37976.469999999899</v>
      </c>
      <c r="R97" s="262">
        <f>R94+R95</f>
        <v>5</v>
      </c>
      <c r="S97" s="261">
        <f>S94+S95</f>
        <v>-20495.209999999926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3.4482758620689655E-2</v>
      </c>
      <c r="N98" s="346">
        <f>N97/F97</f>
        <v>-0.4483208530805694</v>
      </c>
      <c r="O98" s="253"/>
      <c r="P98" s="41">
        <f t="shared" ref="P98" si="30">IF(O98=0,0,Q98/O98)</f>
        <v>0</v>
      </c>
      <c r="Q98" s="263"/>
      <c r="R98" s="345">
        <f>R97/O97</f>
        <v>0.21739130434782608</v>
      </c>
      <c r="S98" s="346">
        <f>IF(Q97=0,0,(S97/Q97))</f>
        <v>-0.53968180823546741</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31</v>
      </c>
      <c r="E100" s="254">
        <f t="shared" si="27"/>
        <v>400</v>
      </c>
      <c r="F100" s="254">
        <f>+INDEX('Budget original'!$A$2:$AO$501,MATCH($A100,'Budget original'!$A$2:$A$501,0),MATCH(F$2,'Budget original'!$A$2:$AO$2,0))</f>
        <v>12400</v>
      </c>
      <c r="G100" s="255"/>
      <c r="H100" s="254"/>
      <c r="I100" s="254"/>
      <c r="J100" s="255">
        <f>-SUMIFS(BV_Data_An_Cour!$O:$O,BV_Data_An_Cour!$U:$U,$B100,BV_Data_An_Cour!$V:$V,$C100,BV_Data_An_Cour!$W:$W,J$2)</f>
        <v>18</v>
      </c>
      <c r="K100" s="1260">
        <f>IF(J100=0,0,L100/J100)</f>
        <v>1446.8283333333336</v>
      </c>
      <c r="L100" s="256">
        <f>-SUMIFS(BV_Data_An_Cour!$O:$O,BV_Data_An_Cour!$U:$U,$B100,BV_Data_An_Cour!$V:$V,$C100,BV_Data_An_Cour!$W:$W,L$2)</f>
        <v>26042.910000000003</v>
      </c>
      <c r="M100" s="255">
        <f>J100-D100</f>
        <v>-13</v>
      </c>
      <c r="N100" s="256">
        <f>L100-F100</f>
        <v>13642.910000000003</v>
      </c>
      <c r="O100" s="255">
        <f t="array" ref="O100">+INDEX('Réel 2024'!$A$2:$AO$501,MATCH($A100,'Réel 2024'!$A$2:$A$501,0),MATCH(O$2,'Réel 2024'!$A$2:$AO$2,0))</f>
        <v>31</v>
      </c>
      <c r="P100" s="254">
        <f>IF(O100=0,0,Q100/O100)</f>
        <v>-367.32290322580644</v>
      </c>
      <c r="Q100" s="256">
        <f t="array" ref="Q100">+INDEX('Réel 2024'!$A$2:$AO$501,MATCH($A100,'Réel 2024'!$A$2:$A$501,0),MATCH(Q$2,'Réel 2024'!$A$2:$AO$2,0))</f>
        <v>-11387.01</v>
      </c>
      <c r="R100" s="255">
        <f>J100-O100</f>
        <v>-13</v>
      </c>
      <c r="S100" s="256">
        <f>L100-Q100</f>
        <v>37429.920000000006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17400</v>
      </c>
      <c r="G102" s="255"/>
      <c r="H102" s="254"/>
      <c r="I102" s="254"/>
      <c r="J102" s="255"/>
      <c r="K102" s="254">
        <f>IF(J97=0,0,L102/J97)</f>
        <v>305.93433333333337</v>
      </c>
      <c r="L102" s="256">
        <f>-SUMIFS(BV_Data_An_Cour!$O:$O,BV_Data_An_Cour!$U:$U,$B102,BV_Data_An_Cour!$V:$V,$C102,BV_Data_An_Cour!$W:$W,$L2)</f>
        <v>9178.0300000000007</v>
      </c>
      <c r="M102" s="255"/>
      <c r="N102" s="256">
        <f>L102-F102</f>
        <v>-8221.9699999999993</v>
      </c>
      <c r="O102" s="255"/>
      <c r="P102" s="254"/>
      <c r="Q102" s="256">
        <f t="array" ref="Q102">+INDEX('Réel 2024'!$A$2:$AO$501,MATCH($A102,'Réel 2024'!$A$2:$A$501,0),MATCH(Q$2,'Réel 2024'!$A$2:$AO$2,0))</f>
        <v>8282.2800000000007</v>
      </c>
      <c r="R102" s="255">
        <f t="shared" ref="R102:R104" si="31">O102-K102</f>
        <v>-305.93433333333337</v>
      </c>
      <c r="S102" s="256">
        <f t="shared" ref="S102:S105" si="32">L102-Q102</f>
        <v>895.75</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36250</v>
      </c>
      <c r="G103" s="255"/>
      <c r="H103" s="254"/>
      <c r="I103" s="254"/>
      <c r="J103" s="255"/>
      <c r="K103" s="254">
        <f>IF(J97=0,0,L103/J97)</f>
        <v>1730.1366666666665</v>
      </c>
      <c r="L103" s="256">
        <f>-SUMIFS(BV_Data_An_Cour!$O:$O,BV_Data_An_Cour!$U:$U,$B103,BV_Data_An_Cour!$V:$V,$C103,BV_Data_An_Cour!$W:$W,$L2)</f>
        <v>51904.1</v>
      </c>
      <c r="M103" s="255"/>
      <c r="N103" s="256">
        <f>L103-F103</f>
        <v>15654.099999999999</v>
      </c>
      <c r="O103" s="255"/>
      <c r="P103" s="254"/>
      <c r="Q103" s="256">
        <f t="array" ref="Q103">+INDEX('Réel 2024'!$A$2:$AO$501,MATCH($A103,'Réel 2024'!$A$2:$A$501,0),MATCH(Q$2,'Réel 2024'!$A$2:$AO$2,0))</f>
        <v>26988.309999999899</v>
      </c>
      <c r="R103" s="255">
        <f t="shared" si="31"/>
        <v>-1730.1366666666665</v>
      </c>
      <c r="S103" s="256">
        <f t="shared" si="32"/>
        <v>24915.790000000099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1450</v>
      </c>
      <c r="G104" s="255"/>
      <c r="H104" s="250"/>
      <c r="I104" s="254"/>
      <c r="J104" s="255"/>
      <c r="K104" s="250">
        <f>IF(J97=0,0,L104/J97)</f>
        <v>9.5846666666666671</v>
      </c>
      <c r="L104" s="256">
        <f>-SUMIFS(BV_Data_An_Cour!$O:$O,BV_Data_An_Cour!$U:$U,$B104,BV_Data_An_Cour!$V:$V,$C104,BV_Data_An_Cour!$W:$W,$L$2)</f>
        <v>287.54000000000002</v>
      </c>
      <c r="M104" s="267"/>
      <c r="N104" s="256">
        <f>L104-F104</f>
        <v>-1162.46</v>
      </c>
      <c r="O104" s="255"/>
      <c r="P104" s="250"/>
      <c r="Q104" s="256">
        <f t="array" ref="Q104">+INDEX('Réel 2024'!$A$2:$AO$501,MATCH($A104,'Réel 2024'!$A$2:$A$501,0),MATCH(Q$2,'Réel 2024'!$A$2:$AO$2,0))</f>
        <v>655.39</v>
      </c>
      <c r="R104" s="255">
        <f t="shared" si="31"/>
        <v>-9.5846666666666671</v>
      </c>
      <c r="S104" s="256">
        <f t="shared" si="32"/>
        <v>-367.84999999999997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29</v>
      </c>
      <c r="E105" s="254">
        <f t="shared" si="27"/>
        <v>1900</v>
      </c>
      <c r="F105" s="261">
        <f>F102+F103+F104</f>
        <v>55100</v>
      </c>
      <c r="G105" s="262"/>
      <c r="H105" s="260"/>
      <c r="I105" s="261"/>
      <c r="J105" s="262">
        <f>J97</f>
        <v>30</v>
      </c>
      <c r="K105" s="260">
        <f>IF(J105&lt;=0,0,L105/J105)</f>
        <v>2045.6556666666665</v>
      </c>
      <c r="L105" s="261">
        <f>L102+L103+L104</f>
        <v>61369.67</v>
      </c>
      <c r="M105" s="255">
        <f>J105-D105</f>
        <v>1</v>
      </c>
      <c r="N105" s="261">
        <f>L105-F105</f>
        <v>6269.6699999999983</v>
      </c>
      <c r="O105" s="262">
        <f>O97</f>
        <v>23</v>
      </c>
      <c r="P105" s="260">
        <f t="shared" ref="P105" si="33">IF(O105=0,0,Q105/O105)</f>
        <v>1561.9991304347784</v>
      </c>
      <c r="Q105" s="261">
        <f>Q102+Q103+Q104</f>
        <v>35925.979999999901</v>
      </c>
      <c r="R105" s="273"/>
      <c r="S105" s="261">
        <f t="shared" si="32"/>
        <v>25443.690000000097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0.11378711433756802</v>
      </c>
      <c r="O106" s="253"/>
      <c r="P106" s="41"/>
      <c r="Q106" s="276"/>
      <c r="R106" s="277"/>
      <c r="S106" s="265">
        <f>IF(Q105=0,0,(S105/Q105))</f>
        <v>0.70822535669173581</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60</v>
      </c>
      <c r="E108" s="280">
        <f>IF(D108&lt;=0,0,F108/D108)</f>
        <v>1828.3333333333333</v>
      </c>
      <c r="F108" s="281">
        <f>F97+F105+F100</f>
        <v>109700</v>
      </c>
      <c r="G108" s="282"/>
      <c r="H108" s="350"/>
      <c r="I108" s="281"/>
      <c r="J108" s="282">
        <f>J97+J100</f>
        <v>48</v>
      </c>
      <c r="K108" s="280">
        <f>IF(J108&lt;=0,0,L108/J108)</f>
        <v>2306.1133333333328</v>
      </c>
      <c r="L108" s="281">
        <f>L97+L105+L100</f>
        <v>110693.43999999997</v>
      </c>
      <c r="M108" s="282">
        <f>J108-D108</f>
        <v>-12</v>
      </c>
      <c r="N108" s="281">
        <f>L108-F108</f>
        <v>993.43999999997322</v>
      </c>
      <c r="O108" s="282">
        <f>O97+O100</f>
        <v>54</v>
      </c>
      <c r="P108" s="280">
        <f>IF(O108&lt;=0,0,Q108/O108)</f>
        <v>1157.6933333333297</v>
      </c>
      <c r="Q108" s="281">
        <f>Q97+Q105+Q100</f>
        <v>62515.439999999806</v>
      </c>
      <c r="R108" s="282">
        <f>J108-O108</f>
        <v>-6</v>
      </c>
      <c r="S108" s="281">
        <f>L108-Q108</f>
        <v>48178.000000000167</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1.0090559708295348</v>
      </c>
      <c r="M109" s="286">
        <f>M108/D108</f>
        <v>-0.2</v>
      </c>
      <c r="N109" s="287">
        <f>N108/F108</f>
        <v>9.0559708295348523E-3</v>
      </c>
      <c r="O109" s="283"/>
      <c r="P109" s="284"/>
      <c r="Q109" s="285"/>
      <c r="R109" s="351">
        <f>O108/R108</f>
        <v>-9</v>
      </c>
      <c r="S109" s="352">
        <f>IF(Q108=0,0,(S108/Q108))</f>
        <v>0.77065761674236499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8">
        <f>F112/F97</f>
        <v>0.34756198822191847</v>
      </c>
      <c r="E112" s="291">
        <f t="shared" ref="E112:E121" si="34">F112/D$97</f>
        <v>505.7626173436193</v>
      </c>
      <c r="F112" s="254">
        <f>+INDEX('Budget original'!$A$2:$AO$501,MATCH($A112,'Budget original'!$A$2:$A$501,0),MATCH(F$2,'Budget original'!$A$2:$AO$2,0))</f>
        <v>14667.115902964959</v>
      </c>
      <c r="G112" s="292"/>
      <c r="H112" s="291"/>
      <c r="I112" s="254"/>
      <c r="J112" s="292">
        <f>L112/L97</f>
        <v>0.3443433790676122</v>
      </c>
      <c r="K112" s="291">
        <f>IF($J$97=0,0,L112/(J$94+J$95+J96))</f>
        <v>267.22033333333331</v>
      </c>
      <c r="L112" s="256">
        <f>SUMIFS(BV_Data_An_Cour!$O:$O,BV_Data_An_Cour!$U:$U,$B112,BV_Data_An_Cour!$V:$V,$C112,BV_Data_An_Cour!$W:$W,$L$2)</f>
        <v>8016.61</v>
      </c>
      <c r="M112" s="253"/>
      <c r="N112" s="276">
        <f t="shared" ref="N112:N153" si="35">L112-F112</f>
        <v>-6650.5059029649592</v>
      </c>
      <c r="O112" s="1145">
        <f>Q112/Q97</f>
        <v>0.33860624750009766</v>
      </c>
      <c r="P112" s="291">
        <f t="shared" ref="P112:P121" si="36">Q112/O$97</f>
        <v>559.09</v>
      </c>
      <c r="Q112" s="256">
        <f t="array" ref="Q112">+INDEX('Réel 2024'!$A$2:$AO$501,MATCH($A112,'Réel 2024'!$A$2:$A$501,0),MATCH(Q$2,'Réel 2024'!$A$2:$AO$2,0))</f>
        <v>12859.07</v>
      </c>
      <c r="R112" s="253"/>
      <c r="S112" s="276">
        <f t="shared" ref="S112:S153" si="37">L112-Q112</f>
        <v>-4842.46</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4">
        <f>F113/(F105)</f>
        <v>0.3</v>
      </c>
      <c r="E113" s="294">
        <f t="shared" si="34"/>
        <v>570</v>
      </c>
      <c r="F113" s="248">
        <f>+INDEX('Budget original'!$A$2:$AO$501,MATCH($A113,'Budget original'!$A$2:$A$501,0),MATCH(F$2,'Budget original'!$A$2:$AO$2,0))</f>
        <v>16530</v>
      </c>
      <c r="G113" s="295"/>
      <c r="H113" s="294"/>
      <c r="I113" s="248"/>
      <c r="J113" s="295">
        <f>L113/(L105)</f>
        <v>0.30000047254612905</v>
      </c>
      <c r="K113" s="294">
        <f>IF($J$97=0,0,L113/(J$94+J$95+J96))</f>
        <v>613.69766666666669</v>
      </c>
      <c r="L113" s="256">
        <f>SUMIFS(BV_Data_An_Cour!$O:$O,BV_Data_An_Cour!$U:$U,$B113,BV_Data_An_Cour!$V:$V,$C113,BV_Data_An_Cour!$W:$W,$L$2)</f>
        <v>18410.93</v>
      </c>
      <c r="M113" s="246"/>
      <c r="N113" s="296">
        <f t="shared" si="35"/>
        <v>1880.9300000000003</v>
      </c>
      <c r="O113" s="1146">
        <f>Q113/(Q105+Q19)</f>
        <v>0.25687267839075678</v>
      </c>
      <c r="P113" s="294">
        <f t="shared" si="36"/>
        <v>468.58434782608697</v>
      </c>
      <c r="Q113" s="256">
        <f t="array" ref="Q113">+INDEX('Réel 2024'!$A$2:$AO$501,MATCH($A113,'Réel 2024'!$A$2:$A$501,0),MATCH(Q$2,'Réel 2024'!$A$2:$AO$2,0))</f>
        <v>10777.44</v>
      </c>
      <c r="R113" s="246"/>
      <c r="S113" s="296">
        <f t="shared" si="37"/>
        <v>7633.49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232</v>
      </c>
      <c r="G114" s="298"/>
      <c r="H114" s="291"/>
      <c r="I114" s="254"/>
      <c r="J114" s="253"/>
      <c r="K114" s="291">
        <f>IF($J$97=0,0,L114/(J$94+J$95+J96))</f>
        <v>-84.632999999999996</v>
      </c>
      <c r="L114" s="272">
        <f>SUMIFS(BV_Data_An_Cour!$O:$O,BV_Data_An_Cour!$U:$U,$B114,BV_Data_An_Cour!$V:$V,$C114,BV_Data_An_Cour!$W:$W,$L$2)</f>
        <v>-2538.9899999999998</v>
      </c>
      <c r="M114" s="253"/>
      <c r="N114" s="276">
        <f t="shared" si="35"/>
        <v>-2770.99</v>
      </c>
      <c r="O114" s="253"/>
      <c r="P114" s="291">
        <f t="shared" si="36"/>
        <v>82.301739130434783</v>
      </c>
      <c r="Q114" s="272">
        <f t="array" ref="Q114">+INDEX('Réel 2024'!$A$2:$AO$501,MATCH($A114,'Réel 2024'!$A$2:$A$501,0),MATCH(Q$2,'Réel 2024'!$A$2:$AO$2,0))</f>
        <v>1892.94</v>
      </c>
      <c r="R114" s="253"/>
      <c r="S114" s="276">
        <f t="shared" si="37"/>
        <v>-4431.93</v>
      </c>
      <c r="T114" s="41"/>
      <c r="U114" s="38" t="s">
        <v>3956</v>
      </c>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1305</v>
      </c>
      <c r="G115" s="298"/>
      <c r="H115" s="291"/>
      <c r="I115" s="254"/>
      <c r="J115" s="253"/>
      <c r="K115" s="291">
        <f>IF($J$97=0,0,L115/(J$94+J$95+J96))</f>
        <v>29.908999999999999</v>
      </c>
      <c r="L115" s="256">
        <f>SUMIFS(BV_Data_An_Cour!$O:$O,BV_Data_An_Cour!$U:$U,$B115,BV_Data_An_Cour!$V:$V,$C115,BV_Data_An_Cour!$W:$W,$L$2)</f>
        <v>897.27</v>
      </c>
      <c r="M115" s="253"/>
      <c r="N115" s="276">
        <f t="shared" si="35"/>
        <v>-407.73</v>
      </c>
      <c r="O115" s="253"/>
      <c r="P115" s="291">
        <f t="shared" si="36"/>
        <v>125.55652173913045</v>
      </c>
      <c r="Q115" s="256">
        <f t="array" ref="Q115">+INDEX('Réel 2024'!$A$2:$AO$501,MATCH($A115,'Réel 2024'!$A$2:$A$501,0),MATCH(Q$2,'Réel 2024'!$A$2:$AO$2,0))</f>
        <v>2887.8</v>
      </c>
      <c r="R115" s="253"/>
      <c r="S115" s="276">
        <f t="shared" si="37"/>
        <v>-1990.5300000000002</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4640</v>
      </c>
      <c r="G116" s="300"/>
      <c r="H116" s="294"/>
      <c r="I116" s="248"/>
      <c r="J116" s="246"/>
      <c r="K116" s="294">
        <f>IF($J$97=0,0,L116/(J$94+J$95+J96))</f>
        <v>119.116</v>
      </c>
      <c r="L116" s="248">
        <f>SUMIFS(BV_Data_An_Cour!$O:$O,BV_Data_An_Cour!$U:$U,$B116,BV_Data_An_Cour!$V:$V,$C116,BV_Data_An_Cour!$W:$W,$L$2)</f>
        <v>3573.48</v>
      </c>
      <c r="M116" s="246"/>
      <c r="N116" s="296">
        <f t="shared" si="35"/>
        <v>-1066.52</v>
      </c>
      <c r="O116" s="246"/>
      <c r="P116" s="294">
        <f t="shared" si="36"/>
        <v>178.62695652173915</v>
      </c>
      <c r="Q116" s="248">
        <f t="array" ref="Q116">+INDEX('Réel 2024'!$A$2:$AO$501,MATCH($A116,'Réel 2024'!$A$2:$A$501,0),MATCH(Q$2,'Réel 2024'!$A$2:$AO$2,0))</f>
        <v>4108.42</v>
      </c>
      <c r="R116" s="246"/>
      <c r="S116" s="296">
        <f t="shared" si="37"/>
        <v>-534.94000000000005</v>
      </c>
      <c r="T116" s="41"/>
      <c r="U116" s="38" t="s">
        <v>3957</v>
      </c>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426.9655172413793</v>
      </c>
      <c r="F117" s="254">
        <f>+INDEX('Budget original'!$A$2:$AO$501,MATCH($A117,'Budget original'!$A$2:$A$501,0),MATCH(F$2,'Budget original'!$A$2:$AO$2,0))</f>
        <v>12382</v>
      </c>
      <c r="G117" s="298"/>
      <c r="H117" s="291"/>
      <c r="I117" s="254"/>
      <c r="J117" s="253"/>
      <c r="K117" s="291">
        <f>IF($J$97=0,0,L117/(J$94+J$95+J96))</f>
        <v>430.76933333333335</v>
      </c>
      <c r="L117" s="256">
        <f>SUMIFS(BV_Data_An_Cour!$O:$O,BV_Data_An_Cour!$U:$U,$B117,BV_Data_An_Cour!$V:$V,$C117,BV_Data_An_Cour!$W:$W,$L$2)</f>
        <v>12923.08</v>
      </c>
      <c r="M117" s="253"/>
      <c r="N117" s="276">
        <f t="shared" si="35"/>
        <v>541.07999999999993</v>
      </c>
      <c r="O117" s="253"/>
      <c r="P117" s="291">
        <f t="shared" si="36"/>
        <v>499.74913043478261</v>
      </c>
      <c r="Q117" s="256">
        <f t="array" ref="Q117">+INDEX('Réel 2024'!$A$2:$AO$501,MATCH($A117,'Réel 2024'!$A$2:$A$501,0),MATCH(Q$2,'Réel 2024'!$A$2:$AO$2,0))</f>
        <v>11494.23</v>
      </c>
      <c r="R117" s="253"/>
      <c r="S117" s="276">
        <f t="shared" si="37"/>
        <v>1428.8500000000004</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295.9744618297787</v>
      </c>
      <c r="F118" s="254">
        <f>+INDEX('Budget original'!$A$2:$AO$501,MATCH($A118,'Budget original'!$A$2:$A$501,0),MATCH(F$2,'Budget original'!$A$2:$AO$2,0))</f>
        <v>8583.259393063583</v>
      </c>
      <c r="G118" s="298"/>
      <c r="H118" s="291"/>
      <c r="I118" s="254"/>
      <c r="J118" s="253"/>
      <c r="K118" s="291">
        <f>IF($J$97=0,0,L118/(J$94+J$95+J96))</f>
        <v>98.564000000000007</v>
      </c>
      <c r="L118" s="952">
        <f>SUMIFS(BV_Data_An_Cour!$O:$O,BV_Data_An_Cour!$U:$U,$B118,BV_Data_An_Cour!$V:$V,$C118,BV_Data_An_Cour!$W:$W,$L$2)</f>
        <v>2956.92</v>
      </c>
      <c r="M118" s="253"/>
      <c r="N118" s="961">
        <f t="shared" si="35"/>
        <v>-5626.339393063583</v>
      </c>
      <c r="O118" s="253"/>
      <c r="P118" s="291">
        <f t="shared" si="36"/>
        <v>379.10826086956519</v>
      </c>
      <c r="Q118" s="256">
        <f t="array" ref="Q118">+INDEX('Réel 2024'!$A$2:$AO$501,MATCH($A118,'Réel 2024'!$A$2:$A$501,0),MATCH(Q$2,'Réel 2024'!$A$2:$AO$2,0))</f>
        <v>8719.49</v>
      </c>
      <c r="R118" s="253"/>
      <c r="S118" s="276">
        <f t="shared" si="37"/>
        <v>-5762.57</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0.53180834362833673</v>
      </c>
      <c r="F122" s="307">
        <f>SUM(F112:F121)</f>
        <v>58339.375296028542</v>
      </c>
      <c r="G122" s="308"/>
      <c r="H122" s="306"/>
      <c r="I122" s="307"/>
      <c r="J122" s="308" t="s">
        <v>119</v>
      </c>
      <c r="K122" s="306">
        <f>L122/L$108</f>
        <v>0.39965602297661013</v>
      </c>
      <c r="L122" s="307">
        <f>SUM(L112:L121)</f>
        <v>44239.3</v>
      </c>
      <c r="M122" s="311"/>
      <c r="N122" s="307">
        <f t="shared" si="35"/>
        <v>-14100.075296028539</v>
      </c>
      <c r="O122" s="308" t="s">
        <v>119</v>
      </c>
      <c r="P122" s="306">
        <f>Q122/Q$108</f>
        <v>0.84362183166270854</v>
      </c>
      <c r="Q122" s="307">
        <f>SUM(Q112:Q121)</f>
        <v>52739.389999999992</v>
      </c>
      <c r="R122" s="311"/>
      <c r="S122" s="307">
        <f t="shared" si="37"/>
        <v>-8500.0899999999892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5680.7</v>
      </c>
      <c r="M123" s="253"/>
      <c r="N123" s="276">
        <f t="shared" si="35"/>
        <v>-3521.4205128205149</v>
      </c>
      <c r="O123" s="253"/>
      <c r="P123" s="41"/>
      <c r="Q123" s="256">
        <f t="array" ref="Q123">+INDEX('Réel 2024'!$A$2:$AO$501,MATCH($A123,'Réel 2024'!$A$2:$A$501,0),MATCH(Q$2,'Réel 2024'!$A$2:$AO$2,0))</f>
        <v>9398.39</v>
      </c>
      <c r="R123" s="253"/>
      <c r="S123" s="276">
        <f t="shared" si="37"/>
        <v>-3717.6899999999996</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1983.51</v>
      </c>
      <c r="M124" s="253"/>
      <c r="N124" s="276">
        <f t="shared" si="35"/>
        <v>-6546.1484615384597</v>
      </c>
      <c r="O124" s="253"/>
      <c r="P124" s="41"/>
      <c r="Q124" s="248">
        <f t="array" ref="Q124">+INDEX('Réel 2024'!$A$2:$AO$501,MATCH($A124,'Réel 2024'!$A$2:$A$501,0),MATCH(Q$2,'Réel 2024'!$A$2:$AO$2,0))</f>
        <v>1810.72</v>
      </c>
      <c r="R124" s="253"/>
      <c r="S124" s="276">
        <f t="shared" si="37"/>
        <v>172.78999999999996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7352.25</v>
      </c>
      <c r="M125" s="241"/>
      <c r="N125" s="1256">
        <f t="shared" si="35"/>
        <v>4007.3576923076926</v>
      </c>
      <c r="O125" s="241"/>
      <c r="P125" s="315"/>
      <c r="Q125" s="256">
        <f t="array" ref="Q125">+INDEX('Réel 2024'!$A$2:$AO$501,MATCH($A125,'Réel 2024'!$A$2:$A$501,0),MATCH(Q$2,'Réel 2024'!$A$2:$AO$2,0))</f>
        <v>7173.33</v>
      </c>
      <c r="R125" s="241"/>
      <c r="S125" s="317">
        <f t="shared" si="37"/>
        <v>178.92000000000007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9509.0581712820513</v>
      </c>
      <c r="G130" s="298"/>
      <c r="H130" s="41"/>
      <c r="I130" s="254"/>
      <c r="J130" s="253"/>
      <c r="K130" s="41"/>
      <c r="L130" s="256">
        <f>SUMIFS(BV_Data_An_Cour!$O:$O,BV_Data_An_Cour!$U:$U,$B130,BV_Data_An_Cour!$V:$V,$C130,BV_Data_An_Cour!$W:$W,$L$2)</f>
        <v>9038.93</v>
      </c>
      <c r="M130" s="253"/>
      <c r="N130" s="276">
        <f t="shared" si="35"/>
        <v>-470.12817128205097</v>
      </c>
      <c r="O130" s="253"/>
      <c r="P130" s="41"/>
      <c r="Q130" s="256">
        <f t="array" ref="Q130">+INDEX('Réel 2024'!$A$2:$AO$501,MATCH($A130,'Réel 2024'!$A$2:$A$501,0),MATCH(Q$2,'Réel 2024'!$A$2:$AO$2,0))</f>
        <v>6719.86</v>
      </c>
      <c r="R130" s="253"/>
      <c r="S130" s="276">
        <f t="shared" si="37"/>
        <v>2319.0700000000006</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11561.674252307692</v>
      </c>
      <c r="G131" s="316"/>
      <c r="H131" s="315"/>
      <c r="I131" s="271"/>
      <c r="J131" s="241"/>
      <c r="K131" s="315"/>
      <c r="L131" s="272">
        <f>SUMIFS(BV_Data_An_Cour!$O:$O,BV_Data_An_Cour!$U:$U,$B131,BV_Data_An_Cour!$V:$V,$C131,BV_Data_An_Cour!$W:$W,$L$2)</f>
        <v>10732.49</v>
      </c>
      <c r="M131" s="241"/>
      <c r="N131" s="317">
        <f t="shared" si="35"/>
        <v>-829.18425230769208</v>
      </c>
      <c r="O131" s="241"/>
      <c r="P131" s="315"/>
      <c r="Q131" s="272">
        <f t="array" ref="Q131">+INDEX('Réel 2024'!$A$2:$AO$501,MATCH($A131,'Réel 2024'!$A$2:$A$501,0),MATCH(Q$2,'Réel 2024'!$A$2:$AO$2,0))</f>
        <v>6401.3</v>
      </c>
      <c r="R131" s="241"/>
      <c r="S131" s="317">
        <f t="shared" si="37"/>
        <v>4331.1899999999996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5956.7756473846148</v>
      </c>
      <c r="G132" s="298"/>
      <c r="H132" s="41"/>
      <c r="I132" s="254"/>
      <c r="J132" s="253"/>
      <c r="K132" s="41"/>
      <c r="L132" s="256">
        <f>SUMIFS(BV_Data_An_Cour!$O:$O,BV_Data_An_Cour!$U:$U,$B132,BV_Data_An_Cour!$V:$V,$C132,BV_Data_An_Cour!$W:$W,$L$2)</f>
        <v>4967.2199999999993</v>
      </c>
      <c r="M132" s="253"/>
      <c r="N132" s="276">
        <f t="shared" si="35"/>
        <v>-989.55564738461544</v>
      </c>
      <c r="O132" s="253"/>
      <c r="P132" s="41"/>
      <c r="Q132" s="256">
        <f t="array" ref="Q132">+INDEX('Réel 2024'!$A$2:$AO$501,MATCH($A132,'Réel 2024'!$A$2:$A$501,0),MATCH(Q$2,'Réel 2024'!$A$2:$AO$2,0))</f>
        <v>999.32999999999902</v>
      </c>
      <c r="R132" s="253"/>
      <c r="S132" s="276">
        <f t="shared" si="37"/>
        <v>3967.8900000000003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2597.1876943589741</v>
      </c>
      <c r="G133" s="298"/>
      <c r="H133" s="41"/>
      <c r="I133" s="254"/>
      <c r="J133" s="253"/>
      <c r="K133" s="41"/>
      <c r="L133" s="256">
        <f>SUMIFS(BV_Data_An_Cour!$O:$O,BV_Data_An_Cour!$U:$U,$B133,BV_Data_An_Cour!$V:$V,$C133,BV_Data_An_Cour!$W:$W,$L$2)</f>
        <v>1397.64</v>
      </c>
      <c r="M133" s="253"/>
      <c r="N133" s="276">
        <f t="shared" si="35"/>
        <v>-1199.547694358974</v>
      </c>
      <c r="O133" s="253"/>
      <c r="P133" s="41"/>
      <c r="Q133" s="256">
        <f t="array" ref="Q133">+INDEX('Réel 2024'!$A$2:$AO$501,MATCH($A133,'Réel 2024'!$A$2:$A$501,0),MATCH(Q$2,'Réel 2024'!$A$2:$AO$2,0))</f>
        <v>1212.53</v>
      </c>
      <c r="R133" s="253"/>
      <c r="S133" s="276">
        <f t="shared" si="37"/>
        <v>185.11000000000013</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0.4621820150171797</v>
      </c>
      <c r="F135" s="307">
        <f>+SUM(F123:F134)</f>
        <v>50701.367047384614</v>
      </c>
      <c r="G135" s="308"/>
      <c r="H135" s="306"/>
      <c r="I135" s="307"/>
      <c r="J135" s="308" t="s">
        <v>119</v>
      </c>
      <c r="K135" s="306">
        <f>L135/L$108</f>
        <v>0.3717721664445518</v>
      </c>
      <c r="L135" s="307">
        <f>SUM(L123:L134)</f>
        <v>41152.74</v>
      </c>
      <c r="M135" s="355"/>
      <c r="N135" s="320">
        <f t="shared" si="35"/>
        <v>-9548.6270473846162</v>
      </c>
      <c r="O135" s="308" t="s">
        <v>119</v>
      </c>
      <c r="P135" s="306">
        <f>Q135/Q$108</f>
        <v>0.53931412783786059</v>
      </c>
      <c r="Q135" s="307">
        <f>+SUM(Q123:Q134)</f>
        <v>33715.46</v>
      </c>
      <c r="R135" s="355"/>
      <c r="S135" s="320">
        <f t="shared" si="37"/>
        <v>7437.2799999999988</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1451.24</v>
      </c>
      <c r="M138" s="246"/>
      <c r="N138" s="296">
        <f t="shared" si="35"/>
        <v>167.08671111111107</v>
      </c>
      <c r="O138" s="246"/>
      <c r="P138" s="318"/>
      <c r="Q138" s="248">
        <f t="array" ref="Q138">+INDEX('Réel 2024'!$A$2:$AO$501,MATCH($A138,'Réel 2024'!$A$2:$A$501,0),MATCH(Q$2,'Réel 2024'!$A$2:$AO$2,0))</f>
        <v>625</v>
      </c>
      <c r="R138" s="246"/>
      <c r="S138" s="296">
        <f t="shared" si="37"/>
        <v>826.24</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4372.5200000000004</v>
      </c>
      <c r="M139" s="253"/>
      <c r="N139" s="276">
        <f t="shared" si="35"/>
        <v>614.8343773066681</v>
      </c>
      <c r="O139" s="253"/>
      <c r="P139" s="41"/>
      <c r="Q139" s="256">
        <f t="array" ref="Q139">+INDEX('Réel 2024'!$A$2:$AO$501,MATCH($A139,'Réel 2024'!$A$2:$A$501,0),MATCH(Q$2,'Réel 2024'!$A$2:$AO$2,0))</f>
        <v>3778.28</v>
      </c>
      <c r="R139" s="253"/>
      <c r="S139" s="276">
        <f t="shared" si="37"/>
        <v>594.24000000000024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626.44000000000005</v>
      </c>
      <c r="M140" s="253"/>
      <c r="N140" s="276">
        <f t="shared" si="35"/>
        <v>70.769756225950459</v>
      </c>
      <c r="O140" s="253"/>
      <c r="P140" s="41"/>
      <c r="Q140" s="256">
        <f t="array" ref="Q140">+INDEX('Réel 2024'!$A$2:$AO$501,MATCH($A140,'Réel 2024'!$A$2:$A$501,0),MATCH(Q$2,'Réel 2024'!$A$2:$AO$2,0))</f>
        <v>874.21</v>
      </c>
      <c r="R140" s="253"/>
      <c r="S140" s="276">
        <f t="shared" si="37"/>
        <v>-247.76999999999998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5540.76</v>
      </c>
      <c r="M141" s="246"/>
      <c r="N141" s="1263">
        <f t="shared" si="35"/>
        <v>4141.9105359463429</v>
      </c>
      <c r="O141" s="246"/>
      <c r="P141" s="318"/>
      <c r="Q141" s="248">
        <f t="array" ref="Q141">+INDEX('Réel 2024'!$A$2:$AO$501,MATCH($A141,'Réel 2024'!$A$2:$A$501,0),MATCH(Q$2,'Réel 2024'!$A$2:$AO$2,0))</f>
        <v>1058.31</v>
      </c>
      <c r="R141" s="246"/>
      <c r="S141" s="296">
        <f t="shared" si="37"/>
        <v>4482.4500000000007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13.6</v>
      </c>
      <c r="R142" s="253"/>
      <c r="S142" s="276">
        <f t="shared" si="37"/>
        <v>-13.6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21.8</v>
      </c>
      <c r="M144" s="253"/>
      <c r="N144" s="276">
        <f t="shared" si="35"/>
        <v>-301.81939737591995</v>
      </c>
      <c r="O144" s="253"/>
      <c r="P144" s="41"/>
      <c r="Q144" s="256">
        <f t="array" ref="Q144">+INDEX('Réel 2024'!$A$2:$AO$501,MATCH($A144,'Réel 2024'!$A$2:$A$501,0),MATCH(Q$2,'Réel 2024'!$A$2:$AO$2,0))</f>
        <v>142.91</v>
      </c>
      <c r="R144" s="253"/>
      <c r="S144" s="276">
        <f t="shared" si="37"/>
        <v>-121.11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82.36</v>
      </c>
      <c r="M145" s="253"/>
      <c r="N145" s="276">
        <f t="shared" si="35"/>
        <v>19.595445155756671</v>
      </c>
      <c r="O145" s="253"/>
      <c r="P145" s="41"/>
      <c r="Q145" s="256">
        <f t="array" ref="Q145">+INDEX('Réel 2024'!$A$2:$AO$501,MATCH($A145,'Réel 2024'!$A$2:$A$501,0),MATCH(Q$2,'Réel 2024'!$A$2:$AO$2,0))</f>
        <v>40.54</v>
      </c>
      <c r="R145" s="253"/>
      <c r="S145" s="276">
        <f t="shared" si="37"/>
        <v>41.82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49.22</v>
      </c>
      <c r="M146" s="253"/>
      <c r="N146" s="276">
        <f t="shared" si="35"/>
        <v>1.0031558618433394</v>
      </c>
      <c r="O146" s="253"/>
      <c r="P146" s="41"/>
      <c r="Q146" s="256">
        <f t="array" ref="Q146">+INDEX('Réel 2024'!$A$2:$AO$501,MATCH($A146,'Réel 2024'!$A$2:$A$501,0),MATCH(Q$2,'Réel 2024'!$A$2:$AO$2,0))</f>
        <v>3.96</v>
      </c>
      <c r="R146" s="253"/>
      <c r="S146" s="276">
        <f t="shared" si="37"/>
        <v>45.26</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45.41</v>
      </c>
      <c r="M147" s="253"/>
      <c r="N147" s="276">
        <f t="shared" si="35"/>
        <v>-61.941617437976689</v>
      </c>
      <c r="O147" s="253"/>
      <c r="P147" s="41"/>
      <c r="Q147" s="256">
        <f t="array" ref="Q147">+INDEX('Réel 2024'!$A$2:$AO$501,MATCH($A147,'Réel 2024'!$A$2:$A$501,0),MATCH(Q$2,'Réel 2024'!$A$2:$AO$2,0))</f>
        <v>75.75</v>
      </c>
      <c r="R147" s="253"/>
      <c r="S147" s="276">
        <f t="shared" si="37"/>
        <v>-30.340000000000003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1550.28</v>
      </c>
      <c r="M148" s="253"/>
      <c r="N148" s="276">
        <f t="shared" si="35"/>
        <v>1331.815628303015</v>
      </c>
      <c r="O148" s="253"/>
      <c r="P148" s="41"/>
      <c r="Q148" s="256">
        <f t="array" ref="Q148">+INDEX('Réel 2024'!$A$2:$AO$501,MATCH($A148,'Réel 2024'!$A$2:$A$501,0),MATCH(Q$2,'Réel 2024'!$A$2:$AO$2,0))</f>
        <v>38.28</v>
      </c>
      <c r="R148" s="253"/>
      <c r="S148" s="276">
        <f t="shared" si="37"/>
        <v>1512</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848.05675343487826</v>
      </c>
      <c r="G149" s="298"/>
      <c r="H149" s="41"/>
      <c r="I149" s="254"/>
      <c r="J149" s="253"/>
      <c r="K149" s="41"/>
      <c r="L149" s="952">
        <f>SUMIFS(BV_Data_An_Cour!$O:$O,BV_Data_An_Cour!$U:$U,$B149,BV_Data_An_Cour!$V:$V,$C149,BV_Data_An_Cour!$W:$W,$L$2)</f>
        <v>1024.1300000000001</v>
      </c>
      <c r="M149" s="253"/>
      <c r="N149" s="961">
        <f t="shared" si="35"/>
        <v>176.07324656512185</v>
      </c>
      <c r="O149" s="253"/>
      <c r="P149" s="41"/>
      <c r="Q149" s="256">
        <f t="array" ref="Q149">+INDEX('Réel 2024'!$A$2:$AO$501,MATCH($A149,'Réel 2024'!$A$2:$A$501,0),MATCH(Q$2,'Réel 2024'!$A$2:$AO$2,0))</f>
        <v>950.46</v>
      </c>
      <c r="R149" s="253"/>
      <c r="S149" s="276">
        <f t="shared" si="37"/>
        <v>73.670000000000073</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7.946263468554926E-2</v>
      </c>
      <c r="F153" s="307">
        <f>+SUM(F136:F152)</f>
        <v>8717.0510250047537</v>
      </c>
      <c r="G153" s="308"/>
      <c r="H153" s="306"/>
      <c r="I153" s="307"/>
      <c r="J153" s="308" t="s">
        <v>119</v>
      </c>
      <c r="K153" s="306">
        <f>L153/L$108</f>
        <v>0.1333788163056456</v>
      </c>
      <c r="L153" s="307">
        <f>+SUM(L136:L152)</f>
        <v>14764.16</v>
      </c>
      <c r="M153" s="311"/>
      <c r="N153" s="307">
        <f t="shared" si="35"/>
        <v>6047.1089749952462</v>
      </c>
      <c r="O153" s="308" t="s">
        <v>119</v>
      </c>
      <c r="P153" s="306">
        <f>Q153/Q$108</f>
        <v>0.12159076221810204</v>
      </c>
      <c r="Q153" s="307">
        <f>+SUM(Q136:Q152)</f>
        <v>7601.3000000000011</v>
      </c>
      <c r="R153" s="311"/>
      <c r="S153" s="307">
        <f t="shared" si="37"/>
        <v>7162.8599999999988</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1.0734529933310657</v>
      </c>
      <c r="F155" s="307">
        <f>F122+F135+F153</f>
        <v>117757.7933684179</v>
      </c>
      <c r="G155" s="308"/>
      <c r="H155" s="306"/>
      <c r="I155" s="307"/>
      <c r="J155" s="308" t="s">
        <v>119</v>
      </c>
      <c r="K155" s="306">
        <f>L155/L$108</f>
        <v>0.90480700572680761</v>
      </c>
      <c r="L155" s="307">
        <f>L122+L135+L153</f>
        <v>100156.20000000001</v>
      </c>
      <c r="M155" s="311"/>
      <c r="N155" s="320">
        <f t="shared" ref="N155:N162" si="39">L155-F155</f>
        <v>-17601.593368417889</v>
      </c>
      <c r="O155" s="308" t="s">
        <v>119</v>
      </c>
      <c r="P155" s="306">
        <f>Q155/Q$108</f>
        <v>1.5045267217186713</v>
      </c>
      <c r="Q155" s="307">
        <f>Q122+Q135+Q153</f>
        <v>94056.15</v>
      </c>
      <c r="R155" s="311"/>
      <c r="S155" s="320">
        <f t="shared" ref="S155:S162" si="40">L155-Q155</f>
        <v>6100.0500000000175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10992.449999999999</v>
      </c>
      <c r="G159" s="298"/>
      <c r="H159" s="41"/>
      <c r="I159" s="254"/>
      <c r="J159" s="1161">
        <f>K159/474</f>
        <v>1.020042194092827</v>
      </c>
      <c r="K159" s="323">
        <f>L159/J97</f>
        <v>483.5</v>
      </c>
      <c r="L159" s="256">
        <f>-SUMIFS(BV_Data_An_Cour!$O:$O,BV_Data_An_Cour!$U:$U,$B159,BV_Data_An_Cour!$V:$V,$C159,BV_Data_An_Cour!$W:$W,L$2)</f>
        <v>14505</v>
      </c>
      <c r="M159" s="253"/>
      <c r="N159" s="276">
        <f t="shared" si="39"/>
        <v>3512.5500000000011</v>
      </c>
      <c r="O159" s="253"/>
      <c r="P159" s="41"/>
      <c r="Q159" s="256">
        <f t="array" ref="Q159">+INDEX('Réel 2024'!$A$2:$AO$501,MATCH($A159,'Réel 2024'!$A$2:$A$501,0),MATCH(Q$2,'Réel 2024'!$A$2:$AO$2,0))</f>
        <v>6428</v>
      </c>
      <c r="R159" s="253"/>
      <c r="S159" s="276">
        <f t="shared" si="40"/>
        <v>8077</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10992.449999999999</v>
      </c>
      <c r="G163" s="308"/>
      <c r="H163" s="306"/>
      <c r="I163" s="307"/>
      <c r="J163" s="308"/>
      <c r="K163" s="306"/>
      <c r="L163" s="307">
        <f>+SUM(L156:L162)</f>
        <v>14505</v>
      </c>
      <c r="M163" s="311"/>
      <c r="N163" s="307">
        <f>SUM(N156:N159)</f>
        <v>3512.5500000000011</v>
      </c>
      <c r="O163" s="308"/>
      <c r="P163" s="306"/>
      <c r="Q163" s="307">
        <f>+SUM(Q156:Q162)</f>
        <v>6428</v>
      </c>
      <c r="R163" s="311"/>
      <c r="S163" s="307">
        <f>+SUM(S156:S162)</f>
        <v>8077</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2934.6566315820983</v>
      </c>
      <c r="G165" s="361"/>
      <c r="H165" s="333"/>
      <c r="I165" s="335"/>
      <c r="J165" s="332"/>
      <c r="K165" s="334"/>
      <c r="L165" s="335">
        <f>L108-L155+L163</f>
        <v>25042.239999999962</v>
      </c>
      <c r="M165" s="332"/>
      <c r="N165" s="335">
        <f>L165-F165</f>
        <v>22107.583368417865</v>
      </c>
      <c r="O165" s="332"/>
      <c r="P165" s="1147">
        <f>+Q165/Q93</f>
        <v>-2.2804122151705342E-2</v>
      </c>
      <c r="Q165" s="335">
        <f>Q108-Q155+Q163</f>
        <v>-25112.710000000188</v>
      </c>
      <c r="R165" s="332"/>
      <c r="S165" s="335">
        <f>L165-Q165</f>
        <v>50154.95000000015</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1"/>
      <c r="H170" s="1219"/>
      <c r="I170" s="1220"/>
      <c r="J170" s="1221" t="s">
        <v>344</v>
      </c>
      <c r="K170" s="1219"/>
      <c r="L170" s="1220"/>
      <c r="M170" s="1221" t="s">
        <v>3310</v>
      </c>
      <c r="N170" s="1220"/>
      <c r="O170" s="1218" t="s">
        <v>345</v>
      </c>
      <c r="P170" s="1219"/>
      <c r="Q170" s="1220"/>
      <c r="R170" s="1222" t="s">
        <v>3312</v>
      </c>
      <c r="S170" s="122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653.56399999999996</v>
      </c>
      <c r="E172" s="291">
        <f>+INDEX('Budget original'!$A$2:$AO$501,MATCH($A172,'Budget original'!$A$2:$A$501,0),MATCH(E$2,'Budget original'!$A$2:$AO$2,0))</f>
        <v>222211.76</v>
      </c>
      <c r="F172" s="291">
        <f>+INDEX('Budget original'!$A$2:$AO$501,MATCH($A172,'Budget original'!$A$2:$A$501,0),MATCH(F$2,'Budget original'!$A$2:$AO$2,0))</f>
        <v>173325.1728</v>
      </c>
      <c r="G172" s="277"/>
      <c r="H172" s="291"/>
      <c r="I172" s="291"/>
      <c r="J172" s="277">
        <f>-SUMIFS(BV_Data_An_Cour!$O:$O,BV_Data_An_Cour!$U:$U,$B172,BV_Data_An_Cour!$V:$V,$C172,BV_Data_An_Cour!$W:$W,J$2)</f>
        <v>776</v>
      </c>
      <c r="K172" s="254">
        <f>-SUMIFS(BV_Data_An_Cour!$O:$O,BV_Data_An_Cour!$X:$X,"Oui",BV_Data_An_Cour!$U:$U,$B172,BV_Data_An_Cour!$V:$V,$C172)</f>
        <v>218088.11000000002</v>
      </c>
      <c r="L172" s="256">
        <f>-SUMIFS(BV_Data_An_Cour!$O:$O,BV_Data_An_Cour!$U:$U,$B172,BV_Data_An_Cour!$V:$V,$C172,BV_Data_An_Cour!$W:$W,$L$2)</f>
        <v>171401.35</v>
      </c>
      <c r="M172" s="292">
        <f>(K172-E172)/E172</f>
        <v>-1.8557298677621716E-2</v>
      </c>
      <c r="N172" s="276">
        <f>L172-F172</f>
        <v>-1923.8227999999945</v>
      </c>
      <c r="O172" s="277">
        <f t="array" ref="O172">+INDEX('Réel 2024'!$A$2:$AO$501,MATCH($A172,'Réel 2024'!$A$2:$A$501,0),MATCH(O$2,'Réel 2024'!$A$2:$AO$2,0))</f>
        <v>724</v>
      </c>
      <c r="P172" s="254">
        <f t="array" ref="P172">+INDEX('Réel 2024'!$A$2:$AO$501,MATCH($A172,'Réel 2024'!$A$2:$A$501,0),MATCH(P$2,'Réel 2024'!$A$2:$AO$2,0))</f>
        <v>213462.55</v>
      </c>
      <c r="Q172" s="256">
        <f t="array" ref="Q172">+INDEX('Réel 2024'!$A$2:$AO$501,MATCH($A172,'Réel 2024'!$A$2:$A$501,0),MATCH(Q$2,'Réel 2024'!$A$2:$AO$2,0))</f>
        <v>161811.37</v>
      </c>
      <c r="R172" s="292">
        <f>IF(O172=0,0,J172/O172)</f>
        <v>1.0718232044198894</v>
      </c>
      <c r="S172" s="276">
        <f>L172-Q172</f>
        <v>9589.9800000000105</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0.77999999999999992</v>
      </c>
      <c r="G173" s="277"/>
      <c r="H173" s="349"/>
      <c r="I173" s="362"/>
      <c r="J173" s="277"/>
      <c r="K173" s="41"/>
      <c r="L173" s="362">
        <f>IF(L172=0,0,L172/K172)</f>
        <v>0.78592707323659228</v>
      </c>
      <c r="M173" s="292"/>
      <c r="N173" s="276"/>
      <c r="O173" s="277"/>
      <c r="P173" s="41"/>
      <c r="Q173" s="362">
        <f>Q172/P172</f>
        <v>0.75803165473287937</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340.00000000000006</v>
      </c>
      <c r="F174" s="364"/>
      <c r="G174" s="365"/>
      <c r="H174" s="363"/>
      <c r="I174" s="364"/>
      <c r="J174" s="365"/>
      <c r="K174" s="363">
        <f>IFERROR(K172/J172,0)</f>
        <v>281.04137886597942</v>
      </c>
      <c r="L174" s="364"/>
      <c r="M174" s="295"/>
      <c r="N174" s="296"/>
      <c r="O174" s="365"/>
      <c r="P174" s="363">
        <f>IFERROR(P172/O172,0)</f>
        <v>294.83777624309391</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82.2</v>
      </c>
      <c r="E175" s="291">
        <f>+INDEX('Budget original'!$A$2:$AO$501,MATCH($A175,'Budget original'!$A$2:$A$501,0),MATCH(E$2,'Budget original'!$A$2:$AO$2,0))</f>
        <v>22194</v>
      </c>
      <c r="F175" s="291">
        <f>+INDEX('Budget original'!$A$2:$AO$501,MATCH($A175,'Budget original'!$A$2:$A$501,0),MATCH(F$2,'Budget original'!$A$2:$AO$2,0))</f>
        <v>14204.16</v>
      </c>
      <c r="G175" s="367"/>
      <c r="H175" s="291"/>
      <c r="I175" s="291"/>
      <c r="J175" s="367">
        <f>-SUMIFS(BV_Data_An_Cour!$O:$O,BV_Data_An_Cour!$U:$U,$B175,BV_Data_An_Cour!$V:$V,$C175,BV_Data_An_Cour!$W:$W,J$2)</f>
        <v>192</v>
      </c>
      <c r="K175" s="271">
        <f>-SUMIFS(BV_Data_An_Cour!$O:$O,BV_Data_An_Cour!$X:$X,"Oui",BV_Data_An_Cour!$U:$U,$B175,BV_Data_An_Cour!$V:$V,$C175)</f>
        <v>40008.99</v>
      </c>
      <c r="L175" s="256">
        <f>-SUMIFS(BV_Data_An_Cour!$O:$O,BV_Data_An_Cour!$U:$U,$B175,BV_Data_An_Cour!$V:$V,$C175,BV_Data_An_Cour!$W:$W,$L$2)</f>
        <v>23879.969999999998</v>
      </c>
      <c r="M175" s="292">
        <f>(K175-E175)/E175</f>
        <v>0.80269397134360632</v>
      </c>
      <c r="N175" s="317">
        <f>L175-F175</f>
        <v>9675.8099999999977</v>
      </c>
      <c r="O175" s="367">
        <f t="array" ref="O175">+INDEX('Réel 2024'!$A$2:$AO$501,MATCH($A175,'Réel 2024'!$A$2:$A$501,0),MATCH(O$2,'Réel 2024'!$A$2:$AO$2,0))</f>
        <v>99</v>
      </c>
      <c r="P175" s="271">
        <f t="array" ref="P175">+INDEX('Réel 2024'!$A$2:$AO$501,MATCH($A175,'Réel 2024'!$A$2:$A$501,0),MATCH(P$2,'Réel 2024'!$A$2:$AO$2,0))</f>
        <v>23543.040000000001</v>
      </c>
      <c r="Q175" s="256">
        <f t="array" ref="Q175">+INDEX('Réel 2024'!$A$2:$AO$501,MATCH($A175,'Réel 2024'!$A$2:$A$501,0),MATCH(Q$2,'Réel 2024'!$A$2:$AO$2,0))</f>
        <v>13888.54</v>
      </c>
      <c r="R175" s="292">
        <f>IF(O175=0,0,J175/O175)</f>
        <v>1.9393939393939394</v>
      </c>
      <c r="S175" s="276">
        <f>L175-Q175</f>
        <v>9991.4299999999967</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0.59686510456774833</v>
      </c>
      <c r="M176" s="264"/>
      <c r="N176" s="265"/>
      <c r="O176" s="253"/>
      <c r="P176" s="41"/>
      <c r="Q176" s="362">
        <f>Q175/P175</f>
        <v>0.58992126760180508</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270</v>
      </c>
      <c r="F177" s="364"/>
      <c r="G177" s="365"/>
      <c r="H177" s="363"/>
      <c r="I177" s="364"/>
      <c r="J177" s="365"/>
      <c r="K177" s="363">
        <f>IFERROR(K175/J175,0)</f>
        <v>208.38015625</v>
      </c>
      <c r="L177" s="364"/>
      <c r="M177" s="295"/>
      <c r="N177" s="296"/>
      <c r="O177" s="365"/>
      <c r="P177" s="363">
        <f>IFERROR(P175/O175,0)</f>
        <v>237.80848484848485</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226.72499999999999</v>
      </c>
      <c r="E178" s="291">
        <f>+INDEX('Budget original'!$A$2:$AO$501,MATCH($A178,'Budget original'!$A$2:$A$501,0),MATCH(E$2,'Budget original'!$A$2:$AO$2,0))</f>
        <v>69609.109499999991</v>
      </c>
      <c r="F178" s="291">
        <f>+INDEX('Budget original'!$A$2:$AO$501,MATCH($A178,'Budget original'!$A$2:$A$501,0),MATCH(F$2,'Budget original'!$A$2:$AO$2,0))</f>
        <v>51510.74102999999</v>
      </c>
      <c r="G178" s="277"/>
      <c r="H178" s="291"/>
      <c r="I178" s="291"/>
      <c r="J178" s="277">
        <f>-SUMIFS(BV_Data_An_Cour!$O:$O,BV_Data_An_Cour!$U:$U,$B178,BV_Data_An_Cour!$V:$V,$C178,BV_Data_An_Cour!$W:$W,J$2)</f>
        <v>220</v>
      </c>
      <c r="K178" s="271">
        <f>-SUMIFS(BV_Data_An_Cour!$O:$O,BV_Data_An_Cour!$X:$X,"Oui",BV_Data_An_Cour!$U:$U,$B178,BV_Data_An_Cour!$V:$V,$C178)</f>
        <v>64988.78</v>
      </c>
      <c r="L178" s="256">
        <f>-SUMIFS(BV_Data_An_Cour!$O:$O,BV_Data_An_Cour!$U:$U,$B178,BV_Data_An_Cour!$V:$V,$C178,BV_Data_An_Cour!$W:$W,$L$2)</f>
        <v>50798.22</v>
      </c>
      <c r="M178" s="292">
        <f>(K178-E178)/E178</f>
        <v>-6.6375357093168857E-2</v>
      </c>
      <c r="N178" s="276">
        <f>L178-F178</f>
        <v>-712.52102999998897</v>
      </c>
      <c r="O178" s="277">
        <f t="array" ref="O178">+INDEX('Réel 2024'!$A$2:$AO$501,MATCH($A178,'Réel 2024'!$A$2:$A$501,0),MATCH(O$2,'Réel 2024'!$A$2:$AO$2,0))</f>
        <v>232</v>
      </c>
      <c r="P178" s="271">
        <f t="array" ref="P178">+INDEX('Réel 2024'!$A$2:$AO$501,MATCH($A178,'Réel 2024'!$A$2:$A$501,0),MATCH(P$2,'Réel 2024'!$A$2:$AO$2,0))</f>
        <v>68576.179999999993</v>
      </c>
      <c r="Q178" s="256">
        <f t="array" ref="Q178">+INDEX('Réel 2024'!$A$2:$AO$501,MATCH($A178,'Réel 2024'!$A$2:$A$501,0),MATCH(Q$2,'Réel 2024'!$A$2:$AO$2,0))</f>
        <v>51620.109999999899</v>
      </c>
      <c r="R178" s="292">
        <f>IF(O178=0,0,J178/O178)</f>
        <v>0.94827586206896552</v>
      </c>
      <c r="S178" s="276">
        <f>L178-Q178</f>
        <v>-821.88999999989755</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0.78164600104818094</v>
      </c>
      <c r="M179" s="292"/>
      <c r="N179" s="276">
        <f>L179-F179</f>
        <v>4.1646001048180947E-2</v>
      </c>
      <c r="O179" s="277"/>
      <c r="P179" s="349"/>
      <c r="Q179" s="362">
        <f>Q178/P178</f>
        <v>0.75274111214710271</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295.40354545454545</v>
      </c>
      <c r="L180" s="364"/>
      <c r="M180" s="295"/>
      <c r="N180" s="296"/>
      <c r="O180" s="365"/>
      <c r="P180" s="363">
        <f>IFERROR(P178/O178,0)</f>
        <v>295.58698275862065</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124.97200000000001</v>
      </c>
      <c r="E181" s="291">
        <f>+INDEX('Budget original'!$A$2:$AO$501,MATCH($A181,'Budget original'!$A$2:$A$501,0),MATCH(E$2,'Budget original'!$A$2:$AO$2,0))</f>
        <v>33742.44</v>
      </c>
      <c r="F181" s="291">
        <f>+INDEX('Budget original'!$A$2:$AO$501,MATCH($A181,'Budget original'!$A$2:$A$501,0),MATCH(F$2,'Budget original'!$A$2:$AO$2,0))</f>
        <v>25306.83</v>
      </c>
      <c r="G181" s="367"/>
      <c r="H181" s="291"/>
      <c r="I181" s="291"/>
      <c r="J181" s="367">
        <f>-SUMIFS(BV_Data_An_Cour!$O:$O,BV_Data_An_Cour!$U:$U,$B181,BV_Data_An_Cour!$V:$V,$C181,BV_Data_An_Cour!$W:$W,J$2)</f>
        <v>0</v>
      </c>
      <c r="K181" s="271">
        <f>-SUMIFS(BV_Data_An_Cour!$O:$O,BV_Data_An_Cour!$X:$X,"Oui",BV_Data_An_Cour!$U:$U,$B181,BV_Data_An_Cour!$V:$V,$C181)</f>
        <v>25065.34</v>
      </c>
      <c r="L181" s="272">
        <f>-SUMIFS(BV_Data_An_Cour!$O:$O,BV_Data_An_Cour!$U:$U,$B181,BV_Data_An_Cour!$V:$V,$C181,BV_Data_An_Cour!$W:$W,$L$2)</f>
        <v>20456.11</v>
      </c>
      <c r="M181" s="371">
        <f>IF(E181=0,0,(K181-E181)/E181)</f>
        <v>-0.25715686239643609</v>
      </c>
      <c r="N181" s="317">
        <f>L181-F181</f>
        <v>-4850.7200000000012</v>
      </c>
      <c r="O181" s="367">
        <f t="array" ref="O181">+INDEX('Réel 2024'!$A$2:$AO$501,MATCH($A181,'Réel 2024'!$A$2:$A$501,0),MATCH(O$2,'Réel 2024'!$A$2:$AO$2,0))</f>
        <v>0</v>
      </c>
      <c r="P181" s="271">
        <f t="array" ref="P181">+INDEX('Réel 2024'!$A$2:$AO$501,MATCH($A181,'Réel 2024'!$A$2:$A$501,0),MATCH(P$2,'Réel 2024'!$A$2:$AO$2,0))</f>
        <v>31075.29</v>
      </c>
      <c r="Q181" s="272">
        <f t="array" ref="Q181">+INDEX('Réel 2024'!$A$2:$AO$501,MATCH($A181,'Réel 2024'!$A$2:$A$501,0),MATCH(Q$2,'Réel 2024'!$A$2:$AO$2,0))</f>
        <v>24885.31</v>
      </c>
      <c r="R181" s="292">
        <f>IF(O181=0,0,J181/O181)</f>
        <v>0</v>
      </c>
      <c r="S181" s="317">
        <f>L181-Q181</f>
        <v>-4429.2000000000007</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0.81611141121564679</v>
      </c>
      <c r="M182" s="277">
        <f>J182-D182</f>
        <v>0</v>
      </c>
      <c r="N182" s="374"/>
      <c r="O182" s="373"/>
      <c r="P182" s="372"/>
      <c r="Q182" s="362">
        <f>IFERROR(Q181/P181,0)</f>
        <v>0.80080700775439262</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-3962.1963906912711</v>
      </c>
      <c r="G184" s="253"/>
      <c r="H184" s="291"/>
      <c r="I184" s="291"/>
      <c r="J184" s="277"/>
      <c r="K184" s="291"/>
      <c r="L184" s="291">
        <f>-SUMIFS(BV_Data_An_Cour!$O:$O,BV_Data_An_Cour!$U:$U,$B184,BV_Data_An_Cour!$V:$V,$C184,BV_Data_An_Cour!$W:$W,$L$2)</f>
        <v>-3279.28</v>
      </c>
      <c r="M184" s="373"/>
      <c r="N184" s="276">
        <f>L184-F184</f>
        <v>682.91639069127086</v>
      </c>
      <c r="O184" s="277"/>
      <c r="P184" s="291"/>
      <c r="Q184" s="256">
        <f t="array" ref="Q184">+INDEX('Réel 2024'!$A$2:$AO$501,MATCH($A184,'Réel 2024'!$A$2:$A$501,0),MATCH(Q$2,'Réel 2024'!$A$2:$AO$2,0))</f>
        <v>-3446.54</v>
      </c>
      <c r="R184" s="379"/>
      <c r="S184" s="276">
        <f t="shared" ref="S184:S185" si="41">L184-Q184</f>
        <v>167.25999999999976</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1087.461</v>
      </c>
      <c r="E185" s="381">
        <f>E172+E175+E178+E181+E184</f>
        <v>347757.30950000003</v>
      </c>
      <c r="F185" s="382">
        <f>F172+F175+F178+F181+F184</f>
        <v>260384.70743930875</v>
      </c>
      <c r="G185" s="383"/>
      <c r="H185" s="381"/>
      <c r="I185" s="382"/>
      <c r="J185" s="383">
        <f t="shared" ref="J185:L185" si="42">J172+J175+J178+J181+J184</f>
        <v>1188</v>
      </c>
      <c r="K185" s="381">
        <f t="shared" si="42"/>
        <v>348151.22000000003</v>
      </c>
      <c r="L185" s="382">
        <f t="shared" si="42"/>
        <v>263256.37</v>
      </c>
      <c r="M185" s="384">
        <f>(K185-E185)/E185</f>
        <v>1.1327166654422202E-3</v>
      </c>
      <c r="N185" s="382">
        <f>L185-F185</f>
        <v>2871.6625606912421</v>
      </c>
      <c r="O185" s="383">
        <f t="shared" ref="O185:Q185" si="43">O172+O175+O178+O181+O184</f>
        <v>1055</v>
      </c>
      <c r="P185" s="381">
        <f t="shared" si="43"/>
        <v>336657.06</v>
      </c>
      <c r="Q185" s="382">
        <f t="shared" si="43"/>
        <v>248758.78999999989</v>
      </c>
      <c r="R185" s="264">
        <f>IF(O185=0,0,J185/O185)</f>
        <v>1.1260663507109006</v>
      </c>
      <c r="S185" s="382">
        <f t="shared" si="41"/>
        <v>14497.580000000104</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0.74875408891817619</v>
      </c>
      <c r="G186" s="389"/>
      <c r="H186" s="387"/>
      <c r="I186" s="265"/>
      <c r="J186" s="389"/>
      <c r="K186" s="387">
        <f>IF(J185=0,0,K185/J185)</f>
        <v>293.0565824915825</v>
      </c>
      <c r="L186" s="265">
        <f>IF(L185=0,0,L185/K185)</f>
        <v>0.75615524196640749</v>
      </c>
      <c r="M186" s="389"/>
      <c r="N186" s="388">
        <f>N185/F185</f>
        <v>1.1028537693061632E-2</v>
      </c>
      <c r="O186" s="389"/>
      <c r="P186" s="387">
        <f>IF(O185=0,0,P185/O185)</f>
        <v>319.10621800947865</v>
      </c>
      <c r="Q186" s="265">
        <f>Q185/P185</f>
        <v>0.73890857954976463</v>
      </c>
      <c r="R186" s="389"/>
      <c r="S186" s="265">
        <f>S185/Q185</f>
        <v>5.8279669232995185E-2</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15911.099999999999</v>
      </c>
      <c r="F188" s="291">
        <f>+INDEX('Budget original'!$A$2:$AO$501,MATCH($A188,'Budget original'!$A$2:$A$501,0),MATCH(F$2,'Budget original'!$A$2:$AO$2,0))</f>
        <v>2800.3535999999995</v>
      </c>
      <c r="G188" s="277"/>
      <c r="H188" s="291"/>
      <c r="I188" s="291"/>
      <c r="J188" s="277"/>
      <c r="K188" s="254">
        <f>-SUMIFS(BV_Data_An_Cour!$O:$O,BV_Data_An_Cour!$X:$X,"Oui",BV_Data_An_Cour!$U:$U,$B188,BV_Data_An_Cour!$V:$V,$C188)</f>
        <v>18629.919999999998</v>
      </c>
      <c r="L188" s="256">
        <f>-SUMIFS(BV_Data_An_Cour!$O:$O,BV_Data_An_Cour!$U:$U,$B188,BV_Data_An_Cour!$V:$V,$C188,BV_Data_An_Cour!$W:$W,$L$2)</f>
        <v>3102.9199999999983</v>
      </c>
      <c r="M188" s="292">
        <f>IF(E188=0,0,(K188-E188)/E188)</f>
        <v>0.17087567798580866</v>
      </c>
      <c r="N188" s="276">
        <f>L188-F188</f>
        <v>302.56639999999879</v>
      </c>
      <c r="O188" s="277"/>
      <c r="P188" s="254">
        <f t="array" ref="P188">+INDEX('Réel 2024'!$A$2:$AO$501,MATCH($A188,'Réel 2024'!$A$2:$A$501,0),MATCH(P$2,'Réel 2024'!$A$2:$AO$2,0))</f>
        <v>21634.6</v>
      </c>
      <c r="Q188" s="256">
        <f t="array" ref="Q188">+INDEX('Réel 2024'!$A$2:$AO$501,MATCH($A188,'Réel 2024'!$A$2:$A$501,0),MATCH(Q$2,'Réel 2024'!$A$2:$AO$2,0))</f>
        <v>4449.5999999999904</v>
      </c>
      <c r="R188" s="292">
        <f>IF(O188=0,0,J188/O188)</f>
        <v>0</v>
      </c>
      <c r="S188" s="276">
        <f>L188-Q188</f>
        <v>-1346.6799999999921</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0.16655573400207829</v>
      </c>
      <c r="M189" s="373"/>
      <c r="N189" s="374"/>
      <c r="O189" s="373"/>
      <c r="P189" s="372"/>
      <c r="Q189" s="362">
        <f>IFERROR(Q188/P188,0)</f>
        <v>0.20567054625461023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25870</v>
      </c>
      <c r="F191" s="291">
        <f>+INDEX('Budget original'!$A$2:$AO$501,MATCH($A191,'Budget original'!$A$2:$A$501,0),MATCH(F$2,'Budget original'!$A$2:$AO$2,0))</f>
        <v>18109</v>
      </c>
      <c r="G191" s="253"/>
      <c r="H191" s="291"/>
      <c r="I191" s="291"/>
      <c r="J191" s="277">
        <f>-SUMIFS(BV_Data_An_Cour!$O:$O,BV_Data_An_Cour!$U:$U,$B191,BV_Data_An_Cour!$V:$V,$C191,BV_Data_An_Cour!$W:$W,J$2)</f>
        <v>50</v>
      </c>
      <c r="K191" s="254">
        <f>-SUMIFS(BV_Data_An_Cour!$O:$O,BV_Data_An_Cour!$X:$X,"Oui",BV_Data_An_Cour!$U:$U,$B191,BV_Data_An_Cour!$V:$V,$C191)</f>
        <v>10458.5</v>
      </c>
      <c r="L191" s="256">
        <f>-SUMIFS(BV_Data_An_Cour!$O:$O,BV_Data_An_Cour!$U:$U,$B191,BV_Data_An_Cour!$V:$V,$C191,BV_Data_An_Cour!$W:$W,$L$2)</f>
        <v>7042.3899999999994</v>
      </c>
      <c r="M191" s="292">
        <f>IF(E191=0,0,(K191-E191)/E191)</f>
        <v>-0.59572864321608043</v>
      </c>
      <c r="N191" s="276">
        <f>L191-F191</f>
        <v>-11066.61</v>
      </c>
      <c r="O191" s="373"/>
      <c r="P191" s="254">
        <f t="array" ref="P191">+INDEX('Réel 2024'!$A$2:$AO$501,MATCH($A191,'Réel 2024'!$A$2:$A$501,0),MATCH(P$2,'Réel 2024'!$A$2:$AO$2,0))</f>
        <v>8946.15</v>
      </c>
      <c r="Q191" s="256">
        <f t="array" ref="Q191">+INDEX('Réel 2024'!$A$2:$AO$501,MATCH($A191,'Réel 2024'!$A$2:$A$501,0),MATCH(Q$2,'Réel 2024'!$A$2:$AO$2,0))</f>
        <v>7163.79</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0.67336520533537314</v>
      </c>
      <c r="M192" s="373"/>
      <c r="N192" s="374"/>
      <c r="O192" s="373"/>
      <c r="P192" s="372"/>
      <c r="Q192" s="362">
        <f>IF(Q191=0,0,Q191/P191)</f>
        <v>0.80076792810315056</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f>K193/(J172+J191)</f>
        <v>307.03625907990318</v>
      </c>
      <c r="K193" s="396">
        <f>K191+K181+K172</f>
        <v>253611.95</v>
      </c>
      <c r="L193" s="397">
        <f>K193/J193</f>
        <v>826</v>
      </c>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389538.40950000001</v>
      </c>
      <c r="F194" s="281">
        <f>F185+F188+F191</f>
        <v>281294.06103930873</v>
      </c>
      <c r="G194" s="282"/>
      <c r="H194" s="279"/>
      <c r="I194" s="281"/>
      <c r="J194" s="282"/>
      <c r="K194" s="279">
        <f t="shared" ref="K194:L194" si="44">K185+K188+K191</f>
        <v>377239.64</v>
      </c>
      <c r="L194" s="281">
        <f t="shared" si="44"/>
        <v>273401.68</v>
      </c>
      <c r="M194" s="399">
        <f>L195-F195</f>
        <v>2.6212114262996744E-3</v>
      </c>
      <c r="N194" s="281">
        <f>L194-F194</f>
        <v>-7892.3810393087333</v>
      </c>
      <c r="O194" s="282"/>
      <c r="P194" s="279">
        <f t="shared" ref="P194:Q194" si="45">P185+P188+P191</f>
        <v>367237.81</v>
      </c>
      <c r="Q194" s="281">
        <f t="shared" si="45"/>
        <v>260372.17999999988</v>
      </c>
      <c r="R194" s="399"/>
      <c r="S194" s="281">
        <f>L194-Q194</f>
        <v>13029.500000000116</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0.72212150119000962</v>
      </c>
      <c r="G195" s="283"/>
      <c r="H195" s="284"/>
      <c r="I195" s="287"/>
      <c r="J195" s="283"/>
      <c r="K195" s="284"/>
      <c r="L195" s="287">
        <f>L194/K194</f>
        <v>0.72474271261630929</v>
      </c>
      <c r="M195" s="286"/>
      <c r="N195" s="287">
        <f>N194/F194</f>
        <v>-2.8057403736674813E-2</v>
      </c>
      <c r="O195" s="283"/>
      <c r="P195" s="284"/>
      <c r="Q195" s="287">
        <f>Q194/P194</f>
        <v>0.70900155950717569</v>
      </c>
      <c r="R195" s="286"/>
      <c r="S195" s="287">
        <f>L194/S194</f>
        <v>20.983282551133776</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12366.22</v>
      </c>
      <c r="M198" s="253"/>
      <c r="N198" s="256">
        <f t="shared" ref="N198:N229" si="46">L198-F198</f>
        <v>-3315.5857692307709</v>
      </c>
      <c r="O198" s="253"/>
      <c r="P198" s="41"/>
      <c r="Q198" s="256">
        <f t="array" ref="Q198">+INDEX('Réel 2024'!$A$2:$AO$501,MATCH($A198,'Réel 2024'!$A$2:$A$501,0),MATCH(Q$2,'Réel 2024'!$A$2:$AO$2,0))</f>
        <v>9367.5400000000009</v>
      </c>
      <c r="R198" s="253"/>
      <c r="S198" s="256">
        <f t="shared" ref="S198:S229" si="47">L198-Q198</f>
        <v>2998.6799999999985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7986.65</v>
      </c>
      <c r="M199" s="253"/>
      <c r="N199" s="256">
        <f t="shared" si="46"/>
        <v>-370.95633846153942</v>
      </c>
      <c r="O199" s="253"/>
      <c r="P199" s="41"/>
      <c r="Q199" s="256">
        <f t="array" ref="Q199">+INDEX('Réel 2024'!$A$2:$AO$501,MATCH($A199,'Réel 2024'!$A$2:$A$501,0),MATCH(Q$2,'Réel 2024'!$A$2:$AO$2,0))</f>
        <v>8321.08</v>
      </c>
      <c r="R199" s="253"/>
      <c r="S199" s="276">
        <f t="shared" si="47"/>
        <v>-334.43000000000029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399999999999999">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24058.41</v>
      </c>
      <c r="M200" s="241"/>
      <c r="N200" s="272">
        <f t="shared" si="46"/>
        <v>8390.6330769230772</v>
      </c>
      <c r="O200" s="241"/>
      <c r="P200" s="315"/>
      <c r="Q200" s="272">
        <f t="array" ref="Q200">+INDEX('Réel 2024'!$A$2:$AO$501,MATCH($A200,'Réel 2024'!$A$2:$A$501,0),MATCH(Q$2,'Réel 2024'!$A$2:$AO$2,0))</f>
        <v>20320.27</v>
      </c>
      <c r="R200" s="241"/>
      <c r="S200" s="317">
        <f t="shared" si="47"/>
        <v>3738.1399999999994</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399999999999999">
      <c r="A201" s="5" t="s">
        <v>476</v>
      </c>
      <c r="B201" s="41" t="s">
        <v>161</v>
      </c>
      <c r="C201" s="312" t="s">
        <v>123</v>
      </c>
      <c r="D201" s="297"/>
      <c r="E201" s="1144">
        <f>F201/E172</f>
        <v>0.15421156240405029</v>
      </c>
      <c r="F201" s="254">
        <f>+INDEX('Budget original'!$A$2:$AO$501,MATCH($A201,'Budget original'!$A$2:$A$501,0),MATCH(F$2,'Budget original'!$A$2:$AO$2,0))</f>
        <v>34267.622694153848</v>
      </c>
      <c r="G201" s="298"/>
      <c r="H201" s="41"/>
      <c r="I201" s="254"/>
      <c r="J201" s="253"/>
      <c r="K201" s="1162">
        <f>L201/K172</f>
        <v>0.1140687587232518</v>
      </c>
      <c r="L201" s="256">
        <f>SUMIFS(BV_Data_An_Cour!$O:$O,BV_Data_An_Cour!$U:$U,$B201,BV_Data_An_Cour!$V:$V,$C201,BV_Data_An_Cour!$W:$W,$L$2)</f>
        <v>24877.040000000001</v>
      </c>
      <c r="M201" s="253"/>
      <c r="N201" s="256">
        <f t="shared" si="46"/>
        <v>-9390.5826941538471</v>
      </c>
      <c r="O201" s="253"/>
      <c r="P201" s="41"/>
      <c r="Q201" s="256">
        <f t="array" ref="Q201">+INDEX('Réel 2024'!$A$2:$AO$501,MATCH($A201,'Réel 2024'!$A$2:$A$501,0),MATCH(Q$2,'Réel 2024'!$A$2:$AO$2,0))</f>
        <v>43948.92</v>
      </c>
      <c r="R201" s="253"/>
      <c r="S201" s="276">
        <f t="shared" si="47"/>
        <v>-19071.879999999997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399999999999999">
      <c r="A205" s="5" t="s">
        <v>478</v>
      </c>
      <c r="B205" s="41" t="s">
        <v>161</v>
      </c>
      <c r="C205" s="313" t="s">
        <v>124</v>
      </c>
      <c r="D205" s="297"/>
      <c r="E205" s="41"/>
      <c r="F205" s="254">
        <f>+INDEX('Budget original'!$A$2:$AO$501,MATCH($A205,'Budget original'!$A$2:$A$501,0),MATCH(F$2,'Budget original'!$A$2:$AO$2,0))</f>
        <v>18683.627921397998</v>
      </c>
      <c r="G205" s="298"/>
      <c r="H205" s="41"/>
      <c r="I205" s="254"/>
      <c r="J205" s="253"/>
      <c r="K205" s="41"/>
      <c r="L205" s="256">
        <f>SUMIFS(BV_Data_An_Cour!$O:$O,BV_Data_An_Cour!$U:$U,$B205,BV_Data_An_Cour!$V:$V,$C205,BV_Data_An_Cour!$W:$W,$L$2)</f>
        <v>17889.96</v>
      </c>
      <c r="M205" s="253"/>
      <c r="N205" s="256">
        <f t="shared" si="46"/>
        <v>-793.66792139799873</v>
      </c>
      <c r="O205" s="253"/>
      <c r="P205" s="41"/>
      <c r="Q205" s="256">
        <f t="array" ref="Q205">+INDEX('Réel 2024'!$A$2:$AO$501,MATCH($A205,'Réel 2024'!$A$2:$A$501,0),MATCH(Q$2,'Réel 2024'!$A$2:$AO$2,0))</f>
        <v>20422.400000000001</v>
      </c>
      <c r="R205" s="253"/>
      <c r="S205" s="276">
        <f t="shared" si="47"/>
        <v>-2532.4400000000023</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22716.657737030167</v>
      </c>
      <c r="G206" s="316"/>
      <c r="H206" s="315"/>
      <c r="I206" s="272"/>
      <c r="J206" s="241"/>
      <c r="K206" s="315"/>
      <c r="L206" s="272">
        <f>SUMIFS(BV_Data_An_Cour!$O:$O,BV_Data_An_Cour!$U:$U,$B206,BV_Data_An_Cour!$V:$V,$C206,BV_Data_An_Cour!$W:$W,$L$2)</f>
        <v>22915.759999999998</v>
      </c>
      <c r="M206" s="241"/>
      <c r="N206" s="272">
        <f t="shared" si="46"/>
        <v>199.10226296983092</v>
      </c>
      <c r="O206" s="241"/>
      <c r="P206" s="315"/>
      <c r="Q206" s="272">
        <f t="array" ref="Q206">+INDEX('Réel 2024'!$A$2:$AO$501,MATCH($A206,'Réel 2024'!$A$2:$A$501,0),MATCH(Q$2,'Réel 2024'!$A$2:$AO$2,0))</f>
        <v>22408.44</v>
      </c>
      <c r="R206" s="241"/>
      <c r="S206" s="317">
        <f t="shared" si="47"/>
        <v>507.31999999999971</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11704.01713842641</v>
      </c>
      <c r="G207" s="298"/>
      <c r="H207" s="41"/>
      <c r="I207" s="254"/>
      <c r="J207" s="253"/>
      <c r="K207" s="41"/>
      <c r="L207" s="256">
        <f>SUMIFS(BV_Data_An_Cour!$O:$O,BV_Data_An_Cour!$U:$U,$B207,BV_Data_An_Cour!$V:$V,$C207,BV_Data_An_Cour!$W:$W,$L$2)</f>
        <v>11908.5</v>
      </c>
      <c r="M207" s="253"/>
      <c r="N207" s="256">
        <f t="shared" si="46"/>
        <v>204.48286157358962</v>
      </c>
      <c r="O207" s="253"/>
      <c r="P207" s="41"/>
      <c r="Q207" s="256">
        <f t="array" ref="Q207">+INDEX('Réel 2024'!$A$2:$AO$501,MATCH($A207,'Réel 2024'!$A$2:$A$501,0),MATCH(Q$2,'Réel 2024'!$A$2:$AO$2,0))</f>
        <v>11244.77</v>
      </c>
      <c r="R207" s="253"/>
      <c r="S207" s="276">
        <f t="shared" si="47"/>
        <v>663.72999999999956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5103.0173177386605</v>
      </c>
      <c r="G208" s="298"/>
      <c r="H208" s="41"/>
      <c r="I208" s="254"/>
      <c r="J208" s="253"/>
      <c r="K208" s="41"/>
      <c r="L208" s="256">
        <f>SUMIFS(BV_Data_An_Cour!$O:$O,BV_Data_An_Cour!$U:$U,$B208,BV_Data_An_Cour!$V:$V,$C208,BV_Data_An_Cour!$W:$W,$L$2)</f>
        <v>4529.1000000000004</v>
      </c>
      <c r="M208" s="253"/>
      <c r="N208" s="256">
        <f t="shared" si="46"/>
        <v>-573.91731773866013</v>
      </c>
      <c r="O208" s="253"/>
      <c r="P208" s="41"/>
      <c r="Q208" s="256">
        <f t="array" ref="Q208">+INDEX('Réel 2024'!$A$2:$AO$501,MATCH($A208,'Réel 2024'!$A$2:$A$501,0),MATCH(Q$2,'Réel 2024'!$A$2:$AO$2,0))</f>
        <v>4370.88</v>
      </c>
      <c r="R208" s="253"/>
      <c r="S208" s="276">
        <f t="shared" si="47"/>
        <v>158.22000000000025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0.46990729683782723</v>
      </c>
      <c r="F210" s="307">
        <f>+SUM(F198:F209)</f>
        <v>132182.13183951634</v>
      </c>
      <c r="G210" s="308"/>
      <c r="H210" s="306"/>
      <c r="I210" s="307"/>
      <c r="J210" s="308" t="s">
        <v>175</v>
      </c>
      <c r="K210" s="306">
        <f>L210/L$194</f>
        <v>0.46280491034290644</v>
      </c>
      <c r="L210" s="307">
        <f>+SUM(L198:L209)</f>
        <v>126531.64</v>
      </c>
      <c r="M210" s="355"/>
      <c r="N210" s="307">
        <f t="shared" si="46"/>
        <v>-5650.4918395163404</v>
      </c>
      <c r="O210" s="308" t="s">
        <v>175</v>
      </c>
      <c r="P210" s="306">
        <f>Q210/Q$194</f>
        <v>0.5392446305131372</v>
      </c>
      <c r="Q210" s="307">
        <f>+SUM(Q198:Q209)</f>
        <v>140404.29999999999</v>
      </c>
      <c r="R210" s="355"/>
      <c r="S210" s="320">
        <f t="shared" si="47"/>
        <v>-13872.659999999989</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14414.766996886956</v>
      </c>
      <c r="G211" s="298"/>
      <c r="H211" s="41"/>
      <c r="I211" s="254"/>
      <c r="J211" s="253"/>
      <c r="K211" s="41"/>
      <c r="L211" s="256">
        <f>SUMIFS(BV_Data_An_Cour!$O:$O,BV_Data_An_Cour!$U:$U,$B211,BV_Data_An_Cour!$V:$V,$C211,BV_Data_An_Cour!$W:$W,$L$2)</f>
        <v>20858.59</v>
      </c>
      <c r="M211" s="253"/>
      <c r="N211" s="1255">
        <f t="shared" si="46"/>
        <v>6443.8230031130443</v>
      </c>
      <c r="O211" s="253"/>
      <c r="P211" s="41"/>
      <c r="Q211" s="256">
        <f t="array" ref="Q211">+INDEX('Réel 2024'!$A$2:$AO$501,MATCH($A211,'Réel 2024'!$A$2:$A$501,0),MATCH(Q$2,'Réel 2024'!$A$2:$AO$2,0))</f>
        <v>11076.5</v>
      </c>
      <c r="R211" s="253"/>
      <c r="S211" s="276">
        <f t="shared" si="47"/>
        <v>9782.09</v>
      </c>
      <c r="T211" s="41"/>
      <c r="U211" s="41" t="s">
        <v>3960</v>
      </c>
      <c r="V211" s="41" t="s">
        <v>3961</v>
      </c>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3861.29</v>
      </c>
      <c r="M212" s="253"/>
      <c r="N212" s="276">
        <f t="shared" si="46"/>
        <v>439.11259667629065</v>
      </c>
      <c r="O212" s="253"/>
      <c r="P212" s="41"/>
      <c r="Q212" s="256">
        <f t="array" ref="Q212">+INDEX('Réel 2024'!$A$2:$AO$501,MATCH($A212,'Réel 2024'!$A$2:$A$501,0),MATCH(Q$2,'Réel 2024'!$A$2:$AO$2,0))</f>
        <v>2109.5300000000002</v>
      </c>
      <c r="R212" s="253"/>
      <c r="S212" s="276">
        <f t="shared" si="47"/>
        <v>1751.7599999999998</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16083.739355555555</v>
      </c>
      <c r="G213" s="300"/>
      <c r="H213" s="318"/>
      <c r="I213" s="248"/>
      <c r="J213" s="246"/>
      <c r="K213" s="318"/>
      <c r="L213" s="256">
        <f>SUMIFS(BV_Data_An_Cour!$O:$O,BV_Data_An_Cour!$U:$U,$B213,BV_Data_An_Cour!$V:$V,$C213,BV_Data_An_Cour!$W:$W,$L$2)</f>
        <v>12388.42</v>
      </c>
      <c r="M213" s="246"/>
      <c r="N213" s="296">
        <f t="shared" si="46"/>
        <v>-3695.3193555555554</v>
      </c>
      <c r="O213" s="246"/>
      <c r="P213" s="318"/>
      <c r="Q213" s="256">
        <f t="array" ref="Q213">+INDEX('Réel 2024'!$A$2:$AO$501,MATCH($A213,'Réel 2024'!$A$2:$A$501,0),MATCH(Q$2,'Réel 2024'!$A$2:$AO$2,0))</f>
        <v>13105.98</v>
      </c>
      <c r="R213" s="246"/>
      <c r="S213" s="296">
        <f t="shared" si="47"/>
        <v>-717.55999999999949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4747.1400000000003</v>
      </c>
      <c r="M214" s="253"/>
      <c r="N214" s="276">
        <f t="shared" si="46"/>
        <v>-36.176137386665687</v>
      </c>
      <c r="O214" s="253"/>
      <c r="P214" s="41"/>
      <c r="Q214" s="272">
        <f t="array" ref="Q214">+INDEX('Réel 2024'!$A$2:$AO$501,MATCH($A214,'Réel 2024'!$A$2:$A$501,0),MATCH(Q$2,'Réel 2024'!$A$2:$AO$2,0))</f>
        <v>4927.17</v>
      </c>
      <c r="R214" s="253"/>
      <c r="S214" s="276">
        <f t="shared" si="47"/>
        <v>-180.02999999999975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2197.58</v>
      </c>
      <c r="M215" s="253"/>
      <c r="N215" s="276">
        <f t="shared" si="46"/>
        <v>1146.7048194063095</v>
      </c>
      <c r="O215" s="253"/>
      <c r="P215" s="41"/>
      <c r="Q215" s="256">
        <f t="array" ref="Q215">+INDEX('Réel 2024'!$A$2:$AO$501,MATCH($A215,'Réel 2024'!$A$2:$A$501,0),MATCH(Q$2,'Réel 2024'!$A$2:$AO$2,0))</f>
        <v>1797.78</v>
      </c>
      <c r="R215" s="253"/>
      <c r="S215" s="276">
        <f t="shared" si="47"/>
        <v>399.79999999999995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15128.231788350371</v>
      </c>
      <c r="G216" s="300"/>
      <c r="H216" s="318"/>
      <c r="I216" s="248"/>
      <c r="J216" s="246"/>
      <c r="K216" s="318"/>
      <c r="L216" s="256">
        <f>SUMIFS(BV_Data_An_Cour!$O:$O,BV_Data_An_Cour!$U:$U,$B216,BV_Data_An_Cour!$V:$V,$C216,BV_Data_An_Cour!$W:$W,$L$2)</f>
        <v>16230.76</v>
      </c>
      <c r="M216" s="246"/>
      <c r="N216" s="296">
        <f t="shared" si="46"/>
        <v>1102.5282116496292</v>
      </c>
      <c r="O216" s="246"/>
      <c r="P216" s="318"/>
      <c r="Q216" s="256">
        <f t="array" ref="Q216">+INDEX('Réel 2024'!$A$2:$AO$501,MATCH($A216,'Réel 2024'!$A$2:$A$501,0),MATCH(Q$2,'Réel 2024'!$A$2:$AO$2,0))</f>
        <v>11142.48</v>
      </c>
      <c r="R216" s="246"/>
      <c r="S216" s="296">
        <f t="shared" si="47"/>
        <v>5088.2800000000007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5855.42</v>
      </c>
      <c r="M218" s="253"/>
      <c r="N218" s="276">
        <f t="shared" si="46"/>
        <v>1085.4995777777767</v>
      </c>
      <c r="O218" s="253"/>
      <c r="P218" s="41"/>
      <c r="Q218" s="256">
        <f t="array" ref="Q218">+INDEX('Réel 2024'!$A$2:$AO$501,MATCH($A218,'Réel 2024'!$A$2:$A$501,0),MATCH(Q$2,'Réel 2024'!$A$2:$AO$2,0))</f>
        <v>4529.47</v>
      </c>
      <c r="R218" s="253"/>
      <c r="S218" s="276">
        <f t="shared" si="47"/>
        <v>1325.9499999999998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793.22</v>
      </c>
      <c r="M219" s="253"/>
      <c r="N219" s="276">
        <f t="shared" si="46"/>
        <v>-427.24540678641711</v>
      </c>
      <c r="O219" s="253"/>
      <c r="P219" s="41"/>
      <c r="Q219" s="256">
        <f t="array" ref="Q219">+INDEX('Réel 2024'!$A$2:$AO$501,MATCH($A219,'Réel 2024'!$A$2:$A$501,0),MATCH(Q$2,'Réel 2024'!$A$2:$AO$2,0))</f>
        <v>893.35</v>
      </c>
      <c r="R219" s="253"/>
      <c r="S219" s="276">
        <f t="shared" si="47"/>
        <v>-100.13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43.61</v>
      </c>
      <c r="M220" s="253"/>
      <c r="N220" s="276">
        <f t="shared" si="46"/>
        <v>-789.44414975184009</v>
      </c>
      <c r="O220" s="253"/>
      <c r="P220" s="41"/>
      <c r="Q220" s="256">
        <f t="array" ref="Q220">+INDEX('Réel 2024'!$A$2:$AO$501,MATCH($A220,'Réel 2024'!$A$2:$A$501,0),MATCH(Q$2,'Réel 2024'!$A$2:$AO$2,0))</f>
        <v>479.88</v>
      </c>
      <c r="R220" s="253"/>
      <c r="S220" s="276">
        <f t="shared" si="47"/>
        <v>-436.27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201.64</v>
      </c>
      <c r="M221" s="253"/>
      <c r="N221" s="276">
        <f t="shared" si="46"/>
        <v>22.435498311513271</v>
      </c>
      <c r="O221" s="253"/>
      <c r="P221" s="41"/>
      <c r="Q221" s="256">
        <f t="array" ref="Q221">+INDEX('Réel 2024'!$A$2:$AO$501,MATCH($A221,'Réel 2024'!$A$2:$A$501,0),MATCH(Q$2,'Réel 2024'!$A$2:$AO$2,0))</f>
        <v>330.28</v>
      </c>
      <c r="R221" s="253"/>
      <c r="S221" s="276">
        <f t="shared" si="47"/>
        <v>-128.63999999999999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551.49</v>
      </c>
      <c r="M222" s="253"/>
      <c r="N222" s="276">
        <f t="shared" si="46"/>
        <v>458.69942872368671</v>
      </c>
      <c r="O222" s="253"/>
      <c r="P222" s="41"/>
      <c r="Q222" s="256">
        <f t="array" ref="Q222">+INDEX('Réel 2024'!$A$2:$AO$501,MATCH($A222,'Réel 2024'!$A$2:$A$501,0),MATCH(Q$2,'Réel 2024'!$A$2:$AO$2,0))</f>
        <v>7.92</v>
      </c>
      <c r="R222" s="253"/>
      <c r="S222" s="276">
        <f t="shared" si="47"/>
        <v>543.57000000000005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90.81</v>
      </c>
      <c r="M223" s="253"/>
      <c r="N223" s="276">
        <f t="shared" si="46"/>
        <v>-61.640951875953334</v>
      </c>
      <c r="O223" s="253"/>
      <c r="P223" s="41"/>
      <c r="Q223" s="256">
        <f t="array" ref="Q223">+INDEX('Réel 2024'!$A$2:$AO$501,MATCH($A223,'Réel 2024'!$A$2:$A$501,0),MATCH(Q$2,'Réel 2024'!$A$2:$AO$2,0))</f>
        <v>151.44999999999999</v>
      </c>
      <c r="R223" s="253"/>
      <c r="S223" s="276">
        <f t="shared" si="47"/>
        <v>-60.639999999999986</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1047.57</v>
      </c>
      <c r="M224" s="253"/>
      <c r="N224" s="276">
        <f t="shared" si="46"/>
        <v>-2018.9433988524863</v>
      </c>
      <c r="O224" s="253"/>
      <c r="P224" s="41"/>
      <c r="Q224" s="256">
        <f t="array" ref="Q224">+INDEX('Réel 2024'!$A$2:$AO$501,MATCH($A224,'Réel 2024'!$A$2:$A$501,0),MATCH(Q$2,'Réel 2024'!$A$2:$AO$2,0))</f>
        <v>1114.8599999999999</v>
      </c>
      <c r="R224" s="253"/>
      <c r="S224" s="276">
        <f t="shared" si="47"/>
        <v>-67.289999999999964</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1957.9497075888899</v>
      </c>
      <c r="G225" s="298"/>
      <c r="H225" s="41"/>
      <c r="I225" s="254"/>
      <c r="J225" s="253"/>
      <c r="K225" s="41"/>
      <c r="L225" s="256">
        <f>SUMIFS(BV_Data_An_Cour!$O:$O,BV_Data_An_Cour!$U:$U,$B225,BV_Data_An_Cour!$V:$V,$C225,BV_Data_An_Cour!$W:$W,$L$2)</f>
        <v>2304.3000000000002</v>
      </c>
      <c r="M225" s="253"/>
      <c r="N225" s="276">
        <f t="shared" si="46"/>
        <v>346.35029241111033</v>
      </c>
      <c r="O225" s="253"/>
      <c r="P225" s="41"/>
      <c r="Q225" s="256">
        <f t="array" ref="Q225">+INDEX('Réel 2024'!$A$2:$AO$501,MATCH($A225,'Réel 2024'!$A$2:$A$501,0),MATCH(Q$2,'Réel 2024'!$A$2:$AO$2,0))</f>
        <v>2138.54</v>
      </c>
      <c r="R225" s="253"/>
      <c r="S225" s="276">
        <f t="shared" si="47"/>
        <v>165.76000000000022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0.23873755359077806</v>
      </c>
      <c r="F229" s="307">
        <f>+SUM(F211:F228)</f>
        <v>67155.455972139564</v>
      </c>
      <c r="G229" s="308"/>
      <c r="H229" s="306"/>
      <c r="I229" s="307"/>
      <c r="J229" s="308" t="s">
        <v>175</v>
      </c>
      <c r="K229" s="306">
        <f>L229/L$194</f>
        <v>0.2603196878673168</v>
      </c>
      <c r="L229" s="307">
        <f>+SUM(L211:L228)</f>
        <v>71171.840000000026</v>
      </c>
      <c r="M229" s="311"/>
      <c r="N229" s="307">
        <f t="shared" si="46"/>
        <v>4016.3840278604621</v>
      </c>
      <c r="O229" s="308" t="s">
        <v>175</v>
      </c>
      <c r="P229" s="306">
        <f>Q229/Q$194</f>
        <v>0.20664723089847778</v>
      </c>
      <c r="Q229" s="307">
        <f>+SUM(Q211:Q228)</f>
        <v>53805.189999999995</v>
      </c>
      <c r="R229" s="311"/>
      <c r="S229" s="307">
        <f t="shared" si="47"/>
        <v>17366.650000000031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0.70864485042860526</v>
      </c>
      <c r="F231" s="307">
        <f>F210+F229</f>
        <v>199337.58781165589</v>
      </c>
      <c r="G231" s="308"/>
      <c r="H231" s="306"/>
      <c r="I231" s="307"/>
      <c r="J231" s="308" t="s">
        <v>119</v>
      </c>
      <c r="K231" s="306">
        <f>L231/L$194</f>
        <v>0.72312459821022335</v>
      </c>
      <c r="L231" s="307">
        <f>L210+L229</f>
        <v>197703.48000000004</v>
      </c>
      <c r="M231" s="311"/>
      <c r="N231" s="320">
        <f>L231-F231</f>
        <v>-1634.1078116558492</v>
      </c>
      <c r="O231" s="308" t="s">
        <v>119</v>
      </c>
      <c r="P231" s="306">
        <f>Q231/Q$194</f>
        <v>0.74589186141161501</v>
      </c>
      <c r="Q231" s="307">
        <f>Q210+Q229</f>
        <v>194209.49</v>
      </c>
      <c r="R231" s="311"/>
      <c r="S231" s="320">
        <f>L231-Q231</f>
        <v>3493.9900000000489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81956.473227652838</v>
      </c>
      <c r="G233" s="361"/>
      <c r="H233" s="333"/>
      <c r="I233" s="335"/>
      <c r="J233" s="332"/>
      <c r="K233" s="334"/>
      <c r="L233" s="335">
        <f>L194-L231</f>
        <v>75698.199999999953</v>
      </c>
      <c r="M233" s="332"/>
      <c r="N233" s="335">
        <f>L233-F233</f>
        <v>-6258.2732276528841</v>
      </c>
      <c r="O233" s="332"/>
      <c r="P233" s="1147">
        <f>+Q233/P194</f>
        <v>0.18016306654263048</v>
      </c>
      <c r="Q233" s="335">
        <f>Q194-Q231</f>
        <v>66162.689999999886</v>
      </c>
      <c r="R233" s="332"/>
      <c r="S233" s="335">
        <f>L233-Q233</f>
        <v>9535.5100000000675</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1"/>
      <c r="H238" s="1219"/>
      <c r="I238" s="1220"/>
      <c r="J238" s="1221" t="s">
        <v>344</v>
      </c>
      <c r="K238" s="1219"/>
      <c r="L238" s="1220"/>
      <c r="M238" s="1221" t="s">
        <v>3310</v>
      </c>
      <c r="N238" s="1220"/>
      <c r="O238" s="1218" t="s">
        <v>345</v>
      </c>
      <c r="P238" s="1219"/>
      <c r="Q238" s="1220"/>
      <c r="R238" s="1222" t="s">
        <v>3312</v>
      </c>
      <c r="S238" s="122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60000</v>
      </c>
      <c r="F241" s="291">
        <f>+INDEX('Budget original'!$A$2:$AO$501,MATCH($A241,'Budget original'!$A$2:$A$501,0),MATCH(F$2,'Budget original'!$A$2:$AO$2,0))</f>
        <v>13200</v>
      </c>
      <c r="G241" s="322"/>
      <c r="H241" s="291"/>
      <c r="I241" s="291"/>
      <c r="J241" s="277">
        <f>-SUMIFS(BV_Data_An_Cour!$O:$O,BV_Data_An_Cour!$U:$U,$B241,BV_Data_An_Cour!$V:$V,$C241,BV_Data_An_Cour!$W:$W,J$2)</f>
        <v>8</v>
      </c>
      <c r="K241" s="254">
        <f>-SUMIFS(BV_Data_An_Cour!$O:$O,BV_Data_An_Cour!$X:$X,"Oui",BV_Data_An_Cour!$U:$U,$B241,BV_Data_An_Cour!$V:$V,$C241)</f>
        <v>19150.68</v>
      </c>
      <c r="L241" s="256">
        <f>-SUMIFS(BV_Data_An_Cour!$O:$O,BV_Data_An_Cour!$U:$U,$B241,BV_Data_An_Cour!$V:$V,$C241,BV_Data_An_Cour!$W:$W,$L$2)</f>
        <v>4315.59</v>
      </c>
      <c r="M241" s="292">
        <f>IFERROR((K241-E241)/E241,0)</f>
        <v>-0.68082200000000004</v>
      </c>
      <c r="N241" s="276">
        <f>L241-F241</f>
        <v>-8884.41</v>
      </c>
      <c r="O241" s="277">
        <f t="array" ref="O241">+INDEX('Réel 2024'!$A$2:$AO$501,MATCH($A241,'Réel 2024'!$A$2:$A$501,0),MATCH(O$2,'Réel 2024'!$A$2:$AO$2,0))</f>
        <v>22</v>
      </c>
      <c r="P241" s="254">
        <f t="array" ref="P241">+INDEX('Réel 2024'!$A$2:$AO$501,MATCH($A241,'Réel 2024'!$A$2:$A$501,0),MATCH(P$2,'Réel 2024'!$A$2:$AO$2,0))</f>
        <v>71665.97</v>
      </c>
      <c r="Q241" s="256">
        <f t="array" ref="Q241">+INDEX('Réel 2024'!$A$2:$AO$501,MATCH($A241,'Réel 2024'!$A$2:$A$501,0),MATCH(Q$2,'Réel 2024'!$A$2:$AO$2,0))</f>
        <v>17236.2599999999</v>
      </c>
      <c r="R241" s="292">
        <f>IF(O241=0,0,J241/O241)</f>
        <v>0.36363636363636365</v>
      </c>
      <c r="S241" s="276">
        <f>L241-Q241</f>
        <v>-12920.6699999999</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0.22534917820150513</v>
      </c>
      <c r="M242" s="292"/>
      <c r="N242" s="276">
        <f>IFERROR(N241/M241,0)</f>
        <v>13049.534239492847</v>
      </c>
      <c r="O242" s="277"/>
      <c r="P242" s="41"/>
      <c r="Q242" s="362">
        <f>IFERROR(Q241/P241,0)</f>
        <v>0.24050829145269226</v>
      </c>
      <c r="R242" s="277"/>
      <c r="S242" s="276">
        <f>IFERROR(S241/R241,0)</f>
        <v>-35531.842499999722</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60000</v>
      </c>
      <c r="F250" s="281">
        <f>F244+F247+F241</f>
        <v>13200</v>
      </c>
      <c r="G250" s="282"/>
      <c r="H250" s="279"/>
      <c r="I250" s="281"/>
      <c r="J250" s="282"/>
      <c r="K250" s="279">
        <f t="shared" ref="K250:L250" si="48">K244+K247+K241</f>
        <v>19150.68</v>
      </c>
      <c r="L250" s="281">
        <f t="shared" si="48"/>
        <v>4315.59</v>
      </c>
      <c r="M250" s="399">
        <f>L251-F251</f>
        <v>5.3491782015051281E-3</v>
      </c>
      <c r="N250" s="281">
        <f>L250-F250</f>
        <v>-8884.41</v>
      </c>
      <c r="O250" s="282"/>
      <c r="P250" s="279">
        <f t="shared" ref="P250:Q250" si="49">P244+P247+P241</f>
        <v>71665.97</v>
      </c>
      <c r="Q250" s="281">
        <f t="shared" si="49"/>
        <v>17236.2599999999</v>
      </c>
      <c r="R250" s="405">
        <f>L251-Q251</f>
        <v>-1.5159113251187128E-2</v>
      </c>
      <c r="S250" s="281">
        <f>L250-Q250</f>
        <v>-12920.6699999999</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0.22534917820150513</v>
      </c>
      <c r="M251" s="286"/>
      <c r="N251" s="287">
        <f>N250/F250</f>
        <v>-0.6730613636363636</v>
      </c>
      <c r="O251" s="283"/>
      <c r="P251" s="284"/>
      <c r="Q251" s="287">
        <f>Q250/P250</f>
        <v>0.24050829145269226</v>
      </c>
      <c r="R251" s="286"/>
      <c r="S251" s="287">
        <f>S250/Q250</f>
        <v>-0.74962143759724986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4215.95</v>
      </c>
      <c r="M255" s="253"/>
      <c r="N255" s="276">
        <f t="shared" si="50"/>
        <v>-631.8546153846155</v>
      </c>
      <c r="O255" s="253"/>
      <c r="P255" s="41"/>
      <c r="Q255" s="256">
        <f t="array" ref="Q255">+INDEX('Réel 2024'!$A$2:$AO$501,MATCH($A255,'Réel 2024'!$A$2:$A$501,0),MATCH(Q$2,'Réel 2024'!$A$2:$AO$2,0))</f>
        <v>452.67</v>
      </c>
      <c r="R255" s="253"/>
      <c r="S255" s="276">
        <f t="shared" si="51"/>
        <v>3763.2799999999997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0.13</v>
      </c>
      <c r="R256" s="241"/>
      <c r="S256" s="317">
        <f t="shared" si="51"/>
        <v>-0.05</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537.70000000000005</v>
      </c>
      <c r="M261" s="253"/>
      <c r="N261" s="276">
        <f t="shared" si="50"/>
        <v>-82.115511346153653</v>
      </c>
      <c r="O261" s="253"/>
      <c r="P261" s="41"/>
      <c r="Q261" s="256">
        <f t="array" ref="Q261">+INDEX('Réel 2024'!$A$2:$AO$501,MATCH($A261,'Réel 2024'!$A$2:$A$501,0),MATCH(Q$2,'Réel 2024'!$A$2:$AO$2,0))</f>
        <v>148.47</v>
      </c>
      <c r="R261" s="253"/>
      <c r="S261" s="276">
        <f t="shared" si="51"/>
        <v>389.23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1369.98</v>
      </c>
      <c r="M262" s="241"/>
      <c r="N262" s="317">
        <f t="shared" si="50"/>
        <v>616.37171307692313</v>
      </c>
      <c r="O262" s="241"/>
      <c r="P262" s="315"/>
      <c r="Q262" s="272">
        <f t="array" ref="Q262">+INDEX('Réel 2024'!$A$2:$AO$501,MATCH($A262,'Réel 2024'!$A$2:$A$501,0),MATCH(Q$2,'Réel 2024'!$A$2:$AO$2,0))</f>
        <v>830.33</v>
      </c>
      <c r="R262" s="241"/>
      <c r="S262" s="317">
        <f t="shared" si="51"/>
        <v>539.65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382.41999999999996</v>
      </c>
      <c r="M263" s="253"/>
      <c r="N263" s="276">
        <f t="shared" si="50"/>
        <v>-5.8520956538461064</v>
      </c>
      <c r="O263" s="253"/>
      <c r="P263" s="41"/>
      <c r="Q263" s="256">
        <f t="array" ref="Q263">+INDEX('Réel 2024'!$A$2:$AO$501,MATCH($A263,'Réel 2024'!$A$2:$A$501,0),MATCH(Q$2,'Réel 2024'!$A$2:$AO$2,0))</f>
        <v>325.86</v>
      </c>
      <c r="R263" s="253"/>
      <c r="S263" s="276">
        <f t="shared" si="51"/>
        <v>56.559999999999945</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341.14</v>
      </c>
      <c r="M264" s="253"/>
      <c r="N264" s="276">
        <f t="shared" si="50"/>
        <v>171.85118192307695</v>
      </c>
      <c r="O264" s="253"/>
      <c r="P264" s="41"/>
      <c r="Q264" s="256">
        <f t="array" ref="Q264">+INDEX('Réel 2024'!$A$2:$AO$501,MATCH($A264,'Réel 2024'!$A$2:$A$501,0),MATCH(Q$2,'Réel 2024'!$A$2:$AO$2,0))</f>
        <v>127.2</v>
      </c>
      <c r="R264" s="253"/>
      <c r="S264" s="276">
        <f t="shared" si="51"/>
        <v>213.94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0.53739735580419568</v>
      </c>
      <c r="F266" s="307">
        <f>+SUM(F254:F265)</f>
        <v>7093.6450966153834</v>
      </c>
      <c r="G266" s="308"/>
      <c r="H266" s="306"/>
      <c r="I266" s="307"/>
      <c r="J266" s="308" t="s">
        <v>119</v>
      </c>
      <c r="K266" s="306">
        <f>IF(L250=0,0,L266/L$250)</f>
        <v>1.7956177486739937</v>
      </c>
      <c r="L266" s="307">
        <f>+SUM(L254:L265)</f>
        <v>7749.1500000000005</v>
      </c>
      <c r="M266" s="355"/>
      <c r="N266" s="320">
        <f t="shared" si="50"/>
        <v>655.50490338461714</v>
      </c>
      <c r="O266" s="308" t="s">
        <v>119</v>
      </c>
      <c r="P266" s="306">
        <f>IF(Q244=0,0,Q266/Q$244)</f>
        <v>0</v>
      </c>
      <c r="Q266" s="307">
        <f>+SUM(Q254:Q265)</f>
        <v>2786.54</v>
      </c>
      <c r="R266" s="355"/>
      <c r="S266" s="320">
        <f t="shared" si="51"/>
        <v>4962.6100000000006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28</v>
      </c>
      <c r="M267" s="253"/>
      <c r="N267" s="276">
        <f t="shared" si="50"/>
        <v>-20.333333333333336</v>
      </c>
      <c r="O267" s="253"/>
      <c r="P267" s="41"/>
      <c r="Q267" s="276">
        <f t="array" ref="Q267">+INDEX('Réel 2024'!$A$2:$AO$501,MATCH($A267,'Réel 2024'!$A$2:$A$501,0),MATCH(Q$2,'Réel 2024'!$A$2:$AO$2,0))</f>
        <v>57.6</v>
      </c>
      <c r="R267" s="253"/>
      <c r="S267" s="276">
        <f t="shared" si="51"/>
        <v>-29.6</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609.52</v>
      </c>
      <c r="M268" s="253"/>
      <c r="N268" s="276">
        <f t="shared" si="50"/>
        <v>47.842018719428893</v>
      </c>
      <c r="O268" s="253"/>
      <c r="P268" s="41"/>
      <c r="Q268" s="276">
        <f t="array" ref="Q268">+INDEX('Réel 2024'!$A$2:$AO$501,MATCH($A268,'Réel 2024'!$A$2:$A$501,0),MATCH(Q$2,'Réel 2024'!$A$2:$AO$2,0))</f>
        <v>966.44</v>
      </c>
      <c r="R268" s="253"/>
      <c r="S268" s="276">
        <f t="shared" si="51"/>
        <v>-356.92000000000007</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1441.37</v>
      </c>
      <c r="M270" s="253"/>
      <c r="N270" s="276">
        <f t="shared" si="50"/>
        <v>-9.0568862377776895</v>
      </c>
      <c r="O270" s="253"/>
      <c r="P270" s="41"/>
      <c r="Q270" s="276">
        <f t="array" ref="Q270">+INDEX('Réel 2024'!$A$2:$AO$501,MATCH($A270,'Réel 2024'!$A$2:$A$501,0),MATCH(Q$2,'Réel 2024'!$A$2:$AO$2,0))</f>
        <v>1612.47</v>
      </c>
      <c r="R270" s="253"/>
      <c r="S270" s="276">
        <f t="shared" si="51"/>
        <v>-171.10000000000014</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285.75</v>
      </c>
      <c r="M271" s="253"/>
      <c r="N271" s="276">
        <f t="shared" si="50"/>
        <v>71.711761621417992</v>
      </c>
      <c r="O271" s="253"/>
      <c r="P271" s="41"/>
      <c r="Q271" s="276">
        <f t="array" ref="Q271">+INDEX('Réel 2024'!$A$2:$AO$501,MATCH($A271,'Réel 2024'!$A$2:$A$501,0),MATCH(Q$2,'Réel 2024'!$A$2:$AO$2,0))</f>
        <v>509.97</v>
      </c>
      <c r="R271" s="253"/>
      <c r="S271" s="276">
        <f t="shared" si="51"/>
        <v>-224.22000000000003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726.05</v>
      </c>
      <c r="M272" s="246"/>
      <c r="N272" s="296">
        <f t="shared" si="50"/>
        <v>38.903255647519245</v>
      </c>
      <c r="O272" s="246"/>
      <c r="P272" s="318"/>
      <c r="Q272" s="296">
        <f t="array" ref="Q272">+INDEX('Réel 2024'!$A$2:$AO$501,MATCH($A272,'Réel 2024'!$A$2:$A$501,0),MATCH(Q$2,'Réel 2024'!$A$2:$AO$2,0))</f>
        <v>617.34</v>
      </c>
      <c r="R272" s="246"/>
      <c r="S272" s="296">
        <f t="shared" si="51"/>
        <v>108.70999999999992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7.93</v>
      </c>
      <c r="R274" s="253"/>
      <c r="S274" s="276">
        <f t="shared" si="51"/>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12.72</v>
      </c>
      <c r="M276" s="253"/>
      <c r="N276" s="276">
        <f t="shared" si="50"/>
        <v>-133.51689705261995</v>
      </c>
      <c r="O276" s="253"/>
      <c r="P276" s="41"/>
      <c r="Q276" s="276">
        <f t="array" ref="Q276">+INDEX('Réel 2024'!$A$2:$AO$501,MATCH($A276,'Réel 2024'!$A$2:$A$501,0),MATCH(Q$2,'Réel 2024'!$A$2:$AO$2,0))</f>
        <v>83.36</v>
      </c>
      <c r="R276" s="253"/>
      <c r="S276" s="276">
        <f t="shared" si="51"/>
        <v>-70.64</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26.51</v>
      </c>
      <c r="M277" s="253"/>
      <c r="N277" s="276">
        <f t="shared" si="50"/>
        <v>-5.8589753258086112</v>
      </c>
      <c r="O277" s="253"/>
      <c r="P277" s="41"/>
      <c r="Q277" s="276">
        <f t="array" ref="Q277">+INDEX('Réel 2024'!$A$2:$AO$501,MATCH($A277,'Réel 2024'!$A$2:$A$501,0),MATCH(Q$2,'Réel 2024'!$A$2:$AO$2,0))</f>
        <v>23.66</v>
      </c>
      <c r="R277" s="253"/>
      <c r="S277" s="276">
        <f t="shared" si="51"/>
        <v>2.8500000000000014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28.72</v>
      </c>
      <c r="M278" s="253"/>
      <c r="N278" s="276">
        <f t="shared" si="50"/>
        <v>6.2279011694086073</v>
      </c>
      <c r="O278" s="253"/>
      <c r="P278" s="41"/>
      <c r="Q278" s="276">
        <f t="array" ref="Q278">+INDEX('Réel 2024'!$A$2:$AO$501,MATCH($A278,'Réel 2024'!$A$2:$A$501,0),MATCH(Q$2,'Réel 2024'!$A$2:$AO$2,0))</f>
        <v>2.31</v>
      </c>
      <c r="R278" s="253"/>
      <c r="S278" s="276">
        <f t="shared" si="51"/>
        <v>26.41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26.49</v>
      </c>
      <c r="M279" s="253"/>
      <c r="N279" s="276">
        <f t="shared" si="50"/>
        <v>-76.415067505486391</v>
      </c>
      <c r="O279" s="253"/>
      <c r="P279" s="41"/>
      <c r="Q279" s="276">
        <f t="array" ref="Q279">+INDEX('Réel 2024'!$A$2:$AO$501,MATCH($A279,'Réel 2024'!$A$2:$A$501,0),MATCH(Q$2,'Réel 2024'!$A$2:$AO$2,0))</f>
        <v>44.2</v>
      </c>
      <c r="R279" s="253"/>
      <c r="S279" s="276">
        <f t="shared" si="51"/>
        <v>-17.710000000000004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22.33</v>
      </c>
      <c r="M280" s="253"/>
      <c r="N280" s="276">
        <f t="shared" si="50"/>
        <v>-153.16870178698258</v>
      </c>
      <c r="O280" s="253"/>
      <c r="P280" s="41"/>
      <c r="Q280" s="276">
        <f t="array" ref="Q280">+INDEX('Réel 2024'!$A$2:$AO$501,MATCH($A280,'Réel 2024'!$A$2:$A$501,0),MATCH(Q$2,'Réel 2024'!$A$2:$AO$2,0))</f>
        <v>22.33</v>
      </c>
      <c r="R280" s="253"/>
      <c r="S280" s="276">
        <f t="shared" si="51"/>
        <v>0</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213.50771769284086</v>
      </c>
      <c r="G281" s="298"/>
      <c r="H281" s="41"/>
      <c r="I281" s="254"/>
      <c r="J281" s="253"/>
      <c r="K281" s="41"/>
      <c r="L281" s="256">
        <f>SUMIFS(BV_Data_An_Cour!$O:$O,BV_Data_An_Cour!$U:$U,$B281,BV_Data_An_Cour!$V:$V,$C281,BV_Data_An_Cour!$W:$W,$L$2)</f>
        <v>256.04000000000002</v>
      </c>
      <c r="M281" s="253"/>
      <c r="N281" s="276">
        <f t="shared" si="50"/>
        <v>42.532282307159164</v>
      </c>
      <c r="O281" s="253"/>
      <c r="P281" s="41"/>
      <c r="Q281" s="276">
        <f t="array" ref="Q281">+INDEX('Réel 2024'!$A$2:$AO$501,MATCH($A281,'Réel 2024'!$A$2:$A$501,0),MATCH(Q$2,'Réel 2024'!$A$2:$AO$2,0))</f>
        <v>237.63</v>
      </c>
      <c r="R281" s="253"/>
      <c r="S281" s="276">
        <f t="shared" si="51"/>
        <v>18.410000000000025</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3853.4211084437411</v>
      </c>
      <c r="G285" s="308"/>
      <c r="H285" s="306"/>
      <c r="I285" s="307"/>
      <c r="J285" s="308" t="s">
        <v>119</v>
      </c>
      <c r="K285" s="306">
        <f>L285/L$250</f>
        <v>0.83911353951603362</v>
      </c>
      <c r="L285" s="307">
        <f>+SUM(L267:L284)</f>
        <v>3621.2699999999995</v>
      </c>
      <c r="M285" s="311"/>
      <c r="N285" s="307">
        <f>+SUM(N267:N284)</f>
        <v>-232.15110844374135</v>
      </c>
      <c r="O285" s="308" t="s">
        <v>119</v>
      </c>
      <c r="P285" s="306">
        <f>IF(Q$244=0,0,Q285/Q$244)</f>
        <v>0</v>
      </c>
      <c r="Q285" s="307">
        <f>+SUM(Q267:Q284)</f>
        <v>4343.01</v>
      </c>
      <c r="R285" s="311"/>
      <c r="S285" s="307">
        <f t="shared" si="51"/>
        <v>-721.74000000000069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10947.066205059124</v>
      </c>
      <c r="G287" s="308"/>
      <c r="H287" s="306"/>
      <c r="I287" s="307"/>
      <c r="J287" s="308" t="s">
        <v>119</v>
      </c>
      <c r="K287" s="306">
        <f>L287/L$250</f>
        <v>2.6347312881900273</v>
      </c>
      <c r="L287" s="307">
        <f>L266+L285</f>
        <v>11370.42</v>
      </c>
      <c r="M287" s="311"/>
      <c r="N287" s="320">
        <f>L287-F287</f>
        <v>423.35379494087647</v>
      </c>
      <c r="O287" s="308" t="s">
        <v>119</v>
      </c>
      <c r="P287" s="306">
        <f>IF(Q$244=0,0,Q287/Q$244)</f>
        <v>0</v>
      </c>
      <c r="Q287" s="307">
        <f>Q266+Q285</f>
        <v>7129.55</v>
      </c>
      <c r="R287" s="311"/>
      <c r="S287" s="320">
        <f>L287-Q287</f>
        <v>4240.87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2252.9337949408764</v>
      </c>
      <c r="G289" s="361"/>
      <c r="H289" s="333"/>
      <c r="I289" s="335"/>
      <c r="J289" s="332"/>
      <c r="K289" s="334"/>
      <c r="L289" s="335">
        <f>L250-L287</f>
        <v>-7054.83</v>
      </c>
      <c r="M289" s="332"/>
      <c r="N289" s="335">
        <f>L289-F289</f>
        <v>-9307.7637949408763</v>
      </c>
      <c r="O289" s="332"/>
      <c r="P289" s="1147">
        <f>+Q289/P250</f>
        <v>0.14102523136154999</v>
      </c>
      <c r="Q289" s="335">
        <f>Q250-Q287</f>
        <v>10106.709999999901</v>
      </c>
      <c r="R289" s="332"/>
      <c r="S289" s="335">
        <f>L289-Q289</f>
        <v>-17161.539999999899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1"/>
      <c r="H293" s="1219"/>
      <c r="I293" s="1220"/>
      <c r="J293" s="1221" t="s">
        <v>344</v>
      </c>
      <c r="K293" s="1219"/>
      <c r="L293" s="1220"/>
      <c r="M293" s="1221" t="s">
        <v>3310</v>
      </c>
      <c r="N293" s="1220"/>
      <c r="O293" s="1218" t="s">
        <v>345</v>
      </c>
      <c r="P293" s="1219"/>
      <c r="Q293" s="1220"/>
      <c r="R293" s="1222" t="s">
        <v>3312</v>
      </c>
      <c r="S293" s="122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126282.943208</v>
      </c>
      <c r="E295" s="353">
        <f>IF(D295=0,0,F295/D295)</f>
        <v>0.35699999999999998</v>
      </c>
      <c r="F295" s="276">
        <f>+INDEX('Budget original'!$A$2:$AO$501,MATCH($A295,'Budget original'!$A$2:$A$501,0),MATCH(F$2,'Budget original'!$A$2:$AO$2,0))</f>
        <v>45083.010725255997</v>
      </c>
      <c r="G295" s="291"/>
      <c r="H295" s="353"/>
      <c r="I295" s="276"/>
      <c r="J295" s="254">
        <f>-SUMIFS(BV_Data_An_Cour!$O:$O,BV_Data_An_Cour!$X:$X,"Oui",BV_Data_An_Cour!$U:$U,$B295,BV_Data_An_Cour!$V:$V,$C295)</f>
        <v>79614.17</v>
      </c>
      <c r="K295" s="353">
        <f t="shared" ref="K295:K304" si="52">IF(J295&lt;=0,0,L295/J295)</f>
        <v>0.33377638679144678</v>
      </c>
      <c r="L295" s="276">
        <f>-SUMIFS(BV_Data_An_Cour!$O:$O,BV_Data_An_Cour!$U:$U,$B295,BV_Data_An_Cour!$V:$V,$C295,BV_Data_An_Cour!$W:$W,$L$2)</f>
        <v>26573.329999999998</v>
      </c>
      <c r="M295" s="292">
        <f t="shared" ref="M295:M301" si="53">(+J295-D295)/D295</f>
        <v>-0.36955721827873539</v>
      </c>
      <c r="N295" s="276">
        <f t="shared" ref="N295:N304" si="54">L295-F295</f>
        <v>-18509.680725255999</v>
      </c>
      <c r="O295" s="254">
        <f t="array" ref="O295">+INDEX('Réel 2024'!$A$2:$AO$501,MATCH($A295,'Réel 2024'!$A$2:$A$501,0),MATCH(O$2,'Réel 2024'!$A$2:$AO$2,0))</f>
        <v>94158.54</v>
      </c>
      <c r="P295" s="353">
        <f t="shared" ref="P295:P303" si="55">IF(O295=0,0,Q295/O295)</f>
        <v>0.39031595009863046</v>
      </c>
      <c r="Q295" s="276">
        <f t="array" ref="Q295">+INDEX('Réel 2024'!$A$2:$AO$501,MATCH($A295,'Réel 2024'!$A$2:$A$501,0),MATCH(Q$2,'Réel 2024'!$A$2:$AO$2,0))</f>
        <v>36751.5799999999</v>
      </c>
      <c r="R295" s="292">
        <f t="shared" ref="R295:R304" si="56">IF(O295=0,0,(J295-O295)/O295)</f>
        <v>-0.15446681734869716</v>
      </c>
      <c r="S295" s="276">
        <f t="shared" ref="S295:S304" si="57">L295-Q295</f>
        <v>-10178.249999999902</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36000</v>
      </c>
      <c r="E296" s="353">
        <f t="shared" ref="E296:E303" si="58">IF(D296=0,0,F296/D296)</f>
        <v>0.248</v>
      </c>
      <c r="F296" s="276">
        <f>+INDEX('Budget original'!$A$2:$AO$501,MATCH($A296,'Budget original'!$A$2:$A$501,0),MATCH(F$2,'Budget original'!$A$2:$AO$2,0))</f>
        <v>8928</v>
      </c>
      <c r="G296" s="291"/>
      <c r="H296" s="353"/>
      <c r="I296" s="276"/>
      <c r="J296" s="254">
        <f>-SUMIFS(BV_Data_An_Cour!$O:$O,BV_Data_An_Cour!$X:$X,"Oui",BV_Data_An_Cour!$U:$U,$B296,BV_Data_An_Cour!$V:$V,$C296)</f>
        <v>5388.62</v>
      </c>
      <c r="K296" s="353">
        <f t="shared" si="52"/>
        <v>0.25085829024870926</v>
      </c>
      <c r="L296" s="276">
        <f>-SUMIFS(BV_Data_An_Cour!$O:$O,BV_Data_An_Cour!$U:$U,$B296,BV_Data_An_Cour!$V:$V,$C296,BV_Data_An_Cour!$W:$W,$L$2)</f>
        <v>1351.7799999999997</v>
      </c>
      <c r="M296" s="292">
        <f t="shared" si="53"/>
        <v>-0.85031611111111116</v>
      </c>
      <c r="N296" s="276">
        <f t="shared" si="54"/>
        <v>-7576.22</v>
      </c>
      <c r="O296" s="254">
        <f t="array" ref="O296">+INDEX('Réel 2024'!$A$2:$AO$501,MATCH($A296,'Réel 2024'!$A$2:$A$501,0),MATCH(O$2,'Réel 2024'!$A$2:$AO$2,0))</f>
        <v>39357.14</v>
      </c>
      <c r="P296" s="353">
        <f t="shared" si="55"/>
        <v>0.23324890985473004</v>
      </c>
      <c r="Q296" s="276">
        <f t="array" ref="Q296">+INDEX('Réel 2024'!$A$2:$AO$501,MATCH($A296,'Réel 2024'!$A$2:$A$501,0),MATCH(Q$2,'Réel 2024'!$A$2:$AO$2,0))</f>
        <v>9180.0099999999893</v>
      </c>
      <c r="R296" s="292">
        <f t="shared" si="56"/>
        <v>-0.86308405539630162</v>
      </c>
      <c r="S296" s="276">
        <f t="shared" si="57"/>
        <v>-7828.2299999999896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33493.949999999997</v>
      </c>
      <c r="E297" s="353">
        <f t="shared" si="58"/>
        <v>0.23699999999999999</v>
      </c>
      <c r="F297" s="276">
        <f>+INDEX('Budget original'!$A$2:$AO$501,MATCH($A297,'Budget original'!$A$2:$A$501,0),MATCH(F$2,'Budget original'!$A$2:$AO$2,0))</f>
        <v>7938.0661499999987</v>
      </c>
      <c r="G297" s="291"/>
      <c r="H297" s="353"/>
      <c r="I297" s="276"/>
      <c r="J297" s="254">
        <f>-SUMIFS(BV_Data_An_Cour!$O:$O,BV_Data_An_Cour!$X:$X,"Oui",BV_Data_An_Cour!$U:$U,$B297,BV_Data_An_Cour!$V:$V,$C297)</f>
        <v>49369.33</v>
      </c>
      <c r="K297" s="353">
        <f t="shared" si="52"/>
        <v>0.24429944664025219</v>
      </c>
      <c r="L297" s="276">
        <f>-SUMIFS(BV_Data_An_Cour!$O:$O,BV_Data_An_Cour!$U:$U,$B297,BV_Data_An_Cour!$V:$V,$C297,BV_Data_An_Cour!$W:$W,$L$2)</f>
        <v>12060.900000000001</v>
      </c>
      <c r="M297" s="292">
        <f t="shared" si="53"/>
        <v>0.47397753922723374</v>
      </c>
      <c r="N297" s="276">
        <f t="shared" si="54"/>
        <v>4122.8338500000027</v>
      </c>
      <c r="O297" s="254">
        <f t="array" ref="O297">+INDEX('Réel 2024'!$A$2:$AO$501,MATCH($A297,'Réel 2024'!$A$2:$A$501,0),MATCH(O$2,'Réel 2024'!$A$2:$AO$2,0))</f>
        <v>30357.78</v>
      </c>
      <c r="P297" s="353">
        <f t="shared" si="55"/>
        <v>0.24208786017949929</v>
      </c>
      <c r="Q297" s="276">
        <f t="array" ref="Q297">+INDEX('Réel 2024'!$A$2:$AO$501,MATCH($A297,'Réel 2024'!$A$2:$A$501,0),MATCH(Q$2,'Réel 2024'!$A$2:$AO$2,0))</f>
        <v>7349.25</v>
      </c>
      <c r="R297" s="292">
        <f t="shared" si="56"/>
        <v>0.62624967965378242</v>
      </c>
      <c r="S297" s="276">
        <f t="shared" si="57"/>
        <v>4711.6500000000015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54457.672499999993</v>
      </c>
      <c r="E298" s="353">
        <f t="shared" si="58"/>
        <v>0.29399999999999998</v>
      </c>
      <c r="F298" s="276">
        <f>+INDEX('Budget original'!$A$2:$AO$501,MATCH($A298,'Budget original'!$A$2:$A$501,0),MATCH(F$2,'Budget original'!$A$2:$AO$2,0))</f>
        <v>16010.555714999997</v>
      </c>
      <c r="G298" s="291"/>
      <c r="H298" s="353"/>
      <c r="I298" s="276"/>
      <c r="J298" s="254">
        <f>-SUMIFS(BV_Data_An_Cour!$O:$O,BV_Data_An_Cour!$X:$X,"Oui",BV_Data_An_Cour!$U:$U,$B298,BV_Data_An_Cour!$V:$V,$C298)</f>
        <v>51699.32</v>
      </c>
      <c r="K298" s="353">
        <f t="shared" si="52"/>
        <v>0.32751823428238519</v>
      </c>
      <c r="L298" s="276">
        <f>-SUMIFS(BV_Data_An_Cour!$O:$O,BV_Data_An_Cour!$U:$U,$B298,BV_Data_An_Cour!$V:$V,$C298,BV_Data_An_Cour!$W:$W,$L$2)</f>
        <v>16932.47</v>
      </c>
      <c r="M298" s="292">
        <f t="shared" si="53"/>
        <v>-5.065131088736842E-2</v>
      </c>
      <c r="N298" s="276">
        <f t="shared" si="54"/>
        <v>921.91428500000438</v>
      </c>
      <c r="O298" s="254">
        <f t="array" ref="O298">+INDEX('Réel 2024'!$A$2:$AO$501,MATCH($A298,'Réel 2024'!$A$2:$A$501,0),MATCH(O$2,'Réel 2024'!$A$2:$AO$2,0))</f>
        <v>42372.56</v>
      </c>
      <c r="P298" s="353">
        <f t="shared" si="55"/>
        <v>0.28409588658320151</v>
      </c>
      <c r="Q298" s="276">
        <f t="array" ref="Q298">+INDEX('Réel 2024'!$A$2:$AO$501,MATCH($A298,'Réel 2024'!$A$2:$A$501,0),MATCH(Q$2,'Réel 2024'!$A$2:$AO$2,0))</f>
        <v>12037.869999999901</v>
      </c>
      <c r="R298" s="292">
        <f t="shared" si="56"/>
        <v>0.22011320533854936</v>
      </c>
      <c r="S298" s="276">
        <f t="shared" si="57"/>
        <v>4894.6000000001004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23233.344000000001</v>
      </c>
      <c r="E299" s="353">
        <f t="shared" si="58"/>
        <v>0.27700000000000002</v>
      </c>
      <c r="F299" s="276">
        <f>+INDEX('Budget original'!$A$2:$AO$501,MATCH($A299,'Budget original'!$A$2:$A$501,0),MATCH(F$2,'Budget original'!$A$2:$AO$2,0))</f>
        <v>6435.6362880000006</v>
      </c>
      <c r="G299" s="291"/>
      <c r="H299" s="353"/>
      <c r="I299" s="276"/>
      <c r="J299" s="254">
        <f>-SUMIFS(BV_Data_An_Cour!$O:$O,BV_Data_An_Cour!$X:$X,"Oui",BV_Data_An_Cour!$U:$U,$B299,BV_Data_An_Cour!$V:$V,$C299)</f>
        <v>18999.689999999999</v>
      </c>
      <c r="K299" s="353">
        <f t="shared" si="52"/>
        <v>0.26101741659995498</v>
      </c>
      <c r="L299" s="276">
        <f>-SUMIFS(BV_Data_An_Cour!$O:$O,BV_Data_An_Cour!$U:$U,$B299,BV_Data_An_Cour!$V:$V,$C299,BV_Data_An_Cour!$W:$W,$L$2)</f>
        <v>4959.2499999999982</v>
      </c>
      <c r="M299" s="292">
        <f t="shared" si="53"/>
        <v>-0.18222318750154959</v>
      </c>
      <c r="N299" s="276">
        <f t="shared" si="54"/>
        <v>-1476.3862880000024</v>
      </c>
      <c r="O299" s="254">
        <f t="array" ref="O299">+INDEX('Réel 2024'!$A$2:$AO$501,MATCH($A299,'Réel 2024'!$A$2:$A$501,0),MATCH(O$2,'Réel 2024'!$A$2:$AO$2,0))</f>
        <v>21891.26</v>
      </c>
      <c r="P299" s="353">
        <f t="shared" si="55"/>
        <v>0.31894829260627261</v>
      </c>
      <c r="Q299" s="276">
        <f t="array" ref="Q299">+INDEX('Réel 2024'!$A$2:$AO$501,MATCH($A299,'Réel 2024'!$A$2:$A$501,0),MATCH(Q$2,'Réel 2024'!$A$2:$AO$2,0))</f>
        <v>6982.1799999999903</v>
      </c>
      <c r="R299" s="292">
        <f t="shared" si="56"/>
        <v>-0.13208787433889141</v>
      </c>
      <c r="S299" s="276">
        <f t="shared" si="57"/>
        <v>-2022.9299999999921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181814.997</v>
      </c>
      <c r="E300" s="353">
        <f t="shared" si="58"/>
        <v>0.13500000000000001</v>
      </c>
      <c r="F300" s="276">
        <f>+INDEX('Budget original'!$A$2:$AO$501,MATCH($A300,'Budget original'!$A$2:$A$501,0),MATCH(F$2,'Budget original'!$A$2:$AO$2,0))</f>
        <v>24545.024595000003</v>
      </c>
      <c r="G300" s="291"/>
      <c r="H300" s="353"/>
      <c r="I300" s="276"/>
      <c r="J300" s="254">
        <f>-SUMIFS(BV_Data_An_Cour!$O:$O,BV_Data_An_Cour!$X:$X,"Oui",BV_Data_An_Cour!$U:$U,$B300,BV_Data_An_Cour!$V:$V,$C300)</f>
        <v>185450.93</v>
      </c>
      <c r="K300" s="353">
        <f t="shared" si="52"/>
        <v>0.13779882365647877</v>
      </c>
      <c r="L300" s="276">
        <f>-SUMIFS(BV_Data_An_Cour!$O:$O,BV_Data_An_Cour!$U:$U,$B300,BV_Data_An_Cour!$V:$V,$C300,BV_Data_An_Cour!$W:$W,$L$2)</f>
        <v>25554.919999999987</v>
      </c>
      <c r="M300" s="292">
        <f t="shared" si="53"/>
        <v>1.999798179464805E-2</v>
      </c>
      <c r="N300" s="276">
        <f t="shared" si="54"/>
        <v>1009.8954049999847</v>
      </c>
      <c r="O300" s="254">
        <f t="array" ref="O300">+INDEX('Réel 2024'!$A$2:$AO$501,MATCH($A300,'Réel 2024'!$A$2:$A$501,0),MATCH(O$2,'Réel 2024'!$A$2:$AO$2,0))</f>
        <v>169839.65</v>
      </c>
      <c r="P300" s="353">
        <f t="shared" si="55"/>
        <v>0.13764453706775717</v>
      </c>
      <c r="Q300" s="276">
        <f t="array" ref="Q300">+INDEX('Réel 2024'!$A$2:$AO$501,MATCH($A300,'Réel 2024'!$A$2:$A$501,0),MATCH(Q$2,'Réel 2024'!$A$2:$AO$2,0))</f>
        <v>23377.499999999902</v>
      </c>
      <c r="R300" s="292">
        <f t="shared" si="56"/>
        <v>9.191775889787808E-2</v>
      </c>
      <c r="S300" s="276">
        <f t="shared" si="57"/>
        <v>2177.4200000000856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11672.617495226517</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8078.4499999999989</v>
      </c>
      <c r="M302" s="292"/>
      <c r="N302" s="276">
        <f t="shared" si="54"/>
        <v>-3594.1674952265184</v>
      </c>
      <c r="O302" s="254">
        <f t="array" ref="O302">+INDEX('Réel 2024'!$A$2:$AO$501,MATCH($A302,'Réel 2024'!$A$2:$A$501,0),MATCH(O$2,'Réel 2024'!$A$2:$AO$2,0))</f>
        <v>0</v>
      </c>
      <c r="P302" s="353">
        <f t="shared" si="55"/>
        <v>0</v>
      </c>
      <c r="Q302" s="276">
        <f t="array" ref="Q302">+INDEX('Réel 2024'!$A$2:$AO$501,MATCH($A302,'Réel 2024'!$A$2:$A$501,0),MATCH(Q$2,'Réel 2024'!$A$2:$AO$2,0))</f>
        <v>17862.830000000002</v>
      </c>
      <c r="R302" s="292">
        <f t="shared" si="56"/>
        <v>0</v>
      </c>
      <c r="S302" s="276">
        <f t="shared" si="57"/>
        <v>-9784.3800000000028</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455282.90670799999</v>
      </c>
      <c r="E304" s="407">
        <f>IF(D304&lt;=0,0,F304/D304)</f>
        <v>0.26491860158026698</v>
      </c>
      <c r="F304" s="392">
        <f>SUM(F295:F303)</f>
        <v>120612.91096848251</v>
      </c>
      <c r="G304" s="390"/>
      <c r="H304" s="407"/>
      <c r="I304" s="392"/>
      <c r="J304" s="390">
        <f t="shared" ref="J304" si="59">SUM(J295:J303)</f>
        <v>390522.06</v>
      </c>
      <c r="K304" s="407">
        <f t="shared" si="52"/>
        <v>0.24457286740728545</v>
      </c>
      <c r="L304" s="392">
        <f>SUM(L295:L303)</f>
        <v>95511.099999999977</v>
      </c>
      <c r="M304" s="408">
        <f>(+J304-D304)/D304</f>
        <v>-0.14224308831680996</v>
      </c>
      <c r="N304" s="392">
        <f t="shared" si="54"/>
        <v>-25101.810968482532</v>
      </c>
      <c r="O304" s="390">
        <f>SUM(O295:O303)</f>
        <v>397976.93</v>
      </c>
      <c r="P304" s="407">
        <f>IF(O304&lt;=0,0,Q304/O304)</f>
        <v>0.28529598436773629</v>
      </c>
      <c r="Q304" s="392">
        <f t="shared" ref="Q304" si="60">SUM(Q295:Q303)</f>
        <v>113541.21999999968</v>
      </c>
      <c r="R304" s="408">
        <f t="shared" si="56"/>
        <v>-1.8731914937883447E-2</v>
      </c>
      <c r="S304" s="392">
        <f t="shared" si="57"/>
        <v>-18030.119999999704</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-0.20811877241767188</v>
      </c>
      <c r="O305" s="253"/>
      <c r="P305" s="41"/>
      <c r="Q305" s="263"/>
      <c r="R305" s="253"/>
      <c r="S305" s="265">
        <f>IF(Q304=0,0,S304/Q304)</f>
        <v>-0.15879801185859863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28768.550000000003</v>
      </c>
      <c r="E307" s="353">
        <f>IF(D307=0,0,F307/D307)</f>
        <v>0.17100000000000001</v>
      </c>
      <c r="F307" s="317">
        <f>+INDEX('Budget original'!$A$2:$AO$501,MATCH($A307,'Budget original'!$A$2:$A$501,0),MATCH(F$2,'Budget original'!$A$2:$AO$2,0))</f>
        <v>4919.422050000001</v>
      </c>
      <c r="G307" s="291"/>
      <c r="H307" s="353"/>
      <c r="I307" s="317"/>
      <c r="J307" s="1261">
        <f>-SUMIFS(BV_Data_An_Cour!$O:$O,BV_Data_An_Cour!$X:$X,"Oui",BV_Data_An_Cour!$U:$U,$B307,BV_Data_An_Cour!$V:$V,$C307)</f>
        <v>42082.240000000005</v>
      </c>
      <c r="K307" s="353">
        <f t="shared" ref="K307:K309" si="61">IF(J307&lt;=0,0,L307/J307)</f>
        <v>0.16357636855832786</v>
      </c>
      <c r="L307" s="317">
        <f>-SUMIFS(BV_Data_An_Cour!$O:$O,BV_Data_An_Cour!$U:$U,$B307,BV_Data_An_Cour!$V:$V,$C307,BV_Data_An_Cour!$W:$W,$L$2)</f>
        <v>6883.6600000000071</v>
      </c>
      <c r="M307" s="292">
        <f>(+J307-D307)/D307</f>
        <v>0.46278627181418602</v>
      </c>
      <c r="N307" s="276">
        <f>L307-F307</f>
        <v>1964.2379500000061</v>
      </c>
      <c r="O307" s="254">
        <f t="array" ref="O307">+INDEX('Réel 2024'!$A$2:$AO$501,MATCH($A307,'Réel 2024'!$A$2:$A$501,0),MATCH(O$2,'Réel 2024'!$A$2:$AO$2,0))</f>
        <v>33810.449999999997</v>
      </c>
      <c r="P307" s="353">
        <f t="shared" ref="P307:P308" si="62">IF(O307=0,0,Q307/O307)</f>
        <v>0.15712154082539573</v>
      </c>
      <c r="Q307" s="317">
        <f t="array" ref="Q307">+INDEX('Réel 2024'!$A$2:$AO$501,MATCH($A307,'Réel 2024'!$A$2:$A$501,0),MATCH(Q$2,'Réel 2024'!$A$2:$AO$2,0))</f>
        <v>5312.35</v>
      </c>
      <c r="R307" s="292">
        <f t="shared" ref="R307:R309" si="63">IF(O307=0,0,(J307-O307)/O307)</f>
        <v>0.24465187538172395</v>
      </c>
      <c r="S307" s="276">
        <f t="shared" ref="S307:S309" si="64">L307-Q307</f>
        <v>1571.3100000000068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15664.764983377116</v>
      </c>
      <c r="E308" s="353">
        <f>IF(D308=0,0,F308/D308)</f>
        <v>0.25600000000000001</v>
      </c>
      <c r="F308" s="296">
        <f>+INDEX('Budget original'!$A$2:$AO$501,MATCH($A308,'Budget original'!$A$2:$A$501,0),MATCH(F$2,'Budget original'!$A$2:$AO$2,0))</f>
        <v>4010.1798357445418</v>
      </c>
      <c r="G308" s="291"/>
      <c r="H308" s="353"/>
      <c r="I308" s="296"/>
      <c r="J308" s="254">
        <f>-SUMIFS(BV_Data_An_Cour!$O:$O,BV_Data_An_Cour!$X:$X,"Oui",BV_Data_An_Cour!$U:$U,$B308,BV_Data_An_Cour!$V:$V,$C308)</f>
        <v>27375.41</v>
      </c>
      <c r="K308" s="353">
        <f t="shared" si="61"/>
        <v>0.26588460227627642</v>
      </c>
      <c r="L308" s="296">
        <f>-SUMIFS(BV_Data_An_Cour!$O:$O,BV_Data_An_Cour!$U:$U,$B308,BV_Data_An_Cour!$V:$V,$C308,BV_Data_An_Cour!$W:$W,$L$2)</f>
        <v>7278.7000000000007</v>
      </c>
      <c r="M308" s="292">
        <f>(+J308-D308)/D308</f>
        <v>0.74757872390998514</v>
      </c>
      <c r="N308" s="276">
        <f>L308-F308</f>
        <v>3268.5201642554589</v>
      </c>
      <c r="O308" s="254">
        <f t="array" ref="O308">+INDEX('Réel 2024'!$A$2:$AO$501,MATCH($A308,'Réel 2024'!$A$2:$A$501,0),MATCH(O$2,'Réel 2024'!$A$2:$AO$2,0))</f>
        <v>27235.040000000001</v>
      </c>
      <c r="P308" s="353">
        <f t="shared" si="62"/>
        <v>0.26812554708933783</v>
      </c>
      <c r="Q308" s="296">
        <f t="array" ref="Q308">+INDEX('Réel 2024'!$A$2:$AO$501,MATCH($A308,'Réel 2024'!$A$2:$A$501,0),MATCH(Q$2,'Réel 2024'!$A$2:$AO$2,0))</f>
        <v>7302.41</v>
      </c>
      <c r="R308" s="292">
        <f t="shared" si="63"/>
        <v>5.1540221714379336E-3</v>
      </c>
      <c r="S308" s="276">
        <f t="shared" si="64"/>
        <v>-23.709999999999127</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499716.22169137711</v>
      </c>
      <c r="E309" s="407">
        <f>IF(D309&lt;=0,0,F309/D309)</f>
        <v>0.25923215463321908</v>
      </c>
      <c r="F309" s="392">
        <f>F304+F307+F308</f>
        <v>129542.51285422705</v>
      </c>
      <c r="G309" s="393"/>
      <c r="H309" s="407"/>
      <c r="I309" s="392"/>
      <c r="J309" s="393">
        <f t="shared" ref="J309" si="65">J304+J307+J308</f>
        <v>459979.70999999996</v>
      </c>
      <c r="K309" s="407">
        <f t="shared" si="61"/>
        <v>0.23843108210142572</v>
      </c>
      <c r="L309" s="392">
        <f>L304+L307+L308</f>
        <v>109673.45999999998</v>
      </c>
      <c r="M309" s="408">
        <f>(+J309-D309)/D309</f>
        <v>-7.9518154437496477E-2</v>
      </c>
      <c r="N309" s="392">
        <f>L309-F309</f>
        <v>-19869.052854227077</v>
      </c>
      <c r="O309" s="393">
        <f>O304+O307+O308</f>
        <v>459022.42</v>
      </c>
      <c r="P309" s="407">
        <f>IF(O309&lt;=0,0,Q309/O309)</f>
        <v>0.2748362051683656</v>
      </c>
      <c r="Q309" s="392">
        <f t="shared" ref="Q309" si="66">Q304+Q307+Q308</f>
        <v>126155.97999999969</v>
      </c>
      <c r="R309" s="408">
        <f t="shared" si="63"/>
        <v>2.0854972617676912E-3</v>
      </c>
      <c r="S309" s="392">
        <f t="shared" si="64"/>
        <v>-16482.519999999713</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-0.15337862772961283</v>
      </c>
      <c r="O310" s="253"/>
      <c r="P310" s="41"/>
      <c r="Q310" s="263"/>
      <c r="R310" s="253"/>
      <c r="S310" s="265">
        <f>IF(Q309=0,0,S309/Q309)</f>
        <v>-0.13065191202192519</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499716.22169137711</v>
      </c>
      <c r="E314" s="410">
        <f>IF(D314&lt;=0,0,F314/D314)</f>
        <v>0.25923215463321908</v>
      </c>
      <c r="F314" s="281">
        <f>F309+F312</f>
        <v>129542.51285422705</v>
      </c>
      <c r="G314" s="282"/>
      <c r="H314" s="410"/>
      <c r="I314" s="281"/>
      <c r="J314" s="282">
        <f t="shared" ref="J314" si="67">J309+J312</f>
        <v>459979.70999999996</v>
      </c>
      <c r="K314" s="1262">
        <f>IF(J314&lt;=0,0,L314/J314)</f>
        <v>0.23843108210142572</v>
      </c>
      <c r="L314" s="281">
        <f>L309+L312</f>
        <v>109673.45999999998</v>
      </c>
      <c r="M314" s="411">
        <f>(+J314-D314)/D314</f>
        <v>-7.9518154437496477E-2</v>
      </c>
      <c r="N314" s="412">
        <f>L314-F314</f>
        <v>-19869.052854227077</v>
      </c>
      <c r="O314" s="282">
        <f>O309+O312</f>
        <v>459022.42</v>
      </c>
      <c r="P314" s="410">
        <f>IF(O314&lt;=0,0,Q314/O314)</f>
        <v>0.2748362051683656</v>
      </c>
      <c r="Q314" s="281">
        <f t="shared" ref="Q314" si="68">Q309+Q312</f>
        <v>126155.97999999969</v>
      </c>
      <c r="R314" s="411">
        <f>IF(O314=0,0,(J314-O314)/O314)</f>
        <v>2.0854972617676912E-3</v>
      </c>
      <c r="S314" s="412">
        <f>L314-Q314</f>
        <v>-16482.519999999713</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0.84662137227038714</v>
      </c>
      <c r="M315" s="416"/>
      <c r="N315" s="287">
        <f>N314/F314</f>
        <v>-0.15337862772961283</v>
      </c>
      <c r="O315" s="415"/>
      <c r="P315" s="414"/>
      <c r="Q315" s="335"/>
      <c r="R315" s="416"/>
      <c r="S315" s="287">
        <f>IF(Q314=0,0,S314/Q314)</f>
        <v>-0.13065191202192519</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5906.18</v>
      </c>
      <c r="M318" s="253"/>
      <c r="N318" s="256">
        <f t="shared" ref="N318:N348" si="69">L318-F318</f>
        <v>-1029.6738461538462</v>
      </c>
      <c r="O318" s="253"/>
      <c r="P318" s="41"/>
      <c r="Q318" s="256">
        <f t="array" ref="Q318">+INDEX('Réel 2024'!$A$2:$AO$501,MATCH($A318,'Réel 2024'!$A$2:$A$501,0),MATCH(Q$2,'Réel 2024'!$A$2:$AO$2,0))</f>
        <v>7005.54</v>
      </c>
      <c r="R318" s="253"/>
      <c r="S318" s="256">
        <f t="shared" ref="S318:S348" si="70">L318-Q318</f>
        <v>-1099.3599999999997</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24736.400000000001</v>
      </c>
      <c r="M319" s="253"/>
      <c r="N319" s="256">
        <f t="shared" si="69"/>
        <v>-1628.5241230769243</v>
      </c>
      <c r="O319" s="253"/>
      <c r="P319" s="41"/>
      <c r="Q319" s="256">
        <f t="array" ref="Q319">+INDEX('Réel 2024'!$A$2:$AO$501,MATCH($A319,'Réel 2024'!$A$2:$A$501,0),MATCH(Q$2,'Réel 2024'!$A$2:$AO$2,0))</f>
        <v>24992.33</v>
      </c>
      <c r="R319" s="253"/>
      <c r="S319" s="276">
        <f t="shared" si="70"/>
        <v>-255.93000000000029</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190.37</v>
      </c>
      <c r="R320" s="241"/>
      <c r="S320" s="317">
        <f t="shared" si="70"/>
        <v>-76.45</v>
      </c>
      <c r="T320" s="41"/>
      <c r="U320" s="120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4453.74</v>
      </c>
      <c r="M325" s="253"/>
      <c r="N325" s="256">
        <f t="shared" si="69"/>
        <v>328.67580049230764</v>
      </c>
      <c r="O325" s="253"/>
      <c r="P325" s="41"/>
      <c r="Q325" s="256">
        <f t="array" ref="Q325">+INDEX('Réel 2024'!$A$2:$AO$501,MATCH($A325,'Réel 2024'!$A$2:$A$501,0),MATCH(Q$2,'Réel 2024'!$A$2:$AO$2,0))</f>
        <v>3726.86</v>
      </c>
      <c r="R325" s="253"/>
      <c r="S325" s="276">
        <f t="shared" si="70"/>
        <v>726.87999999999965</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4954.4799999999996</v>
      </c>
      <c r="M326" s="241"/>
      <c r="N326" s="272">
        <f t="shared" si="69"/>
        <v>-61.016559753847105</v>
      </c>
      <c r="O326" s="241"/>
      <c r="P326" s="315"/>
      <c r="Q326" s="272">
        <f t="array" ref="Q326">+INDEX('Réel 2024'!$A$2:$AO$501,MATCH($A326,'Réel 2024'!$A$2:$A$501,0),MATCH(Q$2,'Réel 2024'!$A$2:$AO$2,0))</f>
        <v>7350.11</v>
      </c>
      <c r="R326" s="241"/>
      <c r="S326" s="317">
        <f t="shared" si="70"/>
        <v>-2395.63</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1601.67</v>
      </c>
      <c r="M327" s="253"/>
      <c r="N327" s="256">
        <f t="shared" si="69"/>
        <v>-982.40105361230735</v>
      </c>
      <c r="O327" s="253"/>
      <c r="P327" s="41"/>
      <c r="Q327" s="256">
        <f t="array" ref="Q327">+INDEX('Réel 2024'!$A$2:$AO$501,MATCH($A327,'Réel 2024'!$A$2:$A$501,0),MATCH(Q$2,'Réel 2024'!$A$2:$AO$2,0))</f>
        <v>1026.28</v>
      </c>
      <c r="R327" s="253"/>
      <c r="S327" s="276">
        <f t="shared" si="70"/>
        <v>575.3900000000001</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1626.85</v>
      </c>
      <c r="M328" s="253"/>
      <c r="N328" s="256">
        <f t="shared" si="69"/>
        <v>500.18048295384619</v>
      </c>
      <c r="O328" s="253"/>
      <c r="P328" s="41"/>
      <c r="Q328" s="256">
        <f t="array" ref="Q328">+INDEX('Réel 2024'!$A$2:$AO$501,MATCH($A328,'Réel 2024'!$A$2:$A$501,0),MATCH(Q$2,'Réel 2024'!$A$2:$AO$2,0))</f>
        <v>1204.1600000000001</v>
      </c>
      <c r="R328" s="253"/>
      <c r="S328" s="276">
        <f t="shared" si="70"/>
        <v>422.68999999999983</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0.35735238133823477</v>
      </c>
      <c r="F330" s="307">
        <f>+SUM(F318:F329)</f>
        <v>46292.325452996927</v>
      </c>
      <c r="G330" s="308"/>
      <c r="H330" s="306"/>
      <c r="I330" s="307"/>
      <c r="J330" s="308" t="s">
        <v>119</v>
      </c>
      <c r="K330" s="306">
        <f>L330/L$314</f>
        <v>0.39565853033176857</v>
      </c>
      <c r="L330" s="307">
        <f>+SUM(L318:L329)</f>
        <v>43393.24</v>
      </c>
      <c r="M330" s="355"/>
      <c r="N330" s="320">
        <f t="shared" si="69"/>
        <v>-2899.0854529969292</v>
      </c>
      <c r="O330" s="308" t="s">
        <v>119</v>
      </c>
      <c r="P330" s="306">
        <f>Q330/Q$314</f>
        <v>0.3606301500729503</v>
      </c>
      <c r="Q330" s="307">
        <f>+SUM(Q318:Q329)</f>
        <v>45495.65</v>
      </c>
      <c r="R330" s="355"/>
      <c r="S330" s="320">
        <f t="shared" si="70"/>
        <v>-2102.4100000000035</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7533.1629382917936</v>
      </c>
      <c r="G331" s="298"/>
      <c r="H331" s="41"/>
      <c r="I331" s="254"/>
      <c r="J331" s="253"/>
      <c r="K331" s="41"/>
      <c r="L331" s="256">
        <f>SUMIFS(BV_Data_An_Cour!$O:$O,BV_Data_An_Cour!$U:$U,$B331,BV_Data_An_Cour!$V:$V,$C331,BV_Data_An_Cour!$W:$W,$L$2)</f>
        <v>12743.83</v>
      </c>
      <c r="M331" s="253"/>
      <c r="N331" s="276">
        <f t="shared" si="69"/>
        <v>5210.6670617082063</v>
      </c>
      <c r="O331" s="253"/>
      <c r="P331" s="41"/>
      <c r="Q331" s="256">
        <f t="array" ref="Q331">+INDEX('Réel 2024'!$A$2:$AO$501,MATCH($A331,'Réel 2024'!$A$2:$A$501,0),MATCH(Q$2,'Réel 2024'!$A$2:$AO$2,0))</f>
        <v>4417.4399999999996</v>
      </c>
      <c r="R331" s="253"/>
      <c r="S331" s="276">
        <f t="shared" si="70"/>
        <v>8326.39</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669.47</v>
      </c>
      <c r="M332" s="253"/>
      <c r="N332" s="276">
        <f t="shared" si="69"/>
        <v>107.9442217985727</v>
      </c>
      <c r="O332" s="253"/>
      <c r="P332" s="41"/>
      <c r="Q332" s="256">
        <f t="array" ref="Q332">+INDEX('Réel 2024'!$A$2:$AO$501,MATCH($A332,'Réel 2024'!$A$2:$A$501,0),MATCH(Q$2,'Réel 2024'!$A$2:$AO$2,0))</f>
        <v>881.44</v>
      </c>
      <c r="R332" s="253"/>
      <c r="S332" s="276">
        <f t="shared" si="70"/>
        <v>-211.97000000000003</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1170.8399999999999</v>
      </c>
      <c r="M333" s="246"/>
      <c r="N333" s="296">
        <f t="shared" si="69"/>
        <v>-93.48048888888934</v>
      </c>
      <c r="O333" s="246"/>
      <c r="P333" s="318"/>
      <c r="Q333" s="256">
        <f t="array" ref="Q333">+INDEX('Réel 2024'!$A$2:$AO$501,MATCH($A333,'Réel 2024'!$A$2:$A$501,0),MATCH(Q$2,'Réel 2024'!$A$2:$AO$2,0))</f>
        <v>1271.42</v>
      </c>
      <c r="R333" s="246"/>
      <c r="S333" s="296">
        <f t="shared" si="70"/>
        <v>-100.58000000000015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5543.45</v>
      </c>
      <c r="M334" s="253"/>
      <c r="N334" s="276">
        <f t="shared" si="69"/>
        <v>1093.7932610555545</v>
      </c>
      <c r="O334" s="253"/>
      <c r="P334" s="41"/>
      <c r="Q334" s="272">
        <f t="array" ref="Q334">+INDEX('Réel 2024'!$A$2:$AO$501,MATCH($A334,'Réel 2024'!$A$2:$A$501,0),MATCH(Q$2,'Réel 2024'!$A$2:$AO$2,0))</f>
        <v>4958.8900000000003</v>
      </c>
      <c r="R334" s="253"/>
      <c r="S334" s="276">
        <f t="shared" si="70"/>
        <v>584.55999999999949</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1020.62</v>
      </c>
      <c r="M335" s="253"/>
      <c r="N335" s="276">
        <f t="shared" si="69"/>
        <v>202.34353112319104</v>
      </c>
      <c r="O335" s="253"/>
      <c r="P335" s="41"/>
      <c r="Q335" s="256">
        <f t="array" ref="Q335">+INDEX('Réel 2024'!$A$2:$AO$501,MATCH($A335,'Réel 2024'!$A$2:$A$501,0),MATCH(Q$2,'Réel 2024'!$A$2:$AO$2,0))</f>
        <v>1821.32</v>
      </c>
      <c r="R335" s="253"/>
      <c r="S335" s="276">
        <f t="shared" si="70"/>
        <v>-800.69999999999993</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13547.66</v>
      </c>
      <c r="M336" s="246"/>
      <c r="N336" s="296">
        <f t="shared" si="69"/>
        <v>1059.5741227347571</v>
      </c>
      <c r="O336" s="246"/>
      <c r="P336" s="318"/>
      <c r="Q336" s="248">
        <f t="array" ref="Q336">+INDEX('Réel 2024'!$A$2:$AO$501,MATCH($A336,'Réel 2024'!$A$2:$A$501,0),MATCH(Q$2,'Réel 2024'!$A$2:$AO$2,0))</f>
        <v>11758.11</v>
      </c>
      <c r="R336" s="246"/>
      <c r="S336" s="296">
        <f t="shared" si="70"/>
        <v>1789.5499999999993</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65.61</v>
      </c>
      <c r="R338" s="253"/>
      <c r="S338" s="276">
        <f t="shared" si="70"/>
        <v>-65.61</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45.41</v>
      </c>
      <c r="M340" s="253"/>
      <c r="N340" s="276">
        <f t="shared" si="69"/>
        <v>-670.99904661649998</v>
      </c>
      <c r="O340" s="253"/>
      <c r="P340" s="41"/>
      <c r="Q340" s="256">
        <f t="array" ref="Q340">+INDEX('Réel 2024'!$A$2:$AO$501,MATCH($A340,'Réel 2024'!$A$2:$A$501,0),MATCH(Q$2,'Réel 2024'!$A$2:$AO$2,0))</f>
        <v>297.66000000000003</v>
      </c>
      <c r="R340" s="253"/>
      <c r="S340" s="276">
        <f t="shared" si="70"/>
        <v>-252.25000000000003</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94.67</v>
      </c>
      <c r="M341" s="253"/>
      <c r="N341" s="276">
        <f t="shared" si="69"/>
        <v>-20.870743592173625</v>
      </c>
      <c r="O341" s="253"/>
      <c r="P341" s="41"/>
      <c r="Q341" s="256">
        <f t="array" ref="Q341">+INDEX('Réel 2024'!$A$2:$AO$501,MATCH($A341,'Réel 2024'!$A$2:$A$501,0),MATCH(Q$2,'Réel 2024'!$A$2:$AO$2,0))</f>
        <v>84.4</v>
      </c>
      <c r="R341" s="253"/>
      <c r="S341" s="276">
        <f t="shared" si="70"/>
        <v>10.269999999999996</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-558.02</v>
      </c>
      <c r="M342" s="253"/>
      <c r="N342" s="276">
        <f t="shared" si="69"/>
        <v>-526.90965253782633</v>
      </c>
      <c r="O342" s="253"/>
      <c r="P342" s="41"/>
      <c r="Q342" s="256">
        <f t="array" ref="Q342">+INDEX('Réel 2024'!$A$2:$AO$501,MATCH($A342,'Réel 2024'!$A$2:$A$501,0),MATCH(Q$2,'Réel 2024'!$A$2:$AO$2,0))</f>
        <v>-52.37</v>
      </c>
      <c r="R342" s="253"/>
      <c r="S342" s="276">
        <f t="shared" si="70"/>
        <v>-505.65</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94.59</v>
      </c>
      <c r="M343" s="253"/>
      <c r="N343" s="276">
        <f t="shared" si="69"/>
        <v>-61.921176662451444</v>
      </c>
      <c r="O343" s="253"/>
      <c r="P343" s="41"/>
      <c r="Q343" s="256">
        <f t="array" ref="Q343">+INDEX('Réel 2024'!$A$2:$AO$501,MATCH($A343,'Réel 2024'!$A$2:$A$501,0),MATCH(Q$2,'Réel 2024'!$A$2:$AO$2,0))</f>
        <v>157.71</v>
      </c>
      <c r="R343" s="253"/>
      <c r="S343" s="276">
        <f t="shared" si="70"/>
        <v>-63.120000000000005</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79.75</v>
      </c>
      <c r="M344" s="253"/>
      <c r="N344" s="276">
        <f t="shared" si="69"/>
        <v>-299.20432121431327</v>
      </c>
      <c r="O344" s="253"/>
      <c r="P344" s="41"/>
      <c r="Q344" s="256">
        <f t="array" ref="Q344">+INDEX('Réel 2024'!$A$2:$AO$501,MATCH($A344,'Réel 2024'!$A$2:$A$501,0),MATCH(Q$2,'Réel 2024'!$A$2:$AO$2,0))</f>
        <v>79.75</v>
      </c>
      <c r="R344" s="253"/>
      <c r="S344" s="276">
        <f t="shared" si="70"/>
        <v>0</v>
      </c>
      <c r="T344" s="41"/>
      <c r="U344" s="1208"/>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1650.1689027259927</v>
      </c>
      <c r="G345" s="298"/>
      <c r="H345" s="41"/>
      <c r="I345" s="254"/>
      <c r="J345" s="253"/>
      <c r="K345" s="41"/>
      <c r="L345" s="256">
        <f>SUMIFS(BV_Data_An_Cour!$O:$O,BV_Data_An_Cour!$U:$U,$B345,BV_Data_An_Cour!$V:$V,$C345,BV_Data_An_Cour!$W:$W,$L$2)</f>
        <v>2048.8200000000002</v>
      </c>
      <c r="M345" s="253"/>
      <c r="N345" s="276">
        <f t="shared" si="69"/>
        <v>398.6510972740075</v>
      </c>
      <c r="O345" s="253"/>
      <c r="P345" s="41"/>
      <c r="Q345" s="256">
        <f t="array" ref="Q345">+INDEX('Réel 2024'!$A$2:$AO$501,MATCH($A345,'Réel 2024'!$A$2:$A$501,0),MATCH(Q$2,'Réel 2024'!$A$2:$AO$2,0))</f>
        <v>1900.91</v>
      </c>
      <c r="R345" s="253"/>
      <c r="S345" s="276">
        <f t="shared" si="70"/>
        <v>147.91000000000008</v>
      </c>
      <c r="T345" s="41"/>
      <c r="U345" s="1208"/>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8"/>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8"/>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8"/>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0.23456014655727001</v>
      </c>
      <c r="F349" s="307">
        <f>+SUM(F331:F348)</f>
        <v>30385.510800484532</v>
      </c>
      <c r="G349" s="308"/>
      <c r="H349" s="306"/>
      <c r="I349" s="307"/>
      <c r="J349" s="308" t="s">
        <v>119</v>
      </c>
      <c r="K349" s="306">
        <f>L349/L$314</f>
        <v>0.33281607054249956</v>
      </c>
      <c r="L349" s="307">
        <f>+SUM(L331:L348)</f>
        <v>36501.089999999997</v>
      </c>
      <c r="M349" s="311"/>
      <c r="N349" s="307">
        <f>+SUM(N331:N348)</f>
        <v>6115.5791995154686</v>
      </c>
      <c r="O349" s="308" t="s">
        <v>119</v>
      </c>
      <c r="P349" s="306">
        <f>Q349/Q$314</f>
        <v>0.21911200721519558</v>
      </c>
      <c r="Q349" s="307">
        <f>+SUM(Q331:Q348)</f>
        <v>27642.29</v>
      </c>
      <c r="R349" s="311"/>
      <c r="S349" s="307">
        <f>+SUM(S331:S348)</f>
        <v>8858.7999999999956</v>
      </c>
      <c r="T349" s="41"/>
      <c r="U349" s="1208"/>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0.59191252789550475</v>
      </c>
      <c r="F351" s="307">
        <f>F330+F349</f>
        <v>76677.836253481451</v>
      </c>
      <c r="G351" s="308"/>
      <c r="H351" s="306"/>
      <c r="I351" s="307"/>
      <c r="J351" s="308" t="s">
        <v>119</v>
      </c>
      <c r="K351" s="306">
        <f>L351/L$314</f>
        <v>0.72847460087426807</v>
      </c>
      <c r="L351" s="307">
        <f>L330+L349</f>
        <v>79894.329999999987</v>
      </c>
      <c r="M351" s="311"/>
      <c r="N351" s="320">
        <f>L351-F351</f>
        <v>3216.4937465185358</v>
      </c>
      <c r="O351" s="308" t="s">
        <v>119</v>
      </c>
      <c r="P351" s="306">
        <f>Q351/Q$314</f>
        <v>0.57974215728814582</v>
      </c>
      <c r="Q351" s="307">
        <f>Q330+Q349</f>
        <v>73137.94</v>
      </c>
      <c r="R351" s="311"/>
      <c r="S351" s="320">
        <f>L351-Q351</f>
        <v>6756.3899999999849</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52864.676600745603</v>
      </c>
      <c r="G353" s="361"/>
      <c r="H353" s="333"/>
      <c r="I353" s="335"/>
      <c r="J353" s="332"/>
      <c r="K353" s="334"/>
      <c r="L353" s="335">
        <f>L314-L351</f>
        <v>29779.12999999999</v>
      </c>
      <c r="M353" s="332"/>
      <c r="N353" s="335">
        <f>L353-F353</f>
        <v>-23085.546600745613</v>
      </c>
      <c r="O353" s="332"/>
      <c r="P353" s="1147">
        <f>+Q353/O314</f>
        <v>0.11550207068316988</v>
      </c>
      <c r="Q353" s="335">
        <f>Q314-Q351</f>
        <v>53018.039999999688</v>
      </c>
      <c r="R353" s="332"/>
      <c r="S353" s="335">
        <f>L353-Q353</f>
        <v>-23238.909999999698</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18" t="s">
        <v>343</v>
      </c>
      <c r="E358" s="1219"/>
      <c r="F358" s="1220"/>
      <c r="G358" s="1221"/>
      <c r="H358" s="1219"/>
      <c r="I358" s="1220"/>
      <c r="J358" s="1221" t="s">
        <v>344</v>
      </c>
      <c r="K358" s="1219"/>
      <c r="L358" s="1220"/>
      <c r="M358" s="1221"/>
      <c r="N358" s="1220"/>
      <c r="O358" s="1218" t="s">
        <v>345</v>
      </c>
      <c r="P358" s="1219"/>
      <c r="Q358" s="1220"/>
      <c r="R358" s="1221"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134821.14982839843</v>
      </c>
      <c r="G400" s="297"/>
      <c r="H400" s="41"/>
      <c r="I400" s="319"/>
      <c r="J400" s="1040"/>
      <c r="K400" s="11"/>
      <c r="L400" s="319">
        <f>L353+L233</f>
        <v>105477.32999999994</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4">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24" t="s">
        <v>600</v>
      </c>
      <c r="Y404" s="1216"/>
      <c r="Z404" s="1225"/>
      <c r="AA404" s="1215"/>
      <c r="AB404" s="1216"/>
      <c r="AC404" s="1225"/>
      <c r="AD404" s="1215" t="s">
        <v>344</v>
      </c>
      <c r="AE404" s="1216"/>
      <c r="AF404" s="1225"/>
      <c r="AG404" s="1215" t="s">
        <v>3310</v>
      </c>
      <c r="AH404" s="1216"/>
      <c r="AI404" s="1225"/>
      <c r="AJ404" s="1215" t="s">
        <v>601</v>
      </c>
      <c r="AK404" s="1216"/>
      <c r="AL404" s="1216"/>
      <c r="AM404" s="1215" t="s">
        <v>602</v>
      </c>
      <c r="AN404" s="1216"/>
      <c r="AO404" s="121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5517580.6656092349</v>
      </c>
      <c r="AA406" s="440"/>
      <c r="AB406" s="440"/>
      <c r="AC406" s="441"/>
      <c r="AD406" s="442"/>
      <c r="AE406" s="443"/>
      <c r="AF406" s="443">
        <f>L5+L93+K194+K250+J314+J362</f>
        <v>4734872.0299999993</v>
      </c>
      <c r="AG406" s="442"/>
      <c r="AH406" s="443"/>
      <c r="AI406" s="444"/>
      <c r="AJ406" s="442"/>
      <c r="AK406" s="443"/>
      <c r="AL406" s="443">
        <f>Q5+Q93+P194+P250+O314+O362</f>
        <v>5889184.6299999896</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88">
        <f>Z407/Z406</f>
        <v>0.13431906363708956</v>
      </c>
      <c r="Y407" s="448"/>
      <c r="Z407" s="449">
        <f>F27+F108+F194+F250+F314+F362</f>
        <v>741116.26854674181</v>
      </c>
      <c r="AA407" s="448"/>
      <c r="AB407" s="448"/>
      <c r="AC407" s="449"/>
      <c r="AD407" s="1188">
        <f>AF407/AF406</f>
        <v>0.141903328272211</v>
      </c>
      <c r="AE407" s="451"/>
      <c r="AF407" s="449">
        <f>L27+L108+L194+L250+L314+L362</f>
        <v>671894.1</v>
      </c>
      <c r="AG407" s="450"/>
      <c r="AH407" s="451">
        <f>AF407-Z407</f>
        <v>-69222.168546741828</v>
      </c>
      <c r="AI407" s="452">
        <f>AH407/Z407</f>
        <v>-9.3402575931142207E-2</v>
      </c>
      <c r="AJ407" s="450">
        <f>+AL407/AL406</f>
        <v>0.12325723264003025</v>
      </c>
      <c r="AK407" s="451"/>
      <c r="AL407" s="451">
        <f>Q27+Q108+Q194+Q250+Q314+Q362</f>
        <v>725884.59999999916</v>
      </c>
      <c r="AM407" s="453"/>
      <c r="AN407" s="451">
        <f>AF407-AL407</f>
        <v>-53990.499999999185</v>
      </c>
      <c r="AO407" s="454">
        <f>IF(AL407=0,0,AN407/AL407)</f>
        <v>-7.4378902652018311E-2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698.06389563417122</v>
      </c>
      <c r="Z409" s="457">
        <f t="shared" ref="Z409:Z415" si="75">+SUMIF($C:$C,$V409,F:F)</f>
        <v>60033.495024538723</v>
      </c>
      <c r="AA409" s="456"/>
      <c r="AB409" s="464"/>
      <c r="AC409" s="457"/>
      <c r="AD409" s="465"/>
      <c r="AE409" s="464">
        <f t="shared" ref="AE409:AE414" si="76">IF(AF409=0,0,AF409/(J$13+J$97))</f>
        <v>487.29837209302332</v>
      </c>
      <c r="AF409" s="457">
        <f t="shared" ref="AF409:AF415" si="77">+SUMIF($C:$C,$V409,L:L)</f>
        <v>41907.660000000003</v>
      </c>
      <c r="AG409" s="458">
        <f t="shared" ref="AG409:AG418" si="78">AE409-Y409</f>
        <v>-210.7655235411479</v>
      </c>
      <c r="AH409" s="459">
        <f t="shared" ref="AH409:AH418" si="79">AF409-Z409</f>
        <v>-18125.835024538719</v>
      </c>
      <c r="AI409" s="460">
        <f t="shared" ref="AI409:AI418" si="80">IF(Z409=0,0,AH409/Z409)</f>
        <v>-0.30192869858950866</v>
      </c>
      <c r="AJ409" s="1148">
        <f t="shared" ref="AJ409:AJ415" si="81">AL409/AL$407</f>
        <v>8.4837286808399123E-2</v>
      </c>
      <c r="AK409" s="459">
        <f t="shared" ref="AK409:AK418" si="82">AL409/(O$13+O$97)</f>
        <v>669.37043478260875</v>
      </c>
      <c r="AL409" s="457">
        <f t="shared" ref="AL409:AL414" si="83">+SUMIF($C:$C,$V409,Q:Q)</f>
        <v>61582.080000000002</v>
      </c>
      <c r="AM409" s="461">
        <f t="shared" ref="AM409:AM418" si="84">AE409-Y409</f>
        <v>-210.7655235411479</v>
      </c>
      <c r="AN409" s="459">
        <f t="shared" ref="AN409:AN431" si="85">AF409-AL409</f>
        <v>-19674.419999999998</v>
      </c>
      <c r="AO409" s="466">
        <f t="shared" ref="AO409:AO431" si="86">IF(AL409=0,0,AN409/AL409)</f>
        <v>-0.31948287553781873</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387.55813953488371</v>
      </c>
      <c r="Z410" s="441">
        <f t="shared" si="75"/>
        <v>33330</v>
      </c>
      <c r="AA410" s="440"/>
      <c r="AB410" s="468"/>
      <c r="AC410" s="441"/>
      <c r="AD410" s="469"/>
      <c r="AE410" s="468">
        <f t="shared" si="76"/>
        <v>339.77883720930231</v>
      </c>
      <c r="AF410" s="441">
        <f t="shared" si="77"/>
        <v>29220.98</v>
      </c>
      <c r="AG410" s="442">
        <f t="shared" si="78"/>
        <v>-47.779302325581398</v>
      </c>
      <c r="AH410" s="443">
        <f t="shared" si="79"/>
        <v>-4109.0200000000004</v>
      </c>
      <c r="AI410" s="470">
        <f t="shared" si="80"/>
        <v>-0.1232829282928293</v>
      </c>
      <c r="AJ410" s="1149">
        <f t="shared" si="81"/>
        <v>3.8289268018635518E-2</v>
      </c>
      <c r="AK410" s="443">
        <f t="shared" si="82"/>
        <v>302.10423913043485</v>
      </c>
      <c r="AL410" s="441">
        <f t="shared" si="83"/>
        <v>27793.590000000004</v>
      </c>
      <c r="AM410" s="445">
        <f t="shared" si="84"/>
        <v>-47.779302325581398</v>
      </c>
      <c r="AN410" s="443">
        <f t="shared" si="85"/>
        <v>1427.3899999999958</v>
      </c>
      <c r="AO410" s="446">
        <f t="shared" si="86"/>
        <v>5.1356805651950527E-2</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82.930232558139537</v>
      </c>
      <c r="Z411" s="457">
        <f t="shared" si="75"/>
        <v>7132</v>
      </c>
      <c r="AA411" s="456"/>
      <c r="AB411" s="464"/>
      <c r="AC411" s="457"/>
      <c r="AD411" s="465"/>
      <c r="AE411" s="464">
        <f t="shared" si="76"/>
        <v>82.575465116279062</v>
      </c>
      <c r="AF411" s="457">
        <f t="shared" si="77"/>
        <v>7101.49</v>
      </c>
      <c r="AG411" s="458">
        <f t="shared" si="78"/>
        <v>-0.35476744186047426</v>
      </c>
      <c r="AH411" s="459">
        <f t="shared" si="79"/>
        <v>-30.510000000000218</v>
      </c>
      <c r="AI411" s="460">
        <f t="shared" si="80"/>
        <v>-4.2779024116657623E-3</v>
      </c>
      <c r="AJ411" s="1148">
        <f t="shared" si="81"/>
        <v>7.7790601977228988E-3</v>
      </c>
      <c r="AK411" s="459">
        <f t="shared" si="82"/>
        <v>61.377173913043485</v>
      </c>
      <c r="AL411" s="457">
        <f t="shared" si="83"/>
        <v>5646.7000000000007</v>
      </c>
      <c r="AM411" s="461">
        <f t="shared" si="84"/>
        <v>-0.35476744186047426</v>
      </c>
      <c r="AN411" s="459">
        <f t="shared" si="85"/>
        <v>1454.7899999999991</v>
      </c>
      <c r="AO411" s="466">
        <f t="shared" si="86"/>
        <v>0.25763543308481041</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22.151162790697676</v>
      </c>
      <c r="Z412" s="457">
        <f t="shared" si="75"/>
        <v>1905</v>
      </c>
      <c r="AA412" s="456"/>
      <c r="AB412" s="464"/>
      <c r="AC412" s="457"/>
      <c r="AD412" s="465"/>
      <c r="AE412" s="464">
        <f t="shared" si="76"/>
        <v>14.491395348837209</v>
      </c>
      <c r="AF412" s="457">
        <f t="shared" si="77"/>
        <v>1246.26</v>
      </c>
      <c r="AG412" s="458">
        <f t="shared" si="78"/>
        <v>-7.6597674418604669</v>
      </c>
      <c r="AH412" s="459">
        <f t="shared" si="79"/>
        <v>-658.74</v>
      </c>
      <c r="AI412" s="460">
        <f t="shared" si="80"/>
        <v>-0.34579527559055118</v>
      </c>
      <c r="AJ412" s="1148">
        <f t="shared" si="81"/>
        <v>4.1307805675998687E-3</v>
      </c>
      <c r="AK412" s="459">
        <f t="shared" si="82"/>
        <v>32.592065217391308</v>
      </c>
      <c r="AL412" s="457">
        <f t="shared" si="83"/>
        <v>2998.4700000000003</v>
      </c>
      <c r="AM412" s="461">
        <f t="shared" si="84"/>
        <v>-7.6597674418604669</v>
      </c>
      <c r="AN412" s="459">
        <f t="shared" si="85"/>
        <v>-1752.2100000000003</v>
      </c>
      <c r="AO412" s="466">
        <f t="shared" si="86"/>
        <v>-0.58436802769412399</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138.19767441860466</v>
      </c>
      <c r="Z413" s="441">
        <f t="shared" si="75"/>
        <v>11885</v>
      </c>
      <c r="AA413" s="440"/>
      <c r="AB413" s="468"/>
      <c r="AC413" s="441"/>
      <c r="AD413" s="469"/>
      <c r="AE413" s="468">
        <f t="shared" si="76"/>
        <v>131.92151162790697</v>
      </c>
      <c r="AF413" s="441">
        <f t="shared" si="77"/>
        <v>11345.25</v>
      </c>
      <c r="AG413" s="442">
        <f t="shared" si="78"/>
        <v>-6.2761627906976969</v>
      </c>
      <c r="AH413" s="443">
        <f t="shared" si="79"/>
        <v>-539.75</v>
      </c>
      <c r="AI413" s="470">
        <f t="shared" si="80"/>
        <v>-4.5414387883887256E-2</v>
      </c>
      <c r="AJ413" s="1149">
        <f t="shared" si="81"/>
        <v>2.2247393042916216E-2</v>
      </c>
      <c r="AK413" s="443">
        <f t="shared" si="82"/>
        <v>175.53304347826088</v>
      </c>
      <c r="AL413" s="441">
        <f t="shared" si="83"/>
        <v>16149.04</v>
      </c>
      <c r="AM413" s="445">
        <f t="shared" si="84"/>
        <v>-6.2761627906976969</v>
      </c>
      <c r="AN413" s="443">
        <f t="shared" si="85"/>
        <v>-4803.7900000000009</v>
      </c>
      <c r="AO413" s="446">
        <f t="shared" si="86"/>
        <v>-0.29746597940187158</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207.48837209302326</v>
      </c>
      <c r="Z414" s="457">
        <f t="shared" si="75"/>
        <v>17844</v>
      </c>
      <c r="AA414" s="460"/>
      <c r="AB414" s="464"/>
      <c r="AC414" s="457"/>
      <c r="AD414" s="465"/>
      <c r="AE414" s="464">
        <f t="shared" si="76"/>
        <v>397.38674418604654</v>
      </c>
      <c r="AF414" s="457">
        <f t="shared" si="77"/>
        <v>34175.26</v>
      </c>
      <c r="AG414" s="458">
        <f t="shared" si="78"/>
        <v>189.89837209302328</v>
      </c>
      <c r="AH414" s="459">
        <f t="shared" si="79"/>
        <v>16331.260000000002</v>
      </c>
      <c r="AI414" s="460">
        <f t="shared" si="80"/>
        <v>0.91522416498542936</v>
      </c>
      <c r="AJ414" s="1148">
        <f t="shared" si="81"/>
        <v>2.9014487977841126E-2</v>
      </c>
      <c r="AK414" s="459">
        <f t="shared" si="82"/>
        <v>228.92576086956512</v>
      </c>
      <c r="AL414" s="457">
        <f t="shared" si="83"/>
        <v>21061.169999999991</v>
      </c>
      <c r="AM414" s="461">
        <f t="shared" si="84"/>
        <v>189.89837209302328</v>
      </c>
      <c r="AN414" s="459">
        <f t="shared" si="85"/>
        <v>13114.090000000011</v>
      </c>
      <c r="AO414" s="466">
        <f t="shared" si="86"/>
        <v>0.6226667369381671</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519.12375212798781</v>
      </c>
      <c r="Z415" s="457">
        <f t="shared" si="75"/>
        <v>44644.642683006954</v>
      </c>
      <c r="AA415" s="456"/>
      <c r="AB415" s="464"/>
      <c r="AC415" s="457"/>
      <c r="AD415" s="465"/>
      <c r="AE415" s="464">
        <f t="shared" ref="AE415:AE418" si="87">IF(AF415=0,0,AF415/(J$13+J$13))</f>
        <v>173.64696428571429</v>
      </c>
      <c r="AF415" s="958">
        <f t="shared" si="77"/>
        <v>19448.46</v>
      </c>
      <c r="AG415" s="1016">
        <f t="shared" si="78"/>
        <v>-345.47678784227355</v>
      </c>
      <c r="AH415" s="962">
        <f t="shared" si="79"/>
        <v>-25196.182683006955</v>
      </c>
      <c r="AI415" s="460">
        <f t="shared" si="80"/>
        <v>-0.5643719194239929</v>
      </c>
      <c r="AJ415" s="1148">
        <f t="shared" si="81"/>
        <v>5.9754236417193657E-2</v>
      </c>
      <c r="AK415" s="459">
        <f t="shared" si="82"/>
        <v>471.46391304347827</v>
      </c>
      <c r="AL415" s="457">
        <f>IFERROR(SUMIF($C:$C,$V415,Q:Q),0)</f>
        <v>43374.68</v>
      </c>
      <c r="AM415" s="461">
        <f t="shared" si="84"/>
        <v>-345.47678784227355</v>
      </c>
      <c r="AN415" s="459">
        <f t="shared" si="85"/>
        <v>-23926.22</v>
      </c>
      <c r="AO415" s="466">
        <f t="shared" si="86"/>
        <v>-0.55161721077826975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0.23852416309006796</v>
      </c>
      <c r="Y419" s="472"/>
      <c r="Z419" s="474">
        <f>SUM(Z409:Z418)</f>
        <v>176774.13770754565</v>
      </c>
      <c r="AA419" s="473"/>
      <c r="AB419" s="472"/>
      <c r="AC419" s="474"/>
      <c r="AD419" s="475">
        <f>AF419/AF407</f>
        <v>0.21498233129298203</v>
      </c>
      <c r="AE419" s="472"/>
      <c r="AF419" s="474">
        <f>SUM(AF409:AF418)</f>
        <v>144445.35999999999</v>
      </c>
      <c r="AG419" s="476"/>
      <c r="AH419" s="477">
        <f t="shared" ref="AH419:AH451" si="88">AF419-Z419</f>
        <v>-32328.777707545669</v>
      </c>
      <c r="AI419" s="473">
        <f>AH419/Z419</f>
        <v>-0.18288182947343945</v>
      </c>
      <c r="AJ419" s="475">
        <f>IF($AL$407=0,0,AL419/$AL$407)</f>
        <v>0.2460525130303084</v>
      </c>
      <c r="AK419" s="472"/>
      <c r="AL419" s="474">
        <f>SUM(AL409:AL418)</f>
        <v>178605.72999999998</v>
      </c>
      <c r="AM419" s="478"/>
      <c r="AN419" s="477">
        <f t="shared" si="85"/>
        <v>-34160.369999999995</v>
      </c>
      <c r="AO419" s="454">
        <f t="shared" si="86"/>
        <v>-0.19126133299306802</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13074.76</v>
      </c>
      <c r="AG420" s="458"/>
      <c r="AH420" s="459">
        <f t="shared" si="88"/>
        <v>-1376.3842307692303</v>
      </c>
      <c r="AI420" s="460">
        <f t="shared" ref="AI420:AI432" si="89">IF(Z420=0,0,AH420/Z420)</f>
        <v>-9.5243961916776587E-2</v>
      </c>
      <c r="AJ420" s="465"/>
      <c r="AK420" s="456"/>
      <c r="AL420" s="457">
        <f>+INDEX('Réel 2024'!$A$2:$AO$501,MATCH($A420,'Réel 2024'!$A$2:$A$501,0),MATCH(F$2,'Réel 2024'!$A$2:$AO$2,0))</f>
        <v>14884.91</v>
      </c>
      <c r="AM420" s="461"/>
      <c r="AN420" s="459">
        <f t="shared" si="85"/>
        <v>-1810.1499999999996</v>
      </c>
      <c r="AO420" s="466">
        <f t="shared" si="86"/>
        <v>-0.12160973764705327</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39843.269999999997</v>
      </c>
      <c r="AG421" s="458"/>
      <c r="AH421" s="459">
        <f t="shared" si="88"/>
        <v>-16760.300512820519</v>
      </c>
      <c r="AI421" s="460">
        <f t="shared" si="89"/>
        <v>-0.29609970468248764</v>
      </c>
      <c r="AJ421" s="465"/>
      <c r="AK421" s="456"/>
      <c r="AL421" s="457">
        <f t="shared" ref="AL421:AL429" si="91">+SUMIF($C:$C,$V421,Q:Q)</f>
        <v>39822.400000000001</v>
      </c>
      <c r="AM421" s="461"/>
      <c r="AN421" s="459">
        <f t="shared" si="85"/>
        <v>20.869999999995343</v>
      </c>
      <c r="AO421" s="466">
        <f t="shared" si="86"/>
        <v>5.240769014422873E-4</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51408.4</v>
      </c>
      <c r="AG422" s="442"/>
      <c r="AH422" s="443">
        <f t="shared" si="88"/>
        <v>-10595.812615384617</v>
      </c>
      <c r="AI422" s="470">
        <f t="shared" si="89"/>
        <v>-0.17088859237856946</v>
      </c>
      <c r="AJ422" s="469"/>
      <c r="AK422" s="440"/>
      <c r="AL422" s="441">
        <f t="shared" si="91"/>
        <v>44942.65</v>
      </c>
      <c r="AM422" s="445"/>
      <c r="AN422" s="443">
        <f t="shared" si="85"/>
        <v>6465.75</v>
      </c>
      <c r="AO422" s="446">
        <f t="shared" si="86"/>
        <v>0.14386668342876976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35472.910000000003</v>
      </c>
      <c r="AG423" s="458"/>
      <c r="AH423" s="459">
        <f t="shared" si="88"/>
        <v>15986.910000000003</v>
      </c>
      <c r="AI423" s="460">
        <f t="shared" si="89"/>
        <v>0.82043056553422988</v>
      </c>
      <c r="AJ423" s="465"/>
      <c r="AK423" s="456"/>
      <c r="AL423" s="457">
        <f t="shared" si="91"/>
        <v>32259.46</v>
      </c>
      <c r="AM423" s="461"/>
      <c r="AN423" s="459">
        <f t="shared" si="85"/>
        <v>3213.4500000000044</v>
      </c>
      <c r="AO423" s="466">
        <f t="shared" si="86"/>
        <v>9.9612640757160989E-2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34267.622694153848</v>
      </c>
      <c r="AA424" s="456"/>
      <c r="AB424" s="456"/>
      <c r="AC424" s="457"/>
      <c r="AD424" s="465"/>
      <c r="AE424" s="464"/>
      <c r="AF424" s="457">
        <f>+SUMIF($C:$C,$V424,L:L)</f>
        <v>24877.040000000001</v>
      </c>
      <c r="AG424" s="458"/>
      <c r="AH424" s="459">
        <f t="shared" si="88"/>
        <v>-9390.5826941538471</v>
      </c>
      <c r="AI424" s="460">
        <f t="shared" si="89"/>
        <v>-0.2740365965263154</v>
      </c>
      <c r="AJ424" s="465"/>
      <c r="AK424" s="456"/>
      <c r="AL424" s="457">
        <f t="shared" si="91"/>
        <v>43948.92</v>
      </c>
      <c r="AM424" s="461"/>
      <c r="AN424" s="459">
        <f t="shared" si="85"/>
        <v>-19071.879999999997</v>
      </c>
      <c r="AO424" s="466">
        <f t="shared" si="86"/>
        <v>-0.43395560118428389</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0.1188317984089961</v>
      </c>
      <c r="Z428" s="441">
        <f t="shared" si="90"/>
        <v>46156.693902893116</v>
      </c>
      <c r="AA428" s="440"/>
      <c r="AB428" s="440"/>
      <c r="AC428" s="441"/>
      <c r="AD428" s="469"/>
      <c r="AE428" s="468"/>
      <c r="AF428" s="441">
        <f>+SUMIF($C:$C,$V428,L:L)</f>
        <v>44209.169999999991</v>
      </c>
      <c r="AG428" s="442"/>
      <c r="AH428" s="443">
        <f t="shared" si="88"/>
        <v>-1947.5239028931246</v>
      </c>
      <c r="AI428" s="470">
        <f t="shared" si="89"/>
        <v>-4.2193747823239418E-2</v>
      </c>
      <c r="AJ428" s="469"/>
      <c r="AK428" s="440"/>
      <c r="AL428" s="441">
        <f t="shared" si="91"/>
        <v>42780.740000000005</v>
      </c>
      <c r="AM428" s="445"/>
      <c r="AN428" s="443">
        <f t="shared" si="85"/>
        <v>1428.4299999999857</v>
      </c>
      <c r="AO428" s="446">
        <f t="shared" si="86"/>
        <v>3.3389558011385156E-2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0.14448271524618028</v>
      </c>
      <c r="Z429" s="457">
        <f t="shared" si="90"/>
        <v>56120.03311541189</v>
      </c>
      <c r="AA429" s="456"/>
      <c r="AB429" s="456"/>
      <c r="AC429" s="457"/>
      <c r="AD429" s="465"/>
      <c r="AE429" s="464"/>
      <c r="AF429" s="457">
        <f>+SUMIF($C:$C,$V429,L:L)</f>
        <v>55483.460000000006</v>
      </c>
      <c r="AG429" s="458"/>
      <c r="AH429" s="459">
        <f t="shared" si="88"/>
        <v>-636.57311541188392</v>
      </c>
      <c r="AI429" s="460">
        <f t="shared" si="89"/>
        <v>-1.1343063787983864E-2</v>
      </c>
      <c r="AJ429" s="465"/>
      <c r="AK429" s="456"/>
      <c r="AL429" s="457">
        <f t="shared" si="91"/>
        <v>55588.25</v>
      </c>
      <c r="AM429" s="461"/>
      <c r="AN429" s="459">
        <f t="shared" si="85"/>
        <v>-104.7899999999936</v>
      </c>
      <c r="AO429" s="466">
        <f t="shared" si="86"/>
        <v>-1.8851106124044847E-3</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7.4440007637705932E-2</v>
      </c>
      <c r="Z430" s="457">
        <f t="shared" si="90"/>
        <v>28914.017061636128</v>
      </c>
      <c r="AA430" s="456"/>
      <c r="AB430" s="456"/>
      <c r="AC430" s="457"/>
      <c r="AD430" s="465"/>
      <c r="AE430" s="464"/>
      <c r="AF430" s="457">
        <f>+SUMIF($C:$C,$V430,L:L)</f>
        <v>27038.32</v>
      </c>
      <c r="AG430" s="458"/>
      <c r="AH430" s="459">
        <f t="shared" si="88"/>
        <v>-1875.6970616361286</v>
      </c>
      <c r="AI430" s="460">
        <f t="shared" si="89"/>
        <v>-6.4871548551614172E-2</v>
      </c>
      <c r="AJ430" s="465"/>
      <c r="AK430" s="456"/>
      <c r="AL430" s="457">
        <f>IFERROR(SUMIF($C:$C,$V430,Q:Q),0)</f>
        <v>20871.649999999998</v>
      </c>
      <c r="AM430" s="461"/>
      <c r="AN430" s="459">
        <f t="shared" si="85"/>
        <v>6166.6700000000019</v>
      </c>
      <c r="AO430" s="466">
        <f t="shared" si="86"/>
        <v>0.29545675593448539</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12606.674105636004</v>
      </c>
      <c r="AA431" s="456"/>
      <c r="AB431" s="456"/>
      <c r="AC431" s="457"/>
      <c r="AD431" s="465"/>
      <c r="AE431" s="464"/>
      <c r="AF431" s="457">
        <f>+SUMIF($C:$C,$V431,L:L)</f>
        <v>10989.42</v>
      </c>
      <c r="AG431" s="458"/>
      <c r="AH431" s="459">
        <f t="shared" si="88"/>
        <v>-1617.2541056360042</v>
      </c>
      <c r="AI431" s="479">
        <f t="shared" si="89"/>
        <v>-0.12828554875651035</v>
      </c>
      <c r="AJ431" s="465"/>
      <c r="AK431" s="456"/>
      <c r="AL431" s="457">
        <f>IFERROR(SUMIF($C:$C,$V431,Q:Q),0)</f>
        <v>10619.84</v>
      </c>
      <c r="AM431" s="461"/>
      <c r="AN431" s="459">
        <f t="shared" si="85"/>
        <v>369.57999999999993</v>
      </c>
      <c r="AO431" s="466">
        <f t="shared" si="86"/>
        <v>3.4800900955193288E-2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0.44609730250153584</v>
      </c>
      <c r="Y433" s="472"/>
      <c r="Z433" s="474">
        <f>SUM(Z420:Z432)</f>
        <v>330609.96823870536</v>
      </c>
      <c r="AA433" s="473"/>
      <c r="AB433" s="472"/>
      <c r="AC433" s="474"/>
      <c r="AD433" s="475">
        <f>AF433/AF407</f>
        <v>0.45006608928401071</v>
      </c>
      <c r="AE433" s="480"/>
      <c r="AF433" s="474">
        <f>SUM(AF420:AF432)</f>
        <v>302396.75</v>
      </c>
      <c r="AG433" s="476"/>
      <c r="AH433" s="477">
        <f t="shared" si="88"/>
        <v>-28213.218238705362</v>
      </c>
      <c r="AI433" s="473">
        <f>AH433/Z433</f>
        <v>-8.5336865034677342E-2</v>
      </c>
      <c r="AJ433" s="475">
        <f>IF($AL$407=0,0,AL433/$AL$407)</f>
        <v>0.42116724889879242</v>
      </c>
      <c r="AK433" s="472"/>
      <c r="AL433" s="474">
        <f>SUM(AL420:AL432)</f>
        <v>305718.82</v>
      </c>
      <c r="AM433" s="482"/>
      <c r="AN433" s="477">
        <f t="shared" ref="AN433:AN451" si="92">AF433-AL433</f>
        <v>-3322.070000000007</v>
      </c>
      <c r="AO433" s="454">
        <f t="shared" ref="AO433:AO461" si="93">IF(AL433=0,0,AN433/AL433)</f>
        <v>-1.0866422943801782E-2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21996.263268512084</v>
      </c>
      <c r="AA434" s="484"/>
      <c r="AB434" s="484"/>
      <c r="AC434" s="485"/>
      <c r="AD434" s="486"/>
      <c r="AE434" s="487"/>
      <c r="AF434" s="485">
        <f t="shared" ref="AF434:AF448" si="95">+SUMIF($C:$C,$V434,L:L)</f>
        <v>33630.42</v>
      </c>
      <c r="AG434" s="486"/>
      <c r="AH434" s="488">
        <f t="shared" si="88"/>
        <v>11634.156731487914</v>
      </c>
      <c r="AI434" s="489">
        <f t="shared" ref="AI434:AI451" si="96">IF(Z434=0,0,AH434/Z434)</f>
        <v>0.52891514297077669</v>
      </c>
      <c r="AJ434" s="486"/>
      <c r="AK434" s="484"/>
      <c r="AL434" s="485">
        <f t="shared" ref="AL434:AL448" si="97">+SUMIF($C:$C,$V434,Q:Q)</f>
        <v>15551.54</v>
      </c>
      <c r="AM434" s="490"/>
      <c r="AN434" s="488">
        <f t="shared" si="92"/>
        <v>18078.879999999997</v>
      </c>
      <c r="AO434" s="462">
        <f t="shared" si="93"/>
        <v>1.1625138089218172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5140.28</v>
      </c>
      <c r="AG435" s="458"/>
      <c r="AH435" s="459">
        <f t="shared" si="88"/>
        <v>594.89883719429145</v>
      </c>
      <c r="AI435" s="460">
        <f t="shared" si="96"/>
        <v>0.13087985713107517</v>
      </c>
      <c r="AJ435" s="465"/>
      <c r="AK435" s="456"/>
      <c r="AL435" s="457">
        <f t="shared" si="97"/>
        <v>3957.4100000000003</v>
      </c>
      <c r="AM435" s="461"/>
      <c r="AN435" s="459">
        <f t="shared" si="92"/>
        <v>1182.8699999999994</v>
      </c>
      <c r="AO435" s="466">
        <f t="shared" si="93"/>
        <v>0.2989000381562687</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27709.26466666667</v>
      </c>
      <c r="AA436" s="440"/>
      <c r="AB436" s="440"/>
      <c r="AC436" s="441"/>
      <c r="AD436" s="469"/>
      <c r="AE436" s="468"/>
      <c r="AF436" s="441">
        <f t="shared" si="95"/>
        <v>20967.38</v>
      </c>
      <c r="AG436" s="442"/>
      <c r="AH436" s="443">
        <f t="shared" si="88"/>
        <v>-6741.8846666666686</v>
      </c>
      <c r="AI436" s="470">
        <f t="shared" si="96"/>
        <v>-0.24330796027138654</v>
      </c>
      <c r="AJ436" s="469"/>
      <c r="AK436" s="440"/>
      <c r="AL436" s="441">
        <f t="shared" si="97"/>
        <v>26786.480000000003</v>
      </c>
      <c r="AM436" s="445"/>
      <c r="AN436" s="443">
        <f t="shared" si="92"/>
        <v>-5819.1000000000022</v>
      </c>
      <c r="AO436" s="446">
        <f t="shared" si="93"/>
        <v>-0.21724018982710686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23889.09</v>
      </c>
      <c r="AG437" s="458"/>
      <c r="AH437" s="1152">
        <f t="shared" si="88"/>
        <v>1487.0098562222229</v>
      </c>
      <c r="AI437" s="460">
        <f t="shared" si="96"/>
        <v>6.637820446487612E-2</v>
      </c>
      <c r="AJ437" s="465"/>
      <c r="AK437" s="456"/>
      <c r="AL437" s="457">
        <f t="shared" si="97"/>
        <v>22793.11</v>
      </c>
      <c r="AM437" s="461"/>
      <c r="AN437" s="459">
        <f t="shared" si="92"/>
        <v>1095.9799999999996</v>
      </c>
      <c r="AO437" s="466">
        <f t="shared" si="93"/>
        <v>4.8083828841259467E-2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5632.16</v>
      </c>
      <c r="AG438" s="458"/>
      <c r="AH438" s="459">
        <f t="shared" si="88"/>
        <v>1726.6023675138886</v>
      </c>
      <c r="AI438" s="460">
        <f t="shared" si="96"/>
        <v>0.44208856455020668</v>
      </c>
      <c r="AJ438" s="465"/>
      <c r="AK438" s="456"/>
      <c r="AL438" s="457">
        <f t="shared" si="97"/>
        <v>7708.47</v>
      </c>
      <c r="AM438" s="461"/>
      <c r="AN438" s="459">
        <f t="shared" si="92"/>
        <v>-2076.3100000000004</v>
      </c>
      <c r="AO438" s="466">
        <f t="shared" si="93"/>
        <v>-0.26935435955513876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36918.054597609284</v>
      </c>
      <c r="AA439" s="456"/>
      <c r="AB439" s="456"/>
      <c r="AC439" s="457"/>
      <c r="AD439" s="465"/>
      <c r="AE439" s="464"/>
      <c r="AF439" s="457">
        <f t="shared" si="95"/>
        <v>43461.11</v>
      </c>
      <c r="AG439" s="458"/>
      <c r="AH439" s="459">
        <f t="shared" si="88"/>
        <v>6543.0554023907171</v>
      </c>
      <c r="AI439" s="460">
        <f t="shared" si="96"/>
        <v>0.17723185779172743</v>
      </c>
      <c r="AJ439" s="465"/>
      <c r="AK439" s="456"/>
      <c r="AL439" s="457">
        <f t="shared" si="97"/>
        <v>31322.5</v>
      </c>
      <c r="AM439" s="461"/>
      <c r="AN439" s="459">
        <f t="shared" si="92"/>
        <v>12138.61</v>
      </c>
      <c r="AO439" s="466">
        <f t="shared" si="93"/>
        <v>0.38753643546971028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5855.42</v>
      </c>
      <c r="AG441" s="458"/>
      <c r="AH441" s="459">
        <f t="shared" si="88"/>
        <v>602.72984444444319</v>
      </c>
      <c r="AI441" s="460">
        <f t="shared" si="96"/>
        <v>0.11474688713686268</v>
      </c>
      <c r="AJ441" s="465"/>
      <c r="AK441" s="456"/>
      <c r="AL441" s="457">
        <f t="shared" si="97"/>
        <v>4652.8900000000003</v>
      </c>
      <c r="AM441" s="461"/>
      <c r="AN441" s="459">
        <f t="shared" si="92"/>
        <v>1202.5299999999997</v>
      </c>
      <c r="AO441" s="466">
        <f t="shared" si="93"/>
        <v>0.25844797534435582</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793.22</v>
      </c>
      <c r="AG442" s="458"/>
      <c r="AH442" s="459">
        <f t="shared" si="88"/>
        <v>-540.57874011975036</v>
      </c>
      <c r="AI442" s="479">
        <f t="shared" si="96"/>
        <v>-0.40529258564992826</v>
      </c>
      <c r="AJ442" s="465"/>
      <c r="AK442" s="456"/>
      <c r="AL442" s="457">
        <f t="shared" si="97"/>
        <v>893.35</v>
      </c>
      <c r="AM442" s="461"/>
      <c r="AN442" s="459">
        <f t="shared" si="92"/>
        <v>-100.13</v>
      </c>
      <c r="AO442" s="466">
        <f t="shared" si="93"/>
        <v>-0.1120837297811608</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181.67000000000002</v>
      </c>
      <c r="AG443" s="458"/>
      <c r="AH443" s="459">
        <f t="shared" si="88"/>
        <v>-2579.0803854659998</v>
      </c>
      <c r="AI443" s="460">
        <f t="shared" si="96"/>
        <v>-0.93419542709967418</v>
      </c>
      <c r="AJ443" s="465"/>
      <c r="AK443" s="456"/>
      <c r="AL443" s="457">
        <f t="shared" si="97"/>
        <v>1384.8500000000001</v>
      </c>
      <c r="AM443" s="461"/>
      <c r="AN443" s="459">
        <f t="shared" si="92"/>
        <v>-1203.18</v>
      </c>
      <c r="AO443" s="466">
        <f t="shared" si="93"/>
        <v>-0.86881611726901831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801.81</v>
      </c>
      <c r="AG444" s="458"/>
      <c r="AH444" s="459">
        <f t="shared" si="88"/>
        <v>67.129239631305495</v>
      </c>
      <c r="AI444" s="479">
        <f t="shared" si="96"/>
        <v>9.1371985292791863E-2</v>
      </c>
      <c r="AJ444" s="465"/>
      <c r="AK444" s="456"/>
      <c r="AL444" s="457">
        <f t="shared" si="97"/>
        <v>797.78</v>
      </c>
      <c r="AM444" s="461"/>
      <c r="AN444" s="459">
        <f t="shared" si="92"/>
        <v>4.0299999999999727</v>
      </c>
      <c r="AO444" s="466">
        <f t="shared" si="93"/>
        <v>5.0515179623454752E-3</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202.68000000000006</v>
      </c>
      <c r="AG445" s="458"/>
      <c r="AH445" s="459">
        <f t="shared" si="88"/>
        <v>-32.531562151305394</v>
      </c>
      <c r="AI445" s="460">
        <f t="shared" si="96"/>
        <v>-0.13830766588922483</v>
      </c>
      <c r="AJ445" s="465"/>
      <c r="AK445" s="456"/>
      <c r="AL445" s="457">
        <f t="shared" si="97"/>
        <v>-27.62</v>
      </c>
      <c r="AM445" s="461"/>
      <c r="AN445" s="459">
        <f t="shared" si="92"/>
        <v>230.30000000000007</v>
      </c>
      <c r="AO445" s="466">
        <f t="shared" si="93"/>
        <v>-8.3381607530774815</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378.38</v>
      </c>
      <c r="AG446" s="458"/>
      <c r="AH446" s="459">
        <f t="shared" si="88"/>
        <v>-342.00919864980563</v>
      </c>
      <c r="AI446" s="479">
        <f t="shared" si="96"/>
        <v>-0.47475614472124056</v>
      </c>
      <c r="AJ446" s="465"/>
      <c r="AK446" s="456"/>
      <c r="AL446" s="457">
        <f t="shared" si="97"/>
        <v>631.05999999999995</v>
      </c>
      <c r="AM446" s="461"/>
      <c r="AN446" s="459">
        <f t="shared" si="92"/>
        <v>-252.67999999999995</v>
      </c>
      <c r="AO446" s="466">
        <f t="shared" si="93"/>
        <v>-0.40040566665610239</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6582.0099999999993</v>
      </c>
      <c r="AG447" s="458"/>
      <c r="AH447" s="459">
        <f t="shared" si="88"/>
        <v>807.87295644923324</v>
      </c>
      <c r="AI447" s="460">
        <f t="shared" si="96"/>
        <v>0.13991232808572851</v>
      </c>
      <c r="AJ447" s="465"/>
      <c r="AK447" s="456"/>
      <c r="AL447" s="457">
        <f t="shared" si="97"/>
        <v>2402.5699999999997</v>
      </c>
      <c r="AM447" s="461"/>
      <c r="AN447" s="459">
        <f t="shared" si="92"/>
        <v>4179.4399999999996</v>
      </c>
      <c r="AO447" s="466">
        <f t="shared" si="93"/>
        <v>1.7395705432099793</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1.5214456146370786E-3</v>
      </c>
      <c r="Z448" s="457">
        <f t="shared" si="94"/>
        <v>8394.6989070975033</v>
      </c>
      <c r="AA448" s="456"/>
      <c r="AB448" s="464"/>
      <c r="AC448" s="457"/>
      <c r="AD448" s="465"/>
      <c r="AE448" s="464"/>
      <c r="AF448" s="958">
        <f t="shared" si="95"/>
        <v>10241.870000000001</v>
      </c>
      <c r="AG448" s="458"/>
      <c r="AH448" s="962">
        <f t="shared" si="88"/>
        <v>1847.1710929024975</v>
      </c>
      <c r="AI448" s="460">
        <f t="shared" si="96"/>
        <v>0.22004018409055287</v>
      </c>
      <c r="AJ448" s="465"/>
      <c r="AK448" s="456"/>
      <c r="AL448" s="457">
        <f t="shared" si="97"/>
        <v>9504.61</v>
      </c>
      <c r="AM448" s="461"/>
      <c r="AN448" s="459">
        <f t="shared" si="92"/>
        <v>737.26000000000022</v>
      </c>
      <c r="AO448" s="466">
        <f t="shared" si="93"/>
        <v>7.7568674569498397E-2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0.19252439094962071</v>
      </c>
      <c r="Y452" s="472"/>
      <c r="Z452" s="474">
        <f>+SUM(Z434:Z451)</f>
        <v>142682.958224817</v>
      </c>
      <c r="AA452" s="473"/>
      <c r="AB452" s="472"/>
      <c r="AC452" s="474"/>
      <c r="AD452" s="475">
        <f>AF452/AF407</f>
        <v>0.23479518572941782</v>
      </c>
      <c r="AE452" s="472"/>
      <c r="AF452" s="474">
        <f>+SUM(AF434:AF451)</f>
        <v>157757.50000000003</v>
      </c>
      <c r="AG452" s="481"/>
      <c r="AH452" s="494">
        <f>+SUM(AH434:AH451)</f>
        <v>15074.541775182983</v>
      </c>
      <c r="AI452" s="473">
        <f>AH452/Z452</f>
        <v>0.10565061141661311</v>
      </c>
      <c r="AJ452" s="475">
        <f>IF($AL$407=0,0,AL452/$AL$407)</f>
        <v>0.17683113817265192</v>
      </c>
      <c r="AK452" s="473"/>
      <c r="AL452" s="474">
        <f>+SUM(AL434:AL451)</f>
        <v>128359.00000000001</v>
      </c>
      <c r="AM452" s="482"/>
      <c r="AN452" s="477">
        <f>+SUM(AN434:AN451)</f>
        <v>29398.499999999985</v>
      </c>
      <c r="AO452" s="495">
        <f t="shared" si="93"/>
        <v>0.22903341409640135</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3445</v>
      </c>
      <c r="AM455" s="445"/>
      <c r="AN455" s="443">
        <f t="shared" si="100"/>
        <v>164</v>
      </c>
      <c r="AO455" s="446">
        <f t="shared" si="93"/>
        <v>4.7605224963715533E-2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9">
        <f>SUMIFS(BV_Data_An_Cour!$O:$O,BV_Data_An_Cour!$V:$V,$V458)</f>
        <v>5719.9699999999993</v>
      </c>
      <c r="AG458" s="458"/>
      <c r="AH458" s="459">
        <f t="shared" si="98"/>
        <v>2019.9699999999993</v>
      </c>
      <c r="AI458" s="460">
        <f t="shared" si="99"/>
        <v>0.54593783783783767</v>
      </c>
      <c r="AJ458" s="465"/>
      <c r="AK458" s="456"/>
      <c r="AL458" s="457">
        <f>+INDEX('Réel 2024'!$A$2:$AO$501,MATCH($A458,'Réel 2024'!$A$2:$A$501,0),MATCH(F$2,'Réel 2024'!$A$2:$AO$2,0))</f>
        <v>8641.99</v>
      </c>
      <c r="AM458" s="461"/>
      <c r="AN458" s="459">
        <f t="shared" si="100"/>
        <v>-2922.0200000000004</v>
      </c>
      <c r="AO458" s="466">
        <f t="shared" si="93"/>
        <v>-0.33811888234075721</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6423.329999999999</v>
      </c>
      <c r="AG459" s="458"/>
      <c r="AH459" s="459">
        <f t="shared" si="98"/>
        <v>-360.72000000000116</v>
      </c>
      <c r="AI459" s="460">
        <f t="shared" si="99"/>
        <v>-5.3171777920269038E-2</v>
      </c>
      <c r="AJ459" s="465"/>
      <c r="AK459" s="456"/>
      <c r="AL459" s="457">
        <f>+INDEX('Réel 2024'!$A$2:$AO$501,MATCH($A459,'Réel 2024'!$A$2:$A$501,0),MATCH(F$2,'Réel 2024'!$A$2:$AO$2,0))</f>
        <v>6423.3299999999899</v>
      </c>
      <c r="AM459" s="461"/>
      <c r="AN459" s="459">
        <f t="shared" si="100"/>
        <v>9.0949470177292824E-12</v>
      </c>
      <c r="AO459" s="466">
        <f t="shared" si="93"/>
        <v>1.4159239861145694E-15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74.7</v>
      </c>
      <c r="AG460" s="442"/>
      <c r="AH460" s="443">
        <f t="shared" si="98"/>
        <v>-1289.8623407645368</v>
      </c>
      <c r="AI460" s="470">
        <f t="shared" si="99"/>
        <v>-0.94525717311079605</v>
      </c>
      <c r="AJ460" s="469"/>
      <c r="AK460" s="440"/>
      <c r="AL460" s="441">
        <f>+INDEX('Réel 2024'!$A$2:$AO$501,MATCH($A460,'Réel 2024'!$A$2:$A$501,0),MATCH(F$2,'Réel 2024'!$A$2:$AO$2,0))</f>
        <v>254.6</v>
      </c>
      <c r="AM460" s="445"/>
      <c r="AN460" s="443">
        <f t="shared" si="100"/>
        <v>-179.89999999999998</v>
      </c>
      <c r="AO460" s="446">
        <f t="shared" si="93"/>
        <v>-0.70659858601728198</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862.14</v>
      </c>
      <c r="AG461" s="458"/>
      <c r="AH461" s="459">
        <f t="shared" si="98"/>
        <v>-137.86000000000001</v>
      </c>
      <c r="AI461" s="498">
        <f t="shared" si="99"/>
        <v>-0.13786000000000001</v>
      </c>
      <c r="AJ461" s="456"/>
      <c r="AK461" s="456"/>
      <c r="AL461" s="457">
        <f>+INDEX('Réel 2024'!$A$2:$AO$501,MATCH($A461,'Réel 2024'!$A$2:$A$501,0),MATCH(F$2,'Réel 2024'!$A$2:$AO$2,0))</f>
        <v>830.07</v>
      </c>
      <c r="AM461" s="461"/>
      <c r="AN461" s="459">
        <f t="shared" si="100"/>
        <v>32.069999999999936</v>
      </c>
      <c r="AO461" s="466">
        <f t="shared" si="93"/>
        <v>3.8635295818424877E-2</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8.3961430859940747E-2</v>
      </c>
      <c r="Y466" s="472"/>
      <c r="Z466" s="474">
        <f>SUM(Z453:Z465)</f>
        <v>62225.182340764542</v>
      </c>
      <c r="AA466" s="473"/>
      <c r="AB466" s="472"/>
      <c r="AC466" s="474"/>
      <c r="AD466" s="475">
        <f>AF466/AF407</f>
        <v>9.2955705370831504E-2</v>
      </c>
      <c r="AE466" s="472"/>
      <c r="AF466" s="474">
        <f>SUM(AF453:AF465)</f>
        <v>62456.39</v>
      </c>
      <c r="AG466" s="481"/>
      <c r="AH466" s="494">
        <f>SUM(AH453:AH465)</f>
        <v>231.20765923546026</v>
      </c>
      <c r="AI466" s="473">
        <f>IF(Z466=0,0,AH466/Z466)</f>
        <v>3.7156606142075225E-3</v>
      </c>
      <c r="AJ466" s="475">
        <f>IF($AL$407=0,0,AL466/$AL$407)</f>
        <v>8.908450461684965E-2</v>
      </c>
      <c r="AK466" s="473"/>
      <c r="AL466" s="474">
        <f>SUM(AL453:AL465)</f>
        <v>64665.069999999985</v>
      </c>
      <c r="AM466" s="482"/>
      <c r="AN466" s="477">
        <f>SUM(AN453:AN465)</f>
        <v>-2208.6799999999912</v>
      </c>
      <c r="AO466" s="495">
        <f t="shared" ref="AO466:AO483" si="101">IF(AL466=0,0,AN466/AL466)</f>
        <v>-3.415568868942679E-2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0.96110728740116524</v>
      </c>
      <c r="Y468" s="472"/>
      <c r="Z468" s="474">
        <f>Z419+Z433+Z452+Z466</f>
        <v>712292.24651183258</v>
      </c>
      <c r="AA468" s="473"/>
      <c r="AB468" s="472"/>
      <c r="AC468" s="474"/>
      <c r="AD468" s="475">
        <f>AF468/AF407</f>
        <v>0.992799311677242</v>
      </c>
      <c r="AE468" s="472"/>
      <c r="AF468" s="474">
        <f>AF419+AF433+AF452+AF466</f>
        <v>667056</v>
      </c>
      <c r="AG468" s="481"/>
      <c r="AH468" s="494">
        <f t="shared" si="102"/>
        <v>-45236.246511832578</v>
      </c>
      <c r="AI468" s="473">
        <f>AH468/Z468</f>
        <v>-6.3507986691360277E-2</v>
      </c>
      <c r="AJ468" s="475">
        <f>IF($AL$407=0,0,AL468/$AL$407)</f>
        <v>0.93313540471860235</v>
      </c>
      <c r="AK468" s="473"/>
      <c r="AL468" s="474">
        <f>AL419+AL433+AL452+AL466</f>
        <v>677348.62</v>
      </c>
      <c r="AM468" s="482"/>
      <c r="AN468" s="477">
        <f t="shared" si="103"/>
        <v>-10292.619999999995</v>
      </c>
      <c r="AO468" s="454">
        <f t="shared" si="101"/>
        <v>-1.5195454299441838E-2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302.69</v>
      </c>
      <c r="AG469" s="505"/>
      <c r="AH469" s="459">
        <f t="shared" si="102"/>
        <v>302.69</v>
      </c>
      <c r="AI469" s="498" t="e">
        <f>IF(AH469=0,0,AH469/Z469)</f>
        <v>#DIV/0!</v>
      </c>
      <c r="AJ469" s="504"/>
      <c r="AK469" s="502"/>
      <c r="AL469" s="506">
        <f>+INDEX('Réel 2024'!$A$2:$AO$501,MATCH($A469,'Réel 2024'!$A$2:$A$501,0),MATCH(F$2,'Réel 2024'!$A$2:$AO$2,0))</f>
        <v>39288.01</v>
      </c>
      <c r="AM469" s="507"/>
      <c r="AN469" s="459">
        <f t="shared" si="103"/>
        <v>-38985.32</v>
      </c>
      <c r="AO469" s="466">
        <f t="shared" si="101"/>
        <v>-0.99229561385267406</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85942.518391277088</v>
      </c>
      <c r="AA470" s="496"/>
      <c r="AB470" s="459"/>
      <c r="AC470" s="457"/>
      <c r="AD470" s="508"/>
      <c r="AE470" s="509"/>
      <c r="AF470" s="457">
        <f t="shared" ref="AF470:AF476" si="105">+SUMIF($C:$C,$V470,L:L)</f>
        <v>77555</v>
      </c>
      <c r="AG470" s="510"/>
      <c r="AH470" s="459">
        <f t="shared" si="102"/>
        <v>-8387.5183912770881</v>
      </c>
      <c r="AI470" s="479">
        <f>IF(Z470=0,0,AH470/Z470)</f>
        <v>-9.7594514895300022E-2</v>
      </c>
      <c r="AJ470" s="511"/>
      <c r="AK470" s="496"/>
      <c r="AL470" s="512">
        <f t="shared" ref="AL470:AL479" si="106">+SUMIF($C:$C,$V470,Q:Q)</f>
        <v>106078.85</v>
      </c>
      <c r="AM470" s="508"/>
      <c r="AN470" s="459">
        <f t="shared" si="103"/>
        <v>-28523.850000000006</v>
      </c>
      <c r="AO470" s="466">
        <f t="shared" si="101"/>
        <v>-0.26889290372208979</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695</v>
      </c>
      <c r="AM471" s="508"/>
      <c r="AN471" s="459">
        <f t="shared" si="103"/>
        <v>-695</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85242.319999999905</v>
      </c>
      <c r="AM477" s="508"/>
      <c r="AN477" s="459">
        <f t="shared" si="103"/>
        <v>-85242.319999999905</v>
      </c>
      <c r="AO477" s="466">
        <f t="shared" si="101"/>
        <v>-1</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39435.449999999997</v>
      </c>
      <c r="AA480" s="496"/>
      <c r="AB480" s="497"/>
      <c r="AC480" s="457"/>
      <c r="AD480" s="513">
        <f>AF480/499</f>
        <v>78.048096192384776</v>
      </c>
      <c r="AE480" s="496">
        <f>(AF480/399)/(J13+J15+J97)</f>
        <v>1.1091934381408066</v>
      </c>
      <c r="AF480" s="457">
        <f>+SUMIF($C:$C,$V480,L:L)</f>
        <v>38946</v>
      </c>
      <c r="AG480" s="510"/>
      <c r="AH480" s="459">
        <f t="shared" si="102"/>
        <v>-489.44999999999709</v>
      </c>
      <c r="AI480" s="479">
        <f t="shared" si="107"/>
        <v>-1.2411421703061512E-2</v>
      </c>
      <c r="AJ480" s="511"/>
      <c r="AK480" s="496"/>
      <c r="AL480" s="512">
        <f>+INDEX('Réel 2024'!$A$2:$AO$501,MATCH($A480,'Réel 2024'!$A$2:$A$501,0),MATCH(F$2,'Réel 2024'!$A$2:$AO$2,0))</f>
        <v>42466</v>
      </c>
      <c r="AM480" s="508"/>
      <c r="AN480" s="459">
        <f t="shared" si="103"/>
        <v>-3520</v>
      </c>
      <c r="AO480" s="466">
        <f t="shared" si="101"/>
        <v>-8.2889841284792543E-2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0.16917449219827721</v>
      </c>
      <c r="Y481" s="493"/>
      <c r="Z481" s="474">
        <f>SUM(Z469:Z480)</f>
        <v>125377.96839127709</v>
      </c>
      <c r="AA481" s="473"/>
      <c r="AB481" s="493"/>
      <c r="AC481" s="474"/>
      <c r="AD481" s="473">
        <f>AF481/+AF407</f>
        <v>0.17384241058226291</v>
      </c>
      <c r="AE481" s="493"/>
      <c r="AF481" s="474">
        <f>SUM(AF469:AF480)</f>
        <v>116803.69</v>
      </c>
      <c r="AG481" s="481"/>
      <c r="AH481" s="477">
        <f t="shared" si="102"/>
        <v>-8574.2783912770828</v>
      </c>
      <c r="AI481" s="473">
        <f>AH481/Z481</f>
        <v>-6.8387440802347696E-2</v>
      </c>
      <c r="AJ481" s="514"/>
      <c r="AK481" s="515"/>
      <c r="AL481" s="474">
        <f>SUM(AL469:AL480)</f>
        <v>273770.17999999993</v>
      </c>
      <c r="AM481" s="516"/>
      <c r="AN481" s="477">
        <f t="shared" si="103"/>
        <v>-156966.48999999993</v>
      </c>
      <c r="AO481" s="495">
        <f t="shared" si="101"/>
        <v>-0.57335130509831267</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2.7947392121934617E-2</v>
      </c>
      <c r="Z483" s="534">
        <f>Z407-Z468+Z481</f>
        <v>154201.9904261863</v>
      </c>
      <c r="AA483" s="532"/>
      <c r="AB483" s="533"/>
      <c r="AC483" s="534"/>
      <c r="AD483" s="532" t="s">
        <v>219</v>
      </c>
      <c r="AE483" s="533">
        <f>AF483/AF406</f>
        <v>2.5690618295337541E-2</v>
      </c>
      <c r="AF483" s="535">
        <f>AF407-AF468+AF481</f>
        <v>121641.78999999998</v>
      </c>
      <c r="AG483" s="536"/>
      <c r="AH483" s="536">
        <f>AF483-Z483</f>
        <v>-32560.200426186319</v>
      </c>
      <c r="AI483" s="537">
        <f>AH483/Z483</f>
        <v>-0.21115291920808441</v>
      </c>
      <c r="AJ483" s="538" t="s">
        <v>219</v>
      </c>
      <c r="AK483" s="533">
        <f>IF($AL$406=0,0,AL483/$AL$406)</f>
        <v>5.4728486242075866E-2</v>
      </c>
      <c r="AL483" s="535">
        <f>AL407-AL468+AL481</f>
        <v>322306.1599999991</v>
      </c>
      <c r="AM483" s="539"/>
      <c r="AN483" s="535">
        <f t="shared" si="103"/>
        <v>-200664.36999999912</v>
      </c>
      <c r="AO483" s="540">
        <f t="shared" si="101"/>
        <v>-0.62258931073486057</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Avril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3.6038736025844252E-2</v>
      </c>
      <c r="Z488" s="1186">
        <f>Z489+Z415</f>
        <v>198846.63310919324</v>
      </c>
      <c r="AA488" s="1184"/>
      <c r="AB488" s="1185"/>
      <c r="AC488" s="534"/>
      <c r="AD488" s="1184" t="s">
        <v>219</v>
      </c>
      <c r="AE488" s="1185">
        <f>AF488/AF406</f>
        <v>2.979811262185263E-2</v>
      </c>
      <c r="AF488" s="1186">
        <f>AF489+AF415</f>
        <v>141090.24999999997</v>
      </c>
      <c r="AG488" s="536"/>
      <c r="AH488" s="536">
        <f t="shared" ref="AH488" si="108">AF488-Z488</f>
        <v>-57756.383109193266</v>
      </c>
      <c r="AI488" s="537">
        <f>AH488/Z488</f>
        <v>-0.2904569325922523</v>
      </c>
      <c r="AJ488" s="1184" t="s">
        <v>219</v>
      </c>
      <c r="AK488" s="1185">
        <f>IF($AL$406=0,0,AL488/$AL$406)</f>
        <v>6.2093628061377276E-2</v>
      </c>
      <c r="AL488" s="1186">
        <f>AL489+AL415</f>
        <v>365680.83999999909</v>
      </c>
      <c r="AM488" s="539"/>
      <c r="AN488" s="1186">
        <f t="shared" ref="AN488" si="109">AF488-AL488</f>
        <v>-224590.58999999912</v>
      </c>
      <c r="AO488" s="1187">
        <f t="shared" ref="AO488" si="110">IF(AL488=0,0,AN488/AL488)</f>
        <v>-0.61417106239418962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2.7947392121934617E-2</v>
      </c>
      <c r="Z489" s="534">
        <f>Z483</f>
        <v>154201.9904261863</v>
      </c>
      <c r="AA489" s="532"/>
      <c r="AB489" s="533"/>
      <c r="AC489" s="534"/>
      <c r="AD489" s="532" t="s">
        <v>219</v>
      </c>
      <c r="AE489" s="533">
        <f>AF489/AF406</f>
        <v>2.5690618295337541E-2</v>
      </c>
      <c r="AF489" s="534">
        <f>AF483</f>
        <v>121641.78999999998</v>
      </c>
      <c r="AG489" s="535"/>
      <c r="AH489" s="536">
        <f>AF489-Z489</f>
        <v>-32560.200426186319</v>
      </c>
      <c r="AI489" s="537">
        <f>AH489/Z489</f>
        <v>-0.21115291920808441</v>
      </c>
      <c r="AJ489" s="532" t="s">
        <v>219</v>
      </c>
      <c r="AK489" s="533">
        <f>IF($AL$406=0,0,AL489/$AL$406)</f>
        <v>5.4728486242075866E-2</v>
      </c>
      <c r="AL489" s="543">
        <f>AL483</f>
        <v>322306.1599999991</v>
      </c>
      <c r="AM489" s="544"/>
      <c r="AN489" s="545">
        <f>AF489-AL489</f>
        <v>-200664.36999999912</v>
      </c>
      <c r="AO489" s="546">
        <f>IF(AL489=0,0,AN489/AL489)</f>
        <v>-0.62258931073486057</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42648</v>
      </c>
      <c r="AA491" s="456"/>
      <c r="AB491" s="464"/>
      <c r="AC491" s="457"/>
      <c r="AD491" s="456"/>
      <c r="AE491" s="464"/>
      <c r="AF491" s="457">
        <f>SUMIFS(BV_Data_An_Cour!$O:$O,BV_Data_An_Cour!$V:$V,$V491)</f>
        <v>42648</v>
      </c>
      <c r="AG491" s="456"/>
      <c r="AH491" s="459">
        <f t="shared" ref="AH491:AH498" si="111">AF491-Z491</f>
        <v>0</v>
      </c>
      <c r="AI491" s="479">
        <f t="shared" ref="AI491:AI497" si="112">IF(Z491=0,0,AH491/Z491)</f>
        <v>0</v>
      </c>
      <c r="AJ491" s="456"/>
      <c r="AK491" s="456"/>
      <c r="AL491" s="457">
        <f>+INDEX('Réel 2024'!$A$2:$AO$501,MATCH($A491,'Réel 2024'!$A$2:$A$501,0),MATCH(F$2,'Réel 2024'!$A$2:$AO$2,0))</f>
        <v>6315</v>
      </c>
      <c r="AM491" s="461"/>
      <c r="AN491" s="459">
        <f t="shared" ref="AN491:AN498" si="113">AF491-AL491</f>
        <v>36333</v>
      </c>
      <c r="AO491" s="466">
        <f t="shared" ref="AO491:AO498" si="114">IF(AL491=0,0,AN491/AL491)</f>
        <v>5.7534441805225649</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-917.02</v>
      </c>
      <c r="AM493" s="551"/>
      <c r="AN493" s="459">
        <f t="shared" si="113"/>
        <v>917.02</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2024'!$A$2:$AO$501,MATCH($A495,'Réel 2024'!$A$2:$A$501,0),MATCH(F$2,'Réel 2024'!$A$2:$AO$2,0))</f>
        <v>85242.319999999905</v>
      </c>
      <c r="AM495" s="551"/>
      <c r="AN495" s="459">
        <f t="shared" si="113"/>
        <v>-85242.319999999905</v>
      </c>
      <c r="AO495" s="466">
        <f t="shared" si="114"/>
        <v>-1</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3938</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-4354.1000000000004</v>
      </c>
      <c r="AM496" s="551"/>
      <c r="AN496" s="459">
        <f t="shared" si="113"/>
        <v>3275.1000000000004</v>
      </c>
      <c r="AO496" s="466">
        <f t="shared" si="114"/>
        <v>-0.752187593302864</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85242.319999999905</v>
      </c>
      <c r="AM497" s="551"/>
      <c r="AN497" s="459">
        <f t="shared" si="113"/>
        <v>-85242.319999999905</v>
      </c>
      <c r="AO497" s="466">
        <f t="shared" si="114"/>
        <v>-1</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2.0413504381528846E-2</v>
      </c>
      <c r="Z498" s="534">
        <f>Z489-Z491-Z492-Z493-Z497-Z496</f>
        <v>112633.15709285297</v>
      </c>
      <c r="AA498" s="532"/>
      <c r="AB498" s="533"/>
      <c r="AC498" s="534"/>
      <c r="AD498" s="532" t="s">
        <v>219</v>
      </c>
      <c r="AE498" s="533">
        <f>AF498/AF406</f>
        <v>1.6911289152623622E-2</v>
      </c>
      <c r="AF498" s="535">
        <f>AF489-AF491-AF492-AF493-AF497-AF496</f>
        <v>80072.789999999979</v>
      </c>
      <c r="AG498" s="536"/>
      <c r="AH498" s="536">
        <f t="shared" si="111"/>
        <v>-32560.36709285299</v>
      </c>
      <c r="AI498" s="537">
        <f>AH498/Z498</f>
        <v>-0.28908332087336186</v>
      </c>
      <c r="AJ498" s="538" t="s">
        <v>219</v>
      </c>
      <c r="AK498" s="533">
        <f>IF($AL$406=0,0,AL498/$AL$406)</f>
        <v>4.007684846518382E-2</v>
      </c>
      <c r="AL498" s="535">
        <f>AL489-AL491-AL492-AL493-AL497-AL496</f>
        <v>236019.95999999924</v>
      </c>
      <c r="AM498" s="539"/>
      <c r="AN498" s="535">
        <f t="shared" si="113"/>
        <v>-155947.16999999926</v>
      </c>
      <c r="AO498" s="553">
        <f t="shared" si="114"/>
        <v>-0.66073721053083712</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105583</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612"/>
      <c r="AF503" s="612"/>
      <c r="AG503" s="1210"/>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1210"/>
      <c r="AF504" s="1210"/>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3" priority="3" stopIfTrue="1">
      <formula>"esterreur(reference)"</formula>
    </cfRule>
  </conditionalFormatting>
  <conditionalFormatting sqref="D172:D181">
    <cfRule type="expression" dxfId="112" priority="361" stopIfTrue="1">
      <formula>"esterreur(reference)"</formula>
    </cfRule>
  </conditionalFormatting>
  <conditionalFormatting sqref="D400">
    <cfRule type="expression" dxfId="111" priority="10" stopIfTrue="1">
      <formula>"esterreur(reference)"</formula>
    </cfRule>
  </conditionalFormatting>
  <conditionalFormatting sqref="E186">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1">
    <cfRule type="expression" dxfId="107" priority="363" stopIfTrue="1">
      <formula>"esterreur(reference)"</formula>
    </cfRule>
  </conditionalFormatting>
  <conditionalFormatting sqref="F184">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2:G113">
    <cfRule type="expression" dxfId="104" priority="339" stopIfTrue="1">
      <formula>"esterreur(reference)"</formula>
    </cfRule>
  </conditionalFormatting>
  <conditionalFormatting sqref="G172:G181">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0 J360:L360">
    <cfRule type="expression" dxfId="101" priority="30" stopIfTrue="1">
      <formula>"esterreur(reference)"</formula>
    </cfRule>
  </conditionalFormatting>
  <conditionalFormatting sqref="H197:L197">
    <cfRule type="expression" dxfId="100" priority="33" stopIfTrue="1">
      <formula>"esterreur(reference)"</formula>
    </cfRule>
  </conditionalFormatting>
  <conditionalFormatting sqref="H313:L317">
    <cfRule type="expression" dxfId="99" priority="1" stopIfTrue="1">
      <formula>"esterreur(reference)"</formula>
    </cfRule>
  </conditionalFormatting>
  <conditionalFormatting sqref="H396:L399">
    <cfRule type="expression" dxfId="98" priority="27" stopIfTrue="1">
      <formula>"esterreur(reference)"</formula>
    </cfRule>
  </conditionalFormatting>
  <conditionalFormatting sqref="I16:I18 I20 I24:I30">
    <cfRule type="expression" dxfId="97" priority="357" stopIfTrue="1">
      <formula>"esterreur(reference)"</formula>
    </cfRule>
  </conditionalFormatting>
  <conditionalFormatting sqref="I377:L377 J378:L394 H378:H395">
    <cfRule type="expression" dxfId="96" priority="28"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2" stopIfTrue="1">
      <formula>"esterreur(reference)"</formula>
    </cfRule>
  </conditionalFormatting>
  <conditionalFormatting sqref="K395">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4:L244">
    <cfRule type="expression" dxfId="92" priority="118" stopIfTrue="1">
      <formula>"esterreur(reference)"</formula>
    </cfRule>
  </conditionalFormatting>
  <conditionalFormatting sqref="K247:L247">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6:L162">
    <cfRule type="expression" dxfId="88" priority="97" stopIfTrue="1">
      <formula>"esterreur(reference)"</formula>
    </cfRule>
  </conditionalFormatting>
  <conditionalFormatting sqref="L198:L209">
    <cfRule type="expression" dxfId="87" priority="74" stopIfTrue="1">
      <formula>"esterreur(reference)"</formula>
    </cfRule>
  </conditionalFormatting>
  <conditionalFormatting sqref="L211:L228">
    <cfRule type="expression" dxfId="86" priority="76" stopIfTrue="1">
      <formula>"esterreur(reference)"</formula>
    </cfRule>
  </conditionalFormatting>
  <conditionalFormatting sqref="L254:L265">
    <cfRule type="expression" dxfId="85" priority="120" stopIfTrue="1">
      <formula>"esterreur(reference)"</formula>
    </cfRule>
  </conditionalFormatting>
  <conditionalFormatting sqref="L331:L348">
    <cfRule type="expression" dxfId="84" priority="40" stopIfTrue="1">
      <formula>"esterreur(reference)"</formula>
    </cfRule>
  </conditionalFormatting>
  <conditionalFormatting sqref="L356:L357 H357:I357 K357 J357:J358 H359:L359">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7:N209">
    <cfRule type="expression" dxfId="81" priority="2" stopIfTrue="1">
      <formula>"esterreur(reference)"</formula>
    </cfRule>
  </conditionalFormatting>
  <conditionalFormatting sqref="N318:N328">
    <cfRule type="expression" dxfId="80" priority="7" stopIfTrue="1">
      <formula>"esterreur(reference)"</formula>
    </cfRule>
  </conditionalFormatting>
  <conditionalFormatting sqref="O295:P303 O304:Q306 O307:P308 O309:Q317 Q318:Q329 O318:P348 O349:Q349 O352:Q352 O353:P353">
    <cfRule type="expression" dxfId="79" priority="305" stopIfTrue="1">
      <formula>"esterreur(reference)"</formula>
    </cfRule>
  </conditionalFormatting>
  <conditionalFormatting sqref="O197:Q197">
    <cfRule type="expression" dxfId="78" priority="249" stopIfTrue="1">
      <formula>"esterreur(reference)"</formula>
    </cfRule>
  </conditionalFormatting>
  <conditionalFormatting sqref="O243:Q243 O252:Q253 O254:P284 Q282:Q285 O285 O288:Q288 O289:P289">
    <cfRule type="expression" dxfId="77" priority="277" stopIfTrue="1">
      <formula>"esterreur(reference)"</formula>
    </cfRule>
  </conditionalFormatting>
  <conditionalFormatting sqref="O359:Q394">
    <cfRule type="expression" dxfId="76" priority="318" stopIfTrue="1">
      <formula>"esterreur(reference)"</formula>
    </cfRule>
  </conditionalFormatting>
  <conditionalFormatting sqref="O396:Q399">
    <cfRule type="expression" dxfId="75" priority="321" stopIfTrue="1">
      <formula>"esterreur(reference)"</formula>
    </cfRule>
  </conditionalFormatting>
  <conditionalFormatting sqref="P5">
    <cfRule type="expression" dxfId="74" priority="175" stopIfTrue="1">
      <formula>"esterreur(reference)"</formula>
    </cfRule>
  </conditionalFormatting>
  <conditionalFormatting sqref="P175">
    <cfRule type="expression" dxfId="73" priority="271" stopIfTrue="1">
      <formula>"esterreur(reference)"</formula>
    </cfRule>
  </conditionalFormatting>
  <conditionalFormatting sqref="P178">
    <cfRule type="expression" dxfId="72" priority="272" stopIfTrue="1">
      <formula>"esterreur(reference)"</formula>
    </cfRule>
  </conditionalFormatting>
  <conditionalFormatting sqref="P181">
    <cfRule type="expression" dxfId="71" priority="273" stopIfTrue="1">
      <formula>"esterreur(reference)"</formula>
    </cfRule>
  </conditionalFormatting>
  <conditionalFormatting sqref="P395">
    <cfRule type="expression" dxfId="70" priority="323" stopIfTrue="1">
      <formula>"esterreur(reference)"</formula>
    </cfRule>
  </conditionalFormatting>
  <conditionalFormatting sqref="P93:Q96 O97:Q98 O156:P157 O164:Q164 O165:P165">
    <cfRule type="expression" dxfId="69" priority="207" stopIfTrue="1">
      <formula>"esterreur(reference)"</formula>
    </cfRule>
  </conditionalFormatting>
  <conditionalFormatting sqref="P99:Q100">
    <cfRule type="expression" dxfId="68" priority="205" stopIfTrue="1">
      <formula>"esterreur(reference)"</formula>
    </cfRule>
  </conditionalFormatting>
  <conditionalFormatting sqref="P172:Q173 O172:O196 Q174:Q175 P176:Q176 Q177:Q178 P179:Q179 Q180:Q181 O198:P229 O232:Q232 O233:P233">
    <cfRule type="expression" dxfId="67" priority="247" stopIfTrue="1">
      <formula>"esterreur(reference)"</formula>
    </cfRule>
  </conditionalFormatting>
  <conditionalFormatting sqref="P182:Q196">
    <cfRule type="expression" dxfId="66" priority="5" stopIfTrue="1">
      <formula>"esterreur(reference)"</formula>
    </cfRule>
  </conditionalFormatting>
  <conditionalFormatting sqref="P241:Q241">
    <cfRule type="expression" dxfId="65" priority="300" stopIfTrue="1">
      <formula>"esterreur(reference)"</formula>
    </cfRule>
  </conditionalFormatting>
  <conditionalFormatting sqref="P244:Q244">
    <cfRule type="expression" dxfId="64" priority="282" stopIfTrue="1">
      <formula>"esterreur(reference)"</formula>
    </cfRule>
  </conditionalFormatting>
  <conditionalFormatting sqref="P247:Q247">
    <cfRule type="expression" dxfId="63" priority="283" stopIfTrue="1">
      <formula>"esterreur(reference)"</formula>
    </cfRule>
  </conditionalFormatting>
  <conditionalFormatting sqref="Q5:Q14 O13:O14 O16 Q16:Q24 O18:O24 O25:Q26 O27 Q27 O28:Q72 O83:Q85">
    <cfRule type="expression" dxfId="62" priority="174" stopIfTrue="1">
      <formula>"esterreur(reference)"</formula>
    </cfRule>
  </conditionalFormatting>
  <conditionalFormatting sqref="Q75:Q82">
    <cfRule type="expression" dxfId="61" priority="200" stopIfTrue="1">
      <formula>"esterreur(reference)"</formula>
    </cfRule>
  </conditionalFormatting>
  <conditionalFormatting sqref="Q156:Q162">
    <cfRule type="expression" dxfId="60" priority="241" stopIfTrue="1">
      <formula>"esterreur(reference)"</formula>
    </cfRule>
  </conditionalFormatting>
  <conditionalFormatting sqref="Q198:Q209">
    <cfRule type="expression" dxfId="59" priority="250" stopIfTrue="1">
      <formula>"esterreur(reference)"</formula>
    </cfRule>
  </conditionalFormatting>
  <conditionalFormatting sqref="Q211:Q228">
    <cfRule type="expression" dxfId="58" priority="251" stopIfTrue="1">
      <formula>"esterreur(reference)"</formula>
    </cfRule>
  </conditionalFormatting>
  <conditionalFormatting sqref="Q254:Q265">
    <cfRule type="expression" dxfId="57" priority="284" stopIfTrue="1">
      <formula>"esterreur(reference)"</formula>
    </cfRule>
  </conditionalFormatting>
  <conditionalFormatting sqref="Q331:Q348">
    <cfRule type="expression" dxfId="56" priority="307" stopIfTrue="1">
      <formula>"esterreur(reference)"</formula>
    </cfRule>
  </conditionalFormatting>
  <conditionalFormatting sqref="R312">
    <cfRule type="expression" dxfId="55" priority="21" stopIfTrue="1">
      <formula>"esterreur(reference)"</formula>
    </cfRule>
  </conditionalFormatting>
  <conditionalFormatting sqref="S186">
    <cfRule type="expression" dxfId="54" priority="163" stopIfTrue="1">
      <formula>"esterreur(reference)"</formula>
    </cfRule>
  </conditionalFormatting>
  <conditionalFormatting sqref="AG409:AI418 AH420:AI432 AH434:AI451 AH453:AI460 AH461:AH462 AH463:AI465 AH467:AI467 AH491:AI497">
    <cfRule type="cellIs" dxfId="53" priority="22" operator="greaterThan">
      <formula>0</formula>
    </cfRule>
  </conditionalFormatting>
  <conditionalFormatting sqref="AH469:AI476 AH480:AI480">
    <cfRule type="cellIs" dxfId="52" priority="23" operator="lessThan">
      <formula>0</formula>
    </cfRule>
  </conditionalFormatting>
  <conditionalFormatting sqref="AH477:AI479">
    <cfRule type="cellIs" dxfId="51" priority="347" operator="greaterThan">
      <formula>0</formula>
    </cfRule>
  </conditionalFormatting>
  <conditionalFormatting sqref="AO409:AO418">
    <cfRule type="cellIs" dxfId="50" priority="164"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2" workbookViewId="0">
      <selection activeCell="D84" sqref="D84"/>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229" t="str">
        <f>Parametres!$B$1&amp;" "&amp;"2 pager"&amp;" "&amp;Parametres!$B$3&amp;" "&amp;Parametres!$B$4</f>
        <v>Volks 2 pager Avril 2025</v>
      </c>
      <c r="C1" s="1230"/>
      <c r="D1" s="1230"/>
      <c r="E1" s="1230"/>
      <c r="F1" s="1230"/>
      <c r="G1" s="1230"/>
      <c r="H1" s="1230"/>
      <c r="I1" s="1230"/>
      <c r="J1" s="1230"/>
      <c r="K1" s="3"/>
      <c r="L1" s="3"/>
      <c r="M1" s="3"/>
      <c r="N1" s="3"/>
      <c r="O1" s="3"/>
      <c r="P1" s="3"/>
      <c r="Q1" s="3"/>
      <c r="R1" s="3"/>
      <c r="S1" s="3"/>
      <c r="T1" s="3"/>
      <c r="U1" s="3"/>
      <c r="V1" s="3"/>
      <c r="W1" s="3"/>
    </row>
    <row r="2" spans="1:23" ht="14.4">
      <c r="A2" s="3"/>
      <c r="B2" s="33"/>
      <c r="C2" s="3"/>
      <c r="D2" s="3"/>
      <c r="E2" s="3"/>
      <c r="F2" s="3"/>
      <c r="G2" s="3"/>
      <c r="H2" s="3"/>
      <c r="I2" s="3"/>
      <c r="J2" s="3"/>
      <c r="K2" s="3"/>
      <c r="L2" s="3"/>
      <c r="M2" s="3"/>
      <c r="N2" s="3"/>
      <c r="O2" s="3"/>
      <c r="P2" s="3"/>
      <c r="Q2" s="3"/>
      <c r="R2" s="3"/>
      <c r="S2" s="3"/>
      <c r="T2" s="3"/>
      <c r="U2" s="3"/>
      <c r="V2" s="3"/>
      <c r="W2" s="3"/>
    </row>
    <row r="3" spans="1:23" ht="14.4">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 customHeight="1">
      <c r="A4" s="3"/>
      <c r="B4" s="159" t="s">
        <v>290</v>
      </c>
      <c r="C4" s="160">
        <f>+Print_Mois!$J$13+Print_Mois!$J$15</f>
        <v>58</v>
      </c>
      <c r="D4" s="160">
        <f>+Print_Mois!$D$13+Print_Mois!$D$15</f>
        <v>60</v>
      </c>
      <c r="E4" s="160">
        <f>+Print_Mois!$O$13+Print_Mois!$O$15</f>
        <v>73</v>
      </c>
      <c r="F4" s="161">
        <f t="shared" ref="F4:F15" si="0">+IFERROR($C4-D4,"")</f>
        <v>-2</v>
      </c>
      <c r="G4" s="162">
        <f t="shared" ref="G4:G15" si="1">+IFERROR($C4-E4,"")</f>
        <v>-15</v>
      </c>
      <c r="H4" s="163">
        <f t="shared" ref="H4:H15" si="2">+IFERROR(F4/ABS($D4),"")</f>
        <v>-3.3333333333333333E-2</v>
      </c>
      <c r="I4" s="164">
        <f t="shared" ref="I4:I15" si="3">+IFERROR(G4/ABS($E4),"")</f>
        <v>-0.20547945205479451</v>
      </c>
      <c r="J4" s="1226" t="s">
        <v>3921</v>
      </c>
      <c r="K4" s="3"/>
      <c r="L4" s="3"/>
      <c r="M4" s="3"/>
      <c r="N4" s="3"/>
      <c r="O4" s="3"/>
      <c r="P4" s="3"/>
      <c r="Q4" s="3"/>
      <c r="R4" s="3"/>
      <c r="S4" s="3"/>
      <c r="T4" s="3"/>
      <c r="U4" s="3"/>
      <c r="V4" s="3"/>
      <c r="W4" s="3"/>
    </row>
    <row r="5" spans="1:23" ht="14.4">
      <c r="A5" s="3"/>
      <c r="B5" s="165" t="s">
        <v>291</v>
      </c>
      <c r="C5" s="166">
        <f>+Print_Mois!$L$13+Print_Mois!$L$15</f>
        <v>113858.74000000017</v>
      </c>
      <c r="D5" s="166">
        <f>+Print_Mois!$F$13+Print_Mois!$F$15</f>
        <v>136216.99041477643</v>
      </c>
      <c r="E5" s="166">
        <f>+Print_Mois!$Q$13+Print_Mois!$Q$15</f>
        <v>196303.81999999989</v>
      </c>
      <c r="F5" s="167">
        <f t="shared" si="0"/>
        <v>-22358.250414776267</v>
      </c>
      <c r="G5" s="168">
        <f t="shared" si="1"/>
        <v>-82445.079999999725</v>
      </c>
      <c r="H5" s="170">
        <f t="shared" si="2"/>
        <v>-0.16413701658431962</v>
      </c>
      <c r="I5" s="171">
        <f t="shared" si="3"/>
        <v>-0.41998714034194429</v>
      </c>
      <c r="J5" s="1227"/>
      <c r="K5" s="3"/>
      <c r="L5" s="3"/>
      <c r="M5" s="3"/>
      <c r="N5" s="3"/>
      <c r="O5" s="3"/>
      <c r="P5" s="3"/>
      <c r="Q5" s="3"/>
      <c r="R5" s="3"/>
      <c r="S5" s="3"/>
      <c r="T5" s="3"/>
      <c r="U5" s="3"/>
      <c r="V5" s="3"/>
      <c r="W5" s="3"/>
    </row>
    <row r="6" spans="1:23" ht="14.4">
      <c r="A6" s="3"/>
      <c r="B6" s="165" t="s">
        <v>292</v>
      </c>
      <c r="C6" s="166">
        <f t="shared" ref="C6:E6" si="4">+C5/C4</f>
        <v>1963.0817241379339</v>
      </c>
      <c r="D6" s="166">
        <f t="shared" si="4"/>
        <v>2270.2831735796071</v>
      </c>
      <c r="E6" s="166">
        <f t="shared" si="4"/>
        <v>2689.0934246575325</v>
      </c>
      <c r="F6" s="167">
        <f t="shared" si="0"/>
        <v>-307.20144944167328</v>
      </c>
      <c r="G6" s="168">
        <f t="shared" si="1"/>
        <v>-726.01170051959866</v>
      </c>
      <c r="H6" s="170">
        <f t="shared" si="2"/>
        <v>-0.13531415508722719</v>
      </c>
      <c r="I6" s="171">
        <f t="shared" si="3"/>
        <v>-0.26998381456830917</v>
      </c>
      <c r="J6" s="1227"/>
      <c r="K6" s="3"/>
      <c r="L6" s="3"/>
      <c r="M6" s="3"/>
      <c r="N6" s="3"/>
      <c r="O6" s="3"/>
      <c r="P6" s="3"/>
      <c r="Q6" s="3"/>
      <c r="R6" s="3"/>
      <c r="S6" s="3"/>
      <c r="T6" s="3"/>
      <c r="U6" s="3"/>
      <c r="V6" s="3"/>
      <c r="W6" s="3"/>
    </row>
    <row r="7" spans="1:23" ht="14.4">
      <c r="A7" s="3"/>
      <c r="B7" s="165" t="s">
        <v>293</v>
      </c>
      <c r="C7" s="166">
        <f>+Print_Mois!$L$31</f>
        <v>33891.050000000003</v>
      </c>
      <c r="D7" s="166">
        <f>+Print_Mois!$F$31</f>
        <v>45366.379121573766</v>
      </c>
      <c r="E7" s="166">
        <f>+Print_Mois!$Q$31</f>
        <v>48723.01</v>
      </c>
      <c r="F7" s="167">
        <f t="shared" si="0"/>
        <v>-11475.329121573763</v>
      </c>
      <c r="G7" s="168">
        <f t="shared" si="1"/>
        <v>-14831.96</v>
      </c>
      <c r="H7" s="170">
        <f t="shared" si="2"/>
        <v>-0.25294787337605096</v>
      </c>
      <c r="I7" s="171">
        <f t="shared" si="3"/>
        <v>-0.30441386934017417</v>
      </c>
      <c r="J7" s="1227"/>
      <c r="K7" s="3"/>
      <c r="L7" s="3"/>
      <c r="M7" s="3"/>
      <c r="N7" s="3"/>
      <c r="O7" s="3"/>
      <c r="P7" s="3"/>
      <c r="Q7" s="3"/>
      <c r="R7" s="3"/>
      <c r="S7" s="3"/>
      <c r="T7" s="3"/>
      <c r="U7" s="3"/>
      <c r="V7" s="3"/>
      <c r="W7" s="3"/>
    </row>
    <row r="8" spans="1:23" ht="14.4">
      <c r="A8" s="3"/>
      <c r="B8" s="165" t="s">
        <v>294</v>
      </c>
      <c r="C8" s="169">
        <f t="shared" ref="C8:E8" si="5">+C7/C5</f>
        <v>0.29765874802408626</v>
      </c>
      <c r="D8" s="169">
        <f t="shared" si="5"/>
        <v>0.33304493795843365</v>
      </c>
      <c r="E8" s="169">
        <f t="shared" si="5"/>
        <v>0.24820204721436409</v>
      </c>
      <c r="F8" s="172">
        <f t="shared" si="0"/>
        <v>-3.538618993434739E-2</v>
      </c>
      <c r="G8" s="173">
        <f t="shared" si="1"/>
        <v>4.9456700809722171E-2</v>
      </c>
      <c r="H8" s="170">
        <f t="shared" si="2"/>
        <v>-0.1062504962581471</v>
      </c>
      <c r="I8" s="171">
        <f t="shared" si="3"/>
        <v>0.19925984239367703</v>
      </c>
      <c r="J8" s="1227"/>
      <c r="K8" s="3"/>
      <c r="L8" s="3"/>
      <c r="M8" s="3"/>
      <c r="N8" s="3"/>
      <c r="O8" s="3"/>
      <c r="P8" s="3"/>
      <c r="Q8" s="3"/>
      <c r="R8" s="3"/>
      <c r="S8" s="3"/>
      <c r="T8" s="3"/>
      <c r="U8" s="3"/>
      <c r="V8" s="3"/>
      <c r="W8" s="3"/>
    </row>
    <row r="9" spans="1:23" ht="14.4">
      <c r="A9" s="3"/>
      <c r="B9" s="165" t="s">
        <v>295</v>
      </c>
      <c r="C9" s="166">
        <f>+Print_Mois!$L$24</f>
        <v>54047.9</v>
      </c>
      <c r="D9" s="166">
        <f>+Print_Mois!$F$24</f>
        <v>60000</v>
      </c>
      <c r="E9" s="166">
        <f>+Print_Mois!$Q$24</f>
        <v>57270.55</v>
      </c>
      <c r="F9" s="167">
        <f t="shared" si="0"/>
        <v>-5952.0999999999985</v>
      </c>
      <c r="G9" s="168">
        <f t="shared" si="1"/>
        <v>-3222.6500000000015</v>
      </c>
      <c r="H9" s="170">
        <f t="shared" si="2"/>
        <v>-9.9201666666666646E-2</v>
      </c>
      <c r="I9" s="171">
        <f t="shared" si="3"/>
        <v>-5.6270631240663851E-2</v>
      </c>
      <c r="J9" s="1227"/>
      <c r="K9" s="3"/>
      <c r="L9" s="3"/>
      <c r="M9" s="3"/>
      <c r="N9" s="3"/>
      <c r="O9" s="3"/>
      <c r="P9" s="3"/>
      <c r="Q9" s="3"/>
      <c r="R9" s="3"/>
      <c r="S9" s="3"/>
      <c r="T9" s="3"/>
      <c r="U9" s="3"/>
      <c r="V9" s="3"/>
      <c r="W9" s="3"/>
    </row>
    <row r="10" spans="1:23" ht="14.4">
      <c r="A10" s="3"/>
      <c r="B10" s="165" t="s">
        <v>296</v>
      </c>
      <c r="C10" s="166">
        <f t="shared" ref="C10:E10" si="6">+C9/C4</f>
        <v>931.86034482758623</v>
      </c>
      <c r="D10" s="166">
        <f t="shared" si="6"/>
        <v>1000</v>
      </c>
      <c r="E10" s="166">
        <f t="shared" si="6"/>
        <v>784.52808219178087</v>
      </c>
      <c r="F10" s="167">
        <f t="shared" si="0"/>
        <v>-68.139655172413768</v>
      </c>
      <c r="G10" s="168">
        <f t="shared" si="1"/>
        <v>147.33226263580536</v>
      </c>
      <c r="H10" s="170">
        <f t="shared" si="2"/>
        <v>-6.8139655172413771E-2</v>
      </c>
      <c r="I10" s="171">
        <f t="shared" si="3"/>
        <v>0.18779730895571617</v>
      </c>
      <c r="J10" s="1227"/>
      <c r="K10" s="3"/>
      <c r="L10" s="3"/>
      <c r="M10" s="3"/>
      <c r="N10" s="3"/>
      <c r="O10" s="3"/>
      <c r="P10" s="3"/>
      <c r="Q10" s="3"/>
      <c r="R10" s="3"/>
      <c r="S10" s="3"/>
      <c r="T10" s="3"/>
      <c r="U10" s="3"/>
      <c r="V10" s="3"/>
      <c r="W10" s="3"/>
    </row>
    <row r="11" spans="1:23" ht="14.4">
      <c r="A11" s="3"/>
      <c r="B11" s="165" t="s">
        <v>297</v>
      </c>
      <c r="C11" s="166">
        <f>+Print_Mois!$L$32</f>
        <v>10810.05</v>
      </c>
      <c r="D11" s="166">
        <f>+Print_Mois!$F$32</f>
        <v>16800</v>
      </c>
      <c r="E11" s="166">
        <f>+Print_Mois!$Q$32</f>
        <v>17016.150000000001</v>
      </c>
      <c r="F11" s="167">
        <f t="shared" si="0"/>
        <v>-5989.9500000000007</v>
      </c>
      <c r="G11" s="168">
        <f t="shared" si="1"/>
        <v>-6206.1000000000022</v>
      </c>
      <c r="H11" s="170">
        <f t="shared" si="2"/>
        <v>-0.35654464285714288</v>
      </c>
      <c r="I11" s="171">
        <f t="shared" si="3"/>
        <v>-0.36471822356996159</v>
      </c>
      <c r="J11" s="1227"/>
      <c r="K11" s="3"/>
      <c r="L11" s="3"/>
      <c r="M11" s="3"/>
      <c r="N11" s="3"/>
      <c r="O11" s="3"/>
      <c r="P11" s="3"/>
      <c r="Q11" s="3"/>
      <c r="R11" s="3"/>
      <c r="S11" s="3"/>
      <c r="T11" s="3"/>
      <c r="U11" s="3"/>
      <c r="V11" s="3"/>
      <c r="W11" s="3"/>
    </row>
    <row r="12" spans="1:23" ht="14.4">
      <c r="A12" s="3"/>
      <c r="B12" s="165" t="s">
        <v>298</v>
      </c>
      <c r="C12" s="169">
        <f t="shared" ref="C12:E12" si="7">+C11/C9</f>
        <v>0.20000869599003845</v>
      </c>
      <c r="D12" s="169">
        <f t="shared" si="7"/>
        <v>0.28000000000000003</v>
      </c>
      <c r="E12" s="169">
        <f t="shared" si="7"/>
        <v>0.29711867617824522</v>
      </c>
      <c r="F12" s="170">
        <f t="shared" si="0"/>
        <v>-7.9991304009961572E-2</v>
      </c>
      <c r="G12" s="174">
        <f t="shared" si="1"/>
        <v>-9.7109980188206768E-2</v>
      </c>
      <c r="H12" s="170">
        <f t="shared" si="2"/>
        <v>-0.28568322860700557</v>
      </c>
      <c r="I12" s="171">
        <f t="shared" si="3"/>
        <v>-0.32683903091285071</v>
      </c>
      <c r="J12" s="1227"/>
      <c r="K12" s="3"/>
      <c r="L12" s="3"/>
      <c r="M12" s="3"/>
      <c r="N12" s="3"/>
      <c r="O12" s="3"/>
      <c r="P12" s="3"/>
      <c r="Q12" s="3"/>
      <c r="R12" s="3"/>
      <c r="S12" s="3"/>
      <c r="T12" s="3"/>
      <c r="U12" s="3"/>
      <c r="V12" s="3"/>
      <c r="W12" s="3"/>
    </row>
    <row r="13" spans="1:23" ht="14.4">
      <c r="A13" s="3"/>
      <c r="B13" s="165" t="s">
        <v>299</v>
      </c>
      <c r="C13" s="166">
        <f>+Print_Mois!$L$41-C7-C11</f>
        <v>55504.959999999992</v>
      </c>
      <c r="D13" s="166">
        <f>+Print_Mois!$F$41-D7-D11</f>
        <v>56268.383289943362</v>
      </c>
      <c r="E13" s="166">
        <f>+Print_Mois!$Q$41-E7-E11</f>
        <v>60127.179999999986</v>
      </c>
      <c r="F13" s="167">
        <f t="shared" si="0"/>
        <v>-763.42328994337004</v>
      </c>
      <c r="G13" s="168">
        <f t="shared" si="1"/>
        <v>-4622.2199999999939</v>
      </c>
      <c r="H13" s="170">
        <f t="shared" si="2"/>
        <v>-1.3567535537844639E-2</v>
      </c>
      <c r="I13" s="171">
        <f t="shared" si="3"/>
        <v>-7.6874052633101958E-2</v>
      </c>
      <c r="J13" s="1227"/>
      <c r="K13" s="3"/>
      <c r="L13" s="3"/>
      <c r="M13" s="3"/>
      <c r="N13" s="3"/>
      <c r="O13" s="3"/>
      <c r="P13" s="3"/>
      <c r="Q13" s="3"/>
      <c r="R13" s="3"/>
      <c r="S13" s="3"/>
      <c r="T13" s="3"/>
      <c r="U13" s="3"/>
      <c r="V13" s="3"/>
      <c r="W13" s="3"/>
    </row>
    <row r="14" spans="1:23" ht="14.4">
      <c r="A14" s="3"/>
      <c r="B14" s="165" t="s">
        <v>300</v>
      </c>
      <c r="C14" s="166">
        <f t="shared" ref="C14:E14" si="8">+C13/C4</f>
        <v>956.9820689655171</v>
      </c>
      <c r="D14" s="166">
        <f t="shared" si="8"/>
        <v>937.80638816572275</v>
      </c>
      <c r="E14" s="166">
        <f t="shared" si="8"/>
        <v>823.65999999999985</v>
      </c>
      <c r="F14" s="167">
        <f t="shared" si="0"/>
        <v>19.17568079979435</v>
      </c>
      <c r="G14" s="168">
        <f t="shared" si="1"/>
        <v>133.32206896551725</v>
      </c>
      <c r="H14" s="170">
        <f t="shared" si="2"/>
        <v>2.0447377029815833E-2</v>
      </c>
      <c r="I14" s="171">
        <f t="shared" si="3"/>
        <v>0.16186541651350955</v>
      </c>
      <c r="J14" s="1227"/>
      <c r="K14" s="3"/>
      <c r="L14" s="3"/>
      <c r="M14" s="3"/>
      <c r="N14" s="3"/>
      <c r="O14" s="3"/>
      <c r="P14" s="3"/>
      <c r="Q14" s="3"/>
      <c r="R14" s="3"/>
      <c r="S14" s="3"/>
      <c r="T14" s="3"/>
      <c r="U14" s="3"/>
      <c r="V14" s="3"/>
      <c r="W14" s="3"/>
    </row>
    <row r="15" spans="1:23" ht="14.4">
      <c r="A15" s="3"/>
      <c r="B15" s="165" t="s">
        <v>301</v>
      </c>
      <c r="C15" s="166">
        <f>+Print_Mois!$L$83</f>
        <v>101996</v>
      </c>
      <c r="D15" s="166">
        <f>+Print_Mois!$F$83</f>
        <v>114385.51839127709</v>
      </c>
      <c r="E15" s="166">
        <f>+Print_Mois!$Q$83</f>
        <v>142811.85</v>
      </c>
      <c r="F15" s="167">
        <f t="shared" si="0"/>
        <v>-12389.518391277088</v>
      </c>
      <c r="G15" s="168">
        <f t="shared" si="1"/>
        <v>-40815.850000000006</v>
      </c>
      <c r="H15" s="170">
        <f t="shared" si="2"/>
        <v>-0.10831369709665886</v>
      </c>
      <c r="I15" s="171">
        <f t="shared" si="3"/>
        <v>-0.28580156338567148</v>
      </c>
      <c r="J15" s="122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2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27"/>
      <c r="K17" s="3"/>
      <c r="L17" s="3"/>
      <c r="M17" s="3"/>
      <c r="N17" s="3"/>
      <c r="O17" s="3"/>
      <c r="P17" s="3"/>
      <c r="Q17" s="3"/>
      <c r="R17" s="3"/>
      <c r="S17" s="3"/>
      <c r="T17" s="3"/>
      <c r="U17" s="3"/>
      <c r="V17" s="3"/>
      <c r="W17" s="3"/>
    </row>
    <row r="18" spans="1:23" ht="14.4">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28"/>
      <c r="K18" s="3"/>
      <c r="L18" s="3"/>
      <c r="M18" s="3"/>
      <c r="N18" s="3"/>
      <c r="O18" s="3"/>
      <c r="P18" s="3"/>
      <c r="Q18" s="3"/>
      <c r="R18" s="3"/>
      <c r="S18" s="3"/>
      <c r="T18" s="3"/>
      <c r="U18" s="3"/>
      <c r="V18" s="3"/>
      <c r="W18" s="3"/>
    </row>
    <row r="19" spans="1:23" ht="14.4">
      <c r="A19" s="3"/>
      <c r="B19" s="3"/>
      <c r="C19" s="189"/>
      <c r="D19" s="189"/>
      <c r="E19" s="189"/>
      <c r="F19" s="3"/>
      <c r="G19" s="3"/>
      <c r="H19" s="3"/>
      <c r="I19" s="3"/>
      <c r="J19" s="3"/>
      <c r="K19" s="3"/>
      <c r="L19" s="3"/>
      <c r="M19" s="3"/>
      <c r="N19" s="3"/>
      <c r="O19" s="3"/>
      <c r="P19" s="3"/>
      <c r="Q19" s="3"/>
      <c r="R19" s="3"/>
      <c r="S19" s="3"/>
      <c r="T19" s="3"/>
      <c r="U19" s="3"/>
      <c r="V19" s="3"/>
      <c r="W19" s="3"/>
    </row>
    <row r="20" spans="1:23" ht="14.4">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30</v>
      </c>
      <c r="D21" s="160">
        <f>+Print_Mois!$D$97</f>
        <v>29</v>
      </c>
      <c r="E21" s="160">
        <f>+Print_Mois!$O$97</f>
        <v>23</v>
      </c>
      <c r="F21" s="161">
        <f t="shared" ref="F21:F32" si="11">+IFERROR($C21-D21,"")</f>
        <v>1</v>
      </c>
      <c r="G21" s="162">
        <f t="shared" ref="G21:G32" si="12">+IFERROR($C21-E21,"")</f>
        <v>7</v>
      </c>
      <c r="H21" s="163">
        <f t="shared" ref="H21:H32" si="13">+IFERROR(F21/ABS($D21),"")</f>
        <v>3.4482758620689655E-2</v>
      </c>
      <c r="I21" s="164">
        <f t="shared" ref="I21:I32" si="14">+IFERROR(G21/ABS($E21),"")</f>
        <v>0.30434782608695654</v>
      </c>
      <c r="J21" s="1226" t="s">
        <v>3922</v>
      </c>
      <c r="K21" s="3"/>
      <c r="L21" s="3"/>
      <c r="M21" s="3"/>
      <c r="N21" s="3"/>
      <c r="O21" s="3"/>
      <c r="P21" s="3"/>
      <c r="Q21" s="3"/>
      <c r="R21" s="3"/>
      <c r="S21" s="3"/>
      <c r="T21" s="3"/>
      <c r="U21" s="3"/>
      <c r="V21" s="3"/>
      <c r="W21" s="3"/>
    </row>
    <row r="22" spans="1:23" ht="15.75" customHeight="1">
      <c r="A22" s="3"/>
      <c r="B22" s="165" t="s">
        <v>291</v>
      </c>
      <c r="C22" s="166">
        <f>+Print_Mois!$L$97</f>
        <v>23280.859999999971</v>
      </c>
      <c r="D22" s="166">
        <f>+Print_Mois!$F$97</f>
        <v>42200</v>
      </c>
      <c r="E22" s="166">
        <f>+Print_Mois!$Q$97</f>
        <v>37976.469999999899</v>
      </c>
      <c r="F22" s="167">
        <f t="shared" si="11"/>
        <v>-18919.140000000029</v>
      </c>
      <c r="G22" s="168">
        <f t="shared" si="12"/>
        <v>-14695.609999999928</v>
      </c>
      <c r="H22" s="170">
        <f t="shared" si="13"/>
        <v>-0.4483208530805694</v>
      </c>
      <c r="I22" s="171">
        <f t="shared" si="14"/>
        <v>-0.38696619248708392</v>
      </c>
      <c r="J22" s="1227"/>
      <c r="K22" s="3"/>
      <c r="L22" s="3"/>
      <c r="M22" s="3"/>
      <c r="N22" s="3"/>
      <c r="O22" s="3"/>
      <c r="P22" s="3"/>
      <c r="Q22" s="3"/>
      <c r="R22" s="3"/>
      <c r="S22" s="3"/>
      <c r="T22" s="3"/>
      <c r="U22" s="3"/>
      <c r="V22" s="3"/>
      <c r="W22" s="3"/>
    </row>
    <row r="23" spans="1:23" ht="15.75" customHeight="1">
      <c r="A23" s="3"/>
      <c r="B23" s="165" t="s">
        <v>292</v>
      </c>
      <c r="C23" s="166">
        <f t="shared" ref="C23:E23" si="15">+C22/C21</f>
        <v>776.02866666666569</v>
      </c>
      <c r="D23" s="166">
        <f t="shared" si="15"/>
        <v>1455.1724137931035</v>
      </c>
      <c r="E23" s="166">
        <f t="shared" si="15"/>
        <v>1651.150869565213</v>
      </c>
      <c r="F23" s="167">
        <f t="shared" si="11"/>
        <v>-679.1437471264378</v>
      </c>
      <c r="G23" s="168">
        <f t="shared" si="12"/>
        <v>-875.12220289854736</v>
      </c>
      <c r="H23" s="170">
        <f t="shared" si="13"/>
        <v>-0.46671015797788379</v>
      </c>
      <c r="I23" s="171">
        <f t="shared" si="14"/>
        <v>-0.53000741424009767</v>
      </c>
      <c r="J23" s="1227"/>
      <c r="K23" s="3"/>
      <c r="L23" s="3"/>
      <c r="M23" s="3"/>
      <c r="N23" s="3"/>
      <c r="O23" s="3"/>
      <c r="P23" s="3"/>
      <c r="Q23" s="3"/>
      <c r="R23" s="3"/>
      <c r="S23" s="3"/>
      <c r="T23" s="3"/>
      <c r="U23" s="3"/>
      <c r="V23" s="3"/>
      <c r="W23" s="3"/>
    </row>
    <row r="24" spans="1:23" ht="15.75" customHeight="1">
      <c r="A24" s="3"/>
      <c r="B24" s="165" t="s">
        <v>293</v>
      </c>
      <c r="C24" s="166">
        <f>+Print_Mois!$L$112</f>
        <v>8016.61</v>
      </c>
      <c r="D24" s="166">
        <f>+Print_Mois!$F$112</f>
        <v>14667.115902964959</v>
      </c>
      <c r="E24" s="166">
        <f>+Print_Mois!$Q$112</f>
        <v>12859.07</v>
      </c>
      <c r="F24" s="167">
        <f t="shared" si="11"/>
        <v>-6650.5059029649592</v>
      </c>
      <c r="G24" s="168">
        <f t="shared" si="12"/>
        <v>-4842.46</v>
      </c>
      <c r="H24" s="170">
        <f t="shared" si="13"/>
        <v>-0.45342969585592208</v>
      </c>
      <c r="I24" s="171">
        <f t="shared" si="14"/>
        <v>-0.37657933272001787</v>
      </c>
      <c r="J24" s="1227"/>
      <c r="K24" s="3"/>
      <c r="L24" s="3"/>
      <c r="M24" s="3"/>
      <c r="N24" s="3"/>
      <c r="O24" s="3"/>
      <c r="P24" s="3"/>
      <c r="Q24" s="3"/>
      <c r="R24" s="3"/>
      <c r="S24" s="3"/>
      <c r="T24" s="3"/>
      <c r="U24" s="3"/>
      <c r="V24" s="3"/>
      <c r="W24" s="3"/>
    </row>
    <row r="25" spans="1:23" ht="15.75" customHeight="1">
      <c r="A25" s="3"/>
      <c r="B25" s="165" t="s">
        <v>294</v>
      </c>
      <c r="C25" s="169">
        <f t="shared" ref="C25:E25" si="16">+C24/C22</f>
        <v>0.3443433790676122</v>
      </c>
      <c r="D25" s="169">
        <f t="shared" si="16"/>
        <v>0.34756198822191847</v>
      </c>
      <c r="E25" s="169">
        <f t="shared" si="16"/>
        <v>0.33860624750009766</v>
      </c>
      <c r="F25" s="172">
        <f t="shared" si="11"/>
        <v>-3.2186091543062734E-3</v>
      </c>
      <c r="G25" s="173">
        <f t="shared" si="12"/>
        <v>5.7371315675145418E-3</v>
      </c>
      <c r="H25" s="170">
        <f t="shared" si="13"/>
        <v>-9.2605326916566904E-3</v>
      </c>
      <c r="I25" s="171">
        <f t="shared" si="14"/>
        <v>1.6943371865910085E-2</v>
      </c>
      <c r="J25" s="1227"/>
      <c r="K25" s="3"/>
      <c r="L25" s="3"/>
      <c r="M25" s="3"/>
      <c r="N25" s="3"/>
      <c r="O25" s="3"/>
      <c r="P25" s="3"/>
      <c r="Q25" s="3"/>
      <c r="R25" s="3"/>
      <c r="S25" s="3"/>
      <c r="T25" s="3"/>
      <c r="U25" s="3"/>
      <c r="V25" s="3"/>
      <c r="W25" s="3"/>
    </row>
    <row r="26" spans="1:23" ht="15.75" customHeight="1">
      <c r="A26" s="3"/>
      <c r="B26" s="165" t="s">
        <v>295</v>
      </c>
      <c r="C26" s="166">
        <f>+Print_Mois!$L$105</f>
        <v>61369.67</v>
      </c>
      <c r="D26" s="166">
        <f>+Print_Mois!$F$105</f>
        <v>55100</v>
      </c>
      <c r="E26" s="166">
        <f>+Print_Mois!$Q$105</f>
        <v>35925.979999999901</v>
      </c>
      <c r="F26" s="167">
        <f t="shared" si="11"/>
        <v>6269.6699999999983</v>
      </c>
      <c r="G26" s="168">
        <f t="shared" si="12"/>
        <v>25443.690000000097</v>
      </c>
      <c r="H26" s="170">
        <f t="shared" si="13"/>
        <v>0.11378711433756802</v>
      </c>
      <c r="I26" s="171">
        <f t="shared" si="14"/>
        <v>0.70822535669173581</v>
      </c>
      <c r="J26" s="1227"/>
      <c r="K26" s="3"/>
      <c r="L26" s="3"/>
      <c r="M26" s="3"/>
      <c r="N26" s="3"/>
      <c r="O26" s="3"/>
      <c r="P26" s="3"/>
      <c r="Q26" s="3"/>
      <c r="R26" s="3"/>
      <c r="S26" s="3"/>
      <c r="T26" s="3"/>
      <c r="U26" s="3"/>
      <c r="V26" s="3"/>
      <c r="W26" s="3"/>
    </row>
    <row r="27" spans="1:23" ht="15.75" customHeight="1">
      <c r="A27" s="3"/>
      <c r="B27" s="165" t="s">
        <v>296</v>
      </c>
      <c r="C27" s="166">
        <f t="shared" ref="C27:E27" si="17">+C26/C21</f>
        <v>2045.6556666666665</v>
      </c>
      <c r="D27" s="166">
        <f t="shared" si="17"/>
        <v>1900</v>
      </c>
      <c r="E27" s="166">
        <f t="shared" si="17"/>
        <v>1561.9991304347784</v>
      </c>
      <c r="F27" s="167">
        <f t="shared" si="11"/>
        <v>145.65566666666655</v>
      </c>
      <c r="G27" s="168">
        <f t="shared" si="12"/>
        <v>483.65653623188814</v>
      </c>
      <c r="H27" s="170">
        <f t="shared" si="13"/>
        <v>7.6660877192982396E-2</v>
      </c>
      <c r="I27" s="171">
        <f t="shared" si="14"/>
        <v>0.30963944013033068</v>
      </c>
      <c r="J27" s="1227"/>
      <c r="K27" s="3"/>
      <c r="L27" s="3"/>
      <c r="M27" s="3"/>
      <c r="N27" s="3"/>
      <c r="O27" s="3"/>
      <c r="P27" s="3"/>
      <c r="Q27" s="3"/>
      <c r="R27" s="3"/>
      <c r="S27" s="3"/>
      <c r="T27" s="3"/>
      <c r="U27" s="3"/>
      <c r="V27" s="3"/>
      <c r="W27" s="3"/>
    </row>
    <row r="28" spans="1:23" ht="15.75" customHeight="1">
      <c r="A28" s="3"/>
      <c r="B28" s="165" t="s">
        <v>297</v>
      </c>
      <c r="C28" s="166">
        <f>+Print_Mois!$L$113</f>
        <v>18410.93</v>
      </c>
      <c r="D28" s="166">
        <f>+Print_Mois!$F$113</f>
        <v>16530</v>
      </c>
      <c r="E28" s="166">
        <f>+Print_Mois!$Q$113</f>
        <v>10777.44</v>
      </c>
      <c r="F28" s="167">
        <f t="shared" si="11"/>
        <v>1880.9300000000003</v>
      </c>
      <c r="G28" s="168">
        <f t="shared" si="12"/>
        <v>7633.49</v>
      </c>
      <c r="H28" s="170">
        <f t="shared" si="13"/>
        <v>0.11378886872353298</v>
      </c>
      <c r="I28" s="171">
        <f t="shared" si="14"/>
        <v>0.70828415653439025</v>
      </c>
      <c r="J28" s="1227"/>
      <c r="K28" s="3"/>
      <c r="L28" s="3"/>
      <c r="M28" s="3"/>
      <c r="N28" s="3"/>
      <c r="O28" s="3"/>
      <c r="P28" s="3"/>
      <c r="Q28" s="3"/>
      <c r="R28" s="3"/>
      <c r="S28" s="3"/>
      <c r="T28" s="3"/>
      <c r="U28" s="3"/>
      <c r="V28" s="3"/>
      <c r="W28" s="3"/>
    </row>
    <row r="29" spans="1:23" ht="15.75" customHeight="1">
      <c r="A29" s="3"/>
      <c r="B29" s="165" t="s">
        <v>298</v>
      </c>
      <c r="C29" s="169">
        <f t="shared" ref="C29:E29" si="18">+C28/C26</f>
        <v>0.30000047254612905</v>
      </c>
      <c r="D29" s="169">
        <f t="shared" si="18"/>
        <v>0.3</v>
      </c>
      <c r="E29" s="169">
        <f t="shared" si="18"/>
        <v>0.29999014640658461</v>
      </c>
      <c r="F29" s="170">
        <f t="shared" si="11"/>
        <v>4.7254612906000304E-7</v>
      </c>
      <c r="G29" s="174">
        <f t="shared" si="12"/>
        <v>1.0326139544436508E-5</v>
      </c>
      <c r="H29" s="170">
        <f t="shared" si="13"/>
        <v>1.5751537635333435E-6</v>
      </c>
      <c r="I29" s="171">
        <f t="shared" si="14"/>
        <v>3.4421595736152E-5</v>
      </c>
      <c r="J29" s="1227"/>
      <c r="K29" s="3"/>
      <c r="L29" s="3"/>
      <c r="M29" s="3"/>
      <c r="N29" s="3"/>
      <c r="O29" s="3"/>
      <c r="P29" s="3"/>
      <c r="Q29" s="3"/>
      <c r="R29" s="3"/>
      <c r="S29" s="3"/>
      <c r="T29" s="3"/>
      <c r="U29" s="3"/>
      <c r="V29" s="3"/>
      <c r="W29" s="3"/>
    </row>
    <row r="30" spans="1:23" ht="15.75" customHeight="1">
      <c r="A30" s="3"/>
      <c r="B30" s="165" t="s">
        <v>299</v>
      </c>
      <c r="C30" s="166">
        <f>+Print_Mois!$L$122-C24-C28</f>
        <v>17811.760000000002</v>
      </c>
      <c r="D30" s="166">
        <f>+Print_Mois!$F$122-D24-D28</f>
        <v>27142.259393063585</v>
      </c>
      <c r="E30" s="166">
        <f>+Print_Mois!$Q$122-E24-E28</f>
        <v>29102.87999999999</v>
      </c>
      <c r="F30" s="167">
        <f t="shared" si="11"/>
        <v>-9330.4993930635828</v>
      </c>
      <c r="G30" s="168">
        <f t="shared" si="12"/>
        <v>-11291.119999999988</v>
      </c>
      <c r="H30" s="170">
        <f t="shared" si="13"/>
        <v>-0.34376281126574393</v>
      </c>
      <c r="I30" s="171">
        <f t="shared" si="14"/>
        <v>-0.3879725992753979</v>
      </c>
      <c r="J30" s="1227"/>
      <c r="K30" s="3"/>
      <c r="L30" s="3"/>
      <c r="M30" s="3"/>
      <c r="N30" s="3"/>
      <c r="O30" s="3"/>
      <c r="P30" s="3"/>
      <c r="Q30" s="3"/>
      <c r="R30" s="3"/>
      <c r="S30" s="3"/>
      <c r="T30" s="3"/>
      <c r="U30" s="3"/>
      <c r="V30" s="3"/>
      <c r="W30" s="3"/>
    </row>
    <row r="31" spans="1:23" ht="15.75" customHeight="1">
      <c r="A31" s="3"/>
      <c r="B31" s="165" t="s">
        <v>300</v>
      </c>
      <c r="C31" s="166">
        <f t="shared" ref="C31:E31" si="19">+C30/C21</f>
        <v>593.72533333333342</v>
      </c>
      <c r="D31" s="166">
        <f t="shared" si="19"/>
        <v>935.93997907115806</v>
      </c>
      <c r="E31" s="166">
        <f t="shared" si="19"/>
        <v>1265.3426086956517</v>
      </c>
      <c r="F31" s="167">
        <f t="shared" si="11"/>
        <v>-342.21464573782464</v>
      </c>
      <c r="G31" s="168">
        <f t="shared" si="12"/>
        <v>-671.61727536231831</v>
      </c>
      <c r="H31" s="170">
        <f t="shared" si="13"/>
        <v>-0.36563738422355241</v>
      </c>
      <c r="I31" s="171">
        <f t="shared" si="14"/>
        <v>-0.53077899277780505</v>
      </c>
      <c r="J31" s="1227"/>
      <c r="K31" s="3"/>
      <c r="L31" s="3"/>
      <c r="M31" s="3"/>
      <c r="N31" s="3"/>
      <c r="O31" s="3"/>
      <c r="P31" s="3"/>
      <c r="Q31" s="3"/>
      <c r="R31" s="3"/>
      <c r="S31" s="3"/>
      <c r="T31" s="3"/>
      <c r="U31" s="3"/>
      <c r="V31" s="3"/>
      <c r="W31" s="3"/>
    </row>
    <row r="32" spans="1:23" ht="15.75" customHeight="1">
      <c r="A32" s="3"/>
      <c r="B32" s="165" t="s">
        <v>301</v>
      </c>
      <c r="C32" s="166">
        <f>+Print_Mois!$L$163</f>
        <v>14505</v>
      </c>
      <c r="D32" s="166">
        <f>+Print_Mois!$F$163</f>
        <v>10992.449999999999</v>
      </c>
      <c r="E32" s="166">
        <f>+Print_Mois!$Q$163</f>
        <v>6428</v>
      </c>
      <c r="F32" s="167">
        <f t="shared" si="11"/>
        <v>3512.5500000000011</v>
      </c>
      <c r="G32" s="168">
        <f t="shared" si="12"/>
        <v>8077</v>
      </c>
      <c r="H32" s="170">
        <f t="shared" si="13"/>
        <v>0.31954204931566682</v>
      </c>
      <c r="I32" s="171">
        <f t="shared" si="14"/>
        <v>1.2565339141257001</v>
      </c>
      <c r="J32" s="122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2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2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2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377239.64</v>
      </c>
      <c r="D38" s="200">
        <f>+Print_Mois!$E$194</f>
        <v>389538.40950000001</v>
      </c>
      <c r="E38" s="200">
        <f>+Print_Mois!$P$194</f>
        <v>367237.81</v>
      </c>
      <c r="F38" s="201">
        <f t="shared" ref="F38:F47" si="22">+IFERROR($C38-D38,"")</f>
        <v>-12298.769499999995</v>
      </c>
      <c r="G38" s="202">
        <f t="shared" ref="G38:G47" si="23">+IFERROR($C38-E38,"")</f>
        <v>10001.830000000016</v>
      </c>
      <c r="H38" s="163">
        <f t="shared" ref="H38:H47" si="24">+IFERROR(F38/ABS($D38),"")</f>
        <v>-3.1572674735172668E-2</v>
      </c>
      <c r="I38" s="164">
        <f t="shared" ref="I38:I47" si="25">+IFERROR(G38/ABS($E38),"")</f>
        <v>2.7235294753554969E-2</v>
      </c>
      <c r="J38" s="1226" t="s">
        <v>3923</v>
      </c>
      <c r="K38" s="3"/>
      <c r="L38" s="3"/>
      <c r="M38" s="3"/>
      <c r="N38" s="3"/>
      <c r="O38" s="3"/>
      <c r="P38" s="3"/>
      <c r="Q38" s="3"/>
      <c r="R38" s="3"/>
      <c r="S38" s="3"/>
      <c r="T38" s="3"/>
      <c r="U38" s="3"/>
      <c r="V38" s="3"/>
      <c r="W38" s="3"/>
    </row>
    <row r="39" spans="1:23" ht="15.75" customHeight="1">
      <c r="A39" s="3"/>
      <c r="B39" s="159" t="s">
        <v>306</v>
      </c>
      <c r="C39" s="200">
        <f>+Print_Mois!$L$194</f>
        <v>273401.68</v>
      </c>
      <c r="D39" s="200">
        <f>+Print_Mois!$F$194</f>
        <v>281294.06103930873</v>
      </c>
      <c r="E39" s="200">
        <f>+Print_Mois!$Q$194</f>
        <v>260372.17999999988</v>
      </c>
      <c r="F39" s="201">
        <f t="shared" si="22"/>
        <v>-7892.3810393087333</v>
      </c>
      <c r="G39" s="202">
        <f t="shared" si="23"/>
        <v>13029.500000000116</v>
      </c>
      <c r="H39" s="203">
        <f t="shared" si="24"/>
        <v>-2.8057403736674813E-2</v>
      </c>
      <c r="I39" s="204">
        <f t="shared" si="25"/>
        <v>5.004182858552754E-2</v>
      </c>
      <c r="J39" s="1227"/>
      <c r="K39" s="3"/>
      <c r="L39" s="3"/>
      <c r="M39" s="3"/>
      <c r="N39" s="3"/>
      <c r="O39" s="3"/>
      <c r="P39" s="3"/>
      <c r="Q39" s="3"/>
      <c r="R39" s="3"/>
      <c r="S39" s="3"/>
      <c r="T39" s="3"/>
      <c r="U39" s="3"/>
      <c r="V39" s="3"/>
      <c r="W39" s="3"/>
    </row>
    <row r="40" spans="1:23" ht="15.75" customHeight="1">
      <c r="A40" s="3"/>
      <c r="B40" s="165" t="s">
        <v>307</v>
      </c>
      <c r="C40" s="166">
        <f>+Print_Mois!$K$172/Print_Mois!$J$172</f>
        <v>281.04137886597942</v>
      </c>
      <c r="D40" s="166">
        <f>+IFERROR(Print_Mois!$E$172/Print_Mois!$D$172,"")</f>
        <v>340.00000000000006</v>
      </c>
      <c r="E40" s="166">
        <f>+Print_Mois!$P$172/Print_Mois!$O$172</f>
        <v>294.83777624309391</v>
      </c>
      <c r="F40" s="167">
        <f t="shared" si="22"/>
        <v>-58.958621134020632</v>
      </c>
      <c r="G40" s="168">
        <f t="shared" si="23"/>
        <v>-13.796397377114488</v>
      </c>
      <c r="H40" s="170">
        <f t="shared" si="24"/>
        <v>-0.17340770921770771</v>
      </c>
      <c r="I40" s="171">
        <f t="shared" si="25"/>
        <v>-4.6793180822729277E-2</v>
      </c>
      <c r="J40" s="1227"/>
      <c r="K40" s="3"/>
      <c r="L40" s="3"/>
      <c r="M40" s="3"/>
      <c r="N40" s="3"/>
      <c r="O40" s="3"/>
      <c r="P40" s="3"/>
      <c r="Q40" s="3"/>
      <c r="R40" s="3"/>
      <c r="S40" s="3"/>
      <c r="T40" s="3"/>
      <c r="U40" s="3"/>
      <c r="V40" s="3"/>
      <c r="W40" s="3"/>
    </row>
    <row r="41" spans="1:23" ht="15.75" customHeight="1">
      <c r="A41" s="3"/>
      <c r="B41" s="165" t="s">
        <v>308</v>
      </c>
      <c r="C41" s="166">
        <f>+Print_Mois!$K$175/Print_Mois!$J$175</f>
        <v>208.38015625</v>
      </c>
      <c r="D41" s="166">
        <f>+IFERROR(Print_Mois!$E$175/Print_Mois!$D$175,"")</f>
        <v>270</v>
      </c>
      <c r="E41" s="166">
        <f>+Print_Mois!$P$175/Print_Mois!$O$175</f>
        <v>237.80848484848485</v>
      </c>
      <c r="F41" s="167">
        <f t="shared" si="22"/>
        <v>-61.619843750000001</v>
      </c>
      <c r="G41" s="168">
        <f t="shared" si="23"/>
        <v>-29.428328598484853</v>
      </c>
      <c r="H41" s="170">
        <f t="shared" si="24"/>
        <v>-0.22822164351851854</v>
      </c>
      <c r="I41" s="171">
        <f t="shared" si="25"/>
        <v>-0.12374801772625797</v>
      </c>
      <c r="J41" s="1227"/>
      <c r="K41" s="3"/>
      <c r="L41" s="3"/>
      <c r="M41" s="3"/>
      <c r="N41" s="3"/>
      <c r="O41" s="3"/>
      <c r="P41" s="3"/>
      <c r="Q41" s="3"/>
      <c r="R41" s="3"/>
      <c r="S41" s="3"/>
      <c r="T41" s="3"/>
      <c r="U41" s="3"/>
      <c r="V41" s="3"/>
      <c r="W41" s="3"/>
    </row>
    <row r="42" spans="1:23" ht="15.75" customHeight="1">
      <c r="A42" s="3"/>
      <c r="B42" s="165" t="s">
        <v>309</v>
      </c>
      <c r="C42" s="166">
        <f>+Print_Mois!$L$184</f>
        <v>-3279.28</v>
      </c>
      <c r="D42" s="166">
        <f>+Print_Mois!$F$184</f>
        <v>-3962.1963906912711</v>
      </c>
      <c r="E42" s="166">
        <f>+Print_Mois!$Q$184</f>
        <v>-3446.54</v>
      </c>
      <c r="F42" s="167">
        <f t="shared" si="22"/>
        <v>682.91639069127086</v>
      </c>
      <c r="G42" s="168">
        <f t="shared" si="23"/>
        <v>167.25999999999976</v>
      </c>
      <c r="H42" s="170">
        <f t="shared" si="24"/>
        <v>0.17235803664243021</v>
      </c>
      <c r="I42" s="171">
        <f t="shared" si="25"/>
        <v>4.8529829916379837E-2</v>
      </c>
      <c r="J42" s="1227"/>
      <c r="K42" s="3"/>
      <c r="L42" s="3"/>
      <c r="M42" s="3"/>
      <c r="N42" s="3"/>
      <c r="O42" s="3"/>
      <c r="P42" s="3"/>
      <c r="Q42" s="3"/>
      <c r="R42" s="3"/>
      <c r="S42" s="3"/>
      <c r="T42" s="3"/>
      <c r="U42" s="3"/>
      <c r="V42" s="3"/>
      <c r="W42" s="3"/>
    </row>
    <row r="43" spans="1:23" ht="15.75" customHeight="1">
      <c r="A43" s="3"/>
      <c r="B43" s="165" t="s">
        <v>310</v>
      </c>
      <c r="C43" s="166">
        <f>+Print_Mois!$L$210</f>
        <v>126531.64</v>
      </c>
      <c r="D43" s="166">
        <f>+Print_Mois!$F$210</f>
        <v>132182.13183951634</v>
      </c>
      <c r="E43" s="166">
        <f>+Print_Mois!$Q$210</f>
        <v>140404.29999999999</v>
      </c>
      <c r="F43" s="167">
        <f t="shared" si="22"/>
        <v>-5650.4918395163404</v>
      </c>
      <c r="G43" s="168">
        <f t="shared" si="23"/>
        <v>-13872.659999999989</v>
      </c>
      <c r="H43" s="170">
        <f t="shared" si="24"/>
        <v>-4.2747773552151959E-2</v>
      </c>
      <c r="I43" s="171">
        <f t="shared" si="25"/>
        <v>-9.8805093576193825E-2</v>
      </c>
      <c r="J43" s="1227"/>
      <c r="K43" s="3"/>
      <c r="L43" s="3"/>
      <c r="M43" s="3"/>
      <c r="N43" s="3"/>
      <c r="O43" s="3"/>
      <c r="P43" s="3"/>
      <c r="Q43" s="3"/>
      <c r="R43" s="3"/>
      <c r="S43" s="3"/>
      <c r="T43" s="3"/>
      <c r="U43" s="3"/>
      <c r="V43" s="3"/>
      <c r="W43" s="3"/>
    </row>
    <row r="44" spans="1:23" ht="15.75" customHeight="1">
      <c r="A44" s="3"/>
      <c r="B44" s="181" t="s">
        <v>311</v>
      </c>
      <c r="C44" s="166">
        <f>+SUM(Print_Mois!$L$198:$L$204)</f>
        <v>69288.320000000007</v>
      </c>
      <c r="D44" s="166">
        <f>+SUM(Print_Mois!$F$198:$F$204)</f>
        <v>73974.811724923085</v>
      </c>
      <c r="E44" s="166">
        <f>+SUM(Print_Mois!$Q$198:$Q$204)</f>
        <v>81957.81</v>
      </c>
      <c r="F44" s="167">
        <f t="shared" si="22"/>
        <v>-4686.4917249230784</v>
      </c>
      <c r="G44" s="168">
        <f t="shared" si="23"/>
        <v>-12669.489999999991</v>
      </c>
      <c r="H44" s="170">
        <f t="shared" si="24"/>
        <v>-6.3352533323773746E-2</v>
      </c>
      <c r="I44" s="171">
        <f t="shared" si="25"/>
        <v>-0.15458551174073576</v>
      </c>
      <c r="J44" s="1227"/>
      <c r="K44" s="3"/>
      <c r="L44" s="3"/>
      <c r="M44" s="3"/>
      <c r="N44" s="3"/>
      <c r="O44" s="3"/>
      <c r="P44" s="3"/>
      <c r="Q44" s="3"/>
      <c r="R44" s="3"/>
      <c r="S44" s="3"/>
      <c r="T44" s="3"/>
      <c r="U44" s="3"/>
      <c r="V44" s="3"/>
      <c r="W44" s="3"/>
    </row>
    <row r="45" spans="1:23" ht="14.4">
      <c r="A45" s="3"/>
      <c r="B45" s="181" t="s">
        <v>312</v>
      </c>
      <c r="C45" s="166">
        <f>+SUM(Print_Mois!$L$205:$L$209)</f>
        <v>57243.32</v>
      </c>
      <c r="D45" s="166">
        <f>+SUM(Print_Mois!$F$205:$F$209)</f>
        <v>58207.32011459324</v>
      </c>
      <c r="E45" s="166">
        <f>+SUM(Print_Mois!$Q$205:$Q$209)</f>
        <v>58446.49</v>
      </c>
      <c r="F45" s="167">
        <f t="shared" si="22"/>
        <v>-964.00011459324014</v>
      </c>
      <c r="G45" s="168">
        <f t="shared" si="23"/>
        <v>-1203.1699999999983</v>
      </c>
      <c r="H45" s="170">
        <f t="shared" si="24"/>
        <v>-1.6561492827627266E-2</v>
      </c>
      <c r="I45" s="171">
        <f t="shared" si="25"/>
        <v>-2.0585838431016103E-2</v>
      </c>
      <c r="J45" s="1227"/>
      <c r="K45" s="3"/>
      <c r="L45" s="3"/>
      <c r="M45" s="3"/>
      <c r="N45" s="3"/>
      <c r="O45" s="3"/>
      <c r="P45" s="3"/>
      <c r="Q45" s="3"/>
      <c r="R45" s="3"/>
      <c r="S45" s="3"/>
      <c r="T45" s="3"/>
      <c r="U45" s="3"/>
      <c r="V45" s="3"/>
      <c r="W45" s="3"/>
    </row>
    <row r="46" spans="1:23" ht="14.4">
      <c r="A46" s="3"/>
      <c r="B46" s="165" t="s">
        <v>313</v>
      </c>
      <c r="C46" s="169">
        <f t="shared" ref="C46:E46" si="26">+C43/C38</f>
        <v>0.33541448613406588</v>
      </c>
      <c r="D46" s="169">
        <f t="shared" si="26"/>
        <v>0.33933016261267129</v>
      </c>
      <c r="E46" s="169">
        <f t="shared" si="26"/>
        <v>0.38232528398968502</v>
      </c>
      <c r="F46" s="172">
        <f t="shared" si="22"/>
        <v>-3.9156764786054121E-3</v>
      </c>
      <c r="G46" s="173">
        <f t="shared" si="23"/>
        <v>-4.6910797855619135E-2</v>
      </c>
      <c r="H46" s="170">
        <f t="shared" si="24"/>
        <v>-1.1539429470273659E-2</v>
      </c>
      <c r="I46" s="171">
        <f t="shared" si="25"/>
        <v>-0.12269865431365186</v>
      </c>
      <c r="J46" s="1227"/>
      <c r="K46" s="3"/>
      <c r="L46" s="3"/>
      <c r="M46" s="3"/>
      <c r="N46" s="3"/>
      <c r="O46" s="3"/>
      <c r="P46" s="3"/>
      <c r="Q46" s="3"/>
      <c r="R46" s="3"/>
      <c r="S46" s="3"/>
      <c r="T46" s="3"/>
      <c r="U46" s="3"/>
      <c r="V46" s="3"/>
      <c r="W46" s="3"/>
    </row>
    <row r="47" spans="1:23" ht="14.4">
      <c r="A47" s="3"/>
      <c r="B47" s="205" t="s">
        <v>131</v>
      </c>
      <c r="C47" s="184">
        <f>+Print_Mois!$L$213</f>
        <v>12388.42</v>
      </c>
      <c r="D47" s="184">
        <f>+Print_Mois!$F$213</f>
        <v>16083.739355555555</v>
      </c>
      <c r="E47" s="184">
        <f>+Print_Mois!$Q$213</f>
        <v>13105.98</v>
      </c>
      <c r="F47" s="185">
        <f t="shared" si="22"/>
        <v>-3695.3193555555554</v>
      </c>
      <c r="G47" s="186">
        <f t="shared" si="23"/>
        <v>-717.55999999999949</v>
      </c>
      <c r="H47" s="187">
        <f t="shared" si="24"/>
        <v>-0.2297549888035918</v>
      </c>
      <c r="I47" s="188">
        <f t="shared" si="25"/>
        <v>-5.4750579506454268E-2</v>
      </c>
      <c r="J47" s="122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459979.70999999996</v>
      </c>
      <c r="D50" s="200">
        <f>+Print_Mois!$D$314</f>
        <v>499716.22169137711</v>
      </c>
      <c r="E50" s="200">
        <f>+Print_Mois!$O$314</f>
        <v>459022.42</v>
      </c>
      <c r="F50" s="201">
        <f t="shared" ref="F50:F59" si="27">+IFERROR($C50-D50,"")</f>
        <v>-39736.511691377149</v>
      </c>
      <c r="G50" s="202">
        <f t="shared" ref="G50:G59" si="28">+IFERROR($C50-E50,"")</f>
        <v>957.28999999997905</v>
      </c>
      <c r="H50" s="163">
        <f t="shared" ref="H50:H59" si="29">+IFERROR(F50/ABS($D50),"")</f>
        <v>-7.9518154437496477E-2</v>
      </c>
      <c r="I50" s="164">
        <f t="shared" ref="I50:I59" si="30">+IFERROR(G50/ABS($E50),"")</f>
        <v>2.0854972617676912E-3</v>
      </c>
      <c r="J50" s="1226" t="s">
        <v>3924</v>
      </c>
      <c r="K50" s="3"/>
      <c r="L50" s="3"/>
      <c r="M50" s="3"/>
      <c r="N50" s="3"/>
      <c r="O50" s="3"/>
      <c r="P50" s="3"/>
      <c r="Q50" s="3"/>
      <c r="R50" s="3"/>
      <c r="S50" s="3"/>
      <c r="T50" s="3"/>
      <c r="U50" s="3"/>
      <c r="V50" s="3"/>
      <c r="W50" s="3"/>
    </row>
    <row r="51" spans="1:23" ht="15.75" customHeight="1">
      <c r="A51" s="3"/>
      <c r="B51" s="181" t="s">
        <v>315</v>
      </c>
      <c r="C51" s="166">
        <f>+Print_Mois!$J$295</f>
        <v>79614.17</v>
      </c>
      <c r="D51" s="166">
        <f>+Print_Mois!$D$295</f>
        <v>126282.943208</v>
      </c>
      <c r="E51" s="166">
        <f>+Print_Mois!$O$295</f>
        <v>94158.54</v>
      </c>
      <c r="F51" s="167">
        <f t="shared" si="27"/>
        <v>-46668.773207999999</v>
      </c>
      <c r="G51" s="168">
        <f t="shared" si="28"/>
        <v>-14544.369999999995</v>
      </c>
      <c r="H51" s="170">
        <f t="shared" si="29"/>
        <v>-0.36955721827873539</v>
      </c>
      <c r="I51" s="171">
        <f t="shared" si="30"/>
        <v>-0.15446681734869716</v>
      </c>
      <c r="J51" s="1227"/>
      <c r="K51" s="3"/>
      <c r="L51" s="3"/>
      <c r="M51" s="3"/>
      <c r="N51" s="3"/>
      <c r="O51" s="3"/>
      <c r="P51" s="3"/>
      <c r="Q51" s="3"/>
      <c r="R51" s="3"/>
      <c r="S51" s="3"/>
      <c r="T51" s="3"/>
      <c r="U51" s="3"/>
      <c r="V51" s="3"/>
      <c r="W51" s="3"/>
    </row>
    <row r="52" spans="1:23" ht="15.75" customHeight="1">
      <c r="A52" s="3"/>
      <c r="B52" s="181" t="s">
        <v>316</v>
      </c>
      <c r="C52" s="166">
        <f>+Print_Mois!$J$297</f>
        <v>49369.33</v>
      </c>
      <c r="D52" s="166">
        <f>+Print_Mois!$D$297</f>
        <v>33493.949999999997</v>
      </c>
      <c r="E52" s="166">
        <f>+Print_Mois!$O$297</f>
        <v>30357.78</v>
      </c>
      <c r="F52" s="167">
        <f t="shared" si="27"/>
        <v>15875.380000000005</v>
      </c>
      <c r="G52" s="168">
        <f t="shared" si="28"/>
        <v>19011.550000000003</v>
      </c>
      <c r="H52" s="170">
        <f t="shared" si="29"/>
        <v>0.47397753922723374</v>
      </c>
      <c r="I52" s="171">
        <f t="shared" si="30"/>
        <v>0.62624967965378242</v>
      </c>
      <c r="J52" s="1227"/>
      <c r="K52" s="3"/>
      <c r="L52" s="3"/>
      <c r="M52" s="3"/>
      <c r="N52" s="3"/>
      <c r="O52" s="3"/>
      <c r="P52" s="3"/>
      <c r="Q52" s="3"/>
      <c r="R52" s="3"/>
      <c r="S52" s="3"/>
      <c r="T52" s="3"/>
      <c r="U52" s="3"/>
      <c r="V52" s="3"/>
      <c r="W52" s="3"/>
    </row>
    <row r="53" spans="1:23" ht="15.75" customHeight="1">
      <c r="A53" s="3"/>
      <c r="B53" s="181" t="s">
        <v>317</v>
      </c>
      <c r="C53" s="166">
        <f>+Print_Mois!$J$300</f>
        <v>185450.93</v>
      </c>
      <c r="D53" s="166">
        <f>+Print_Mois!$D$300</f>
        <v>181814.997</v>
      </c>
      <c r="E53" s="166">
        <f>+Print_Mois!$O$300</f>
        <v>169839.65</v>
      </c>
      <c r="F53" s="167">
        <f t="shared" si="27"/>
        <v>3635.93299999999</v>
      </c>
      <c r="G53" s="168">
        <f t="shared" si="28"/>
        <v>15611.279999999999</v>
      </c>
      <c r="H53" s="170">
        <f t="shared" si="29"/>
        <v>1.999798179464805E-2</v>
      </c>
      <c r="I53" s="171">
        <f t="shared" si="30"/>
        <v>9.191775889787808E-2</v>
      </c>
      <c r="J53" s="1227"/>
      <c r="K53" s="3"/>
      <c r="L53" s="3"/>
      <c r="M53" s="3"/>
      <c r="N53" s="3"/>
      <c r="O53" s="3"/>
      <c r="P53" s="3"/>
      <c r="Q53" s="3"/>
      <c r="R53" s="3"/>
      <c r="S53" s="3"/>
      <c r="T53" s="3"/>
      <c r="U53" s="3"/>
      <c r="V53" s="3"/>
      <c r="W53" s="3"/>
    </row>
    <row r="54" spans="1:23" ht="15.75" customHeight="1">
      <c r="A54" s="3"/>
      <c r="B54" s="181" t="s">
        <v>318</v>
      </c>
      <c r="C54" s="166">
        <f>+Print_Mois!$J$307</f>
        <v>42082.240000000005</v>
      </c>
      <c r="D54" s="166">
        <f>+Print_Mois!$D$307</f>
        <v>28768.550000000003</v>
      </c>
      <c r="E54" s="166">
        <f>+Print_Mois!$O$307</f>
        <v>33810.449999999997</v>
      </c>
      <c r="F54" s="167">
        <f t="shared" si="27"/>
        <v>13313.690000000002</v>
      </c>
      <c r="G54" s="168">
        <f t="shared" si="28"/>
        <v>8271.7900000000081</v>
      </c>
      <c r="H54" s="170">
        <f t="shared" si="29"/>
        <v>0.46278627181418602</v>
      </c>
      <c r="I54" s="171">
        <f t="shared" si="30"/>
        <v>0.24465187538172395</v>
      </c>
      <c r="J54" s="1227"/>
      <c r="K54" s="3"/>
      <c r="L54" s="3"/>
      <c r="M54" s="3"/>
      <c r="N54" s="3"/>
      <c r="O54" s="3"/>
      <c r="P54" s="3"/>
      <c r="Q54" s="3"/>
      <c r="R54" s="3"/>
      <c r="S54" s="3"/>
      <c r="T54" s="3"/>
      <c r="U54" s="3"/>
      <c r="V54" s="3"/>
      <c r="W54" s="3"/>
    </row>
    <row r="55" spans="1:23" ht="15.75" customHeight="1">
      <c r="A55" s="3"/>
      <c r="B55" s="181" t="s">
        <v>319</v>
      </c>
      <c r="C55" s="166">
        <f t="shared" ref="C55:E55" si="31">+C50-SUM(C51:C54)</f>
        <v>103463.03999999998</v>
      </c>
      <c r="D55" s="166">
        <f t="shared" si="31"/>
        <v>129355.78148337716</v>
      </c>
      <c r="E55" s="166">
        <f t="shared" si="31"/>
        <v>130856</v>
      </c>
      <c r="F55" s="167">
        <f t="shared" si="27"/>
        <v>-25892.741483377176</v>
      </c>
      <c r="G55" s="168">
        <f t="shared" si="28"/>
        <v>-27392.960000000021</v>
      </c>
      <c r="H55" s="170">
        <f t="shared" si="29"/>
        <v>-0.20016686681070006</v>
      </c>
      <c r="I55" s="171">
        <f t="shared" si="30"/>
        <v>-0.2093366754294799</v>
      </c>
      <c r="J55" s="1227"/>
      <c r="K55" s="3"/>
      <c r="L55" s="3"/>
      <c r="M55" s="3"/>
      <c r="N55" s="3"/>
      <c r="O55" s="3"/>
      <c r="P55" s="3"/>
      <c r="Q55" s="3"/>
      <c r="R55" s="3"/>
      <c r="S55" s="3"/>
      <c r="T55" s="3"/>
      <c r="U55" s="3"/>
      <c r="V55" s="3"/>
      <c r="W55" s="3"/>
    </row>
    <row r="56" spans="1:23" ht="15.75" customHeight="1">
      <c r="A56" s="3"/>
      <c r="B56" s="159" t="s">
        <v>306</v>
      </c>
      <c r="C56" s="200">
        <f>+Print_Mois!$L$314</f>
        <v>109673.45999999998</v>
      </c>
      <c r="D56" s="200">
        <f>+Print_Mois!$F$314</f>
        <v>129542.51285422705</v>
      </c>
      <c r="E56" s="200">
        <f>+Print_Mois!$Q$314</f>
        <v>126155.97999999969</v>
      </c>
      <c r="F56" s="201">
        <f t="shared" si="27"/>
        <v>-19869.052854227077</v>
      </c>
      <c r="G56" s="202">
        <f t="shared" si="28"/>
        <v>-16482.519999999713</v>
      </c>
      <c r="H56" s="203">
        <f t="shared" si="29"/>
        <v>-0.15337862772961283</v>
      </c>
      <c r="I56" s="204">
        <f t="shared" si="30"/>
        <v>-0.13065191202192519</v>
      </c>
      <c r="J56" s="1227"/>
      <c r="K56" s="3"/>
      <c r="L56" s="3"/>
      <c r="M56" s="3"/>
      <c r="N56" s="3"/>
      <c r="O56" s="3"/>
      <c r="P56" s="3"/>
      <c r="Q56" s="3"/>
      <c r="R56" s="3"/>
      <c r="S56" s="3"/>
      <c r="T56" s="3"/>
      <c r="U56" s="3"/>
      <c r="V56" s="3"/>
      <c r="W56" s="3"/>
    </row>
    <row r="57" spans="1:23" ht="15.75" customHeight="1">
      <c r="A57" s="3"/>
      <c r="B57" s="165" t="s">
        <v>307</v>
      </c>
      <c r="C57" s="166">
        <f>+Print_Mois!$J$295/Print_Mois!$J$172</f>
        <v>102.59557989690721</v>
      </c>
      <c r="D57" s="166">
        <f>+IFERROR(Print_Mois!$D$295/Print_Mois!$D$172,"")</f>
        <v>193.22200000000001</v>
      </c>
      <c r="E57" s="166">
        <f>+Print_Mois!$O$295/Print_Mois!$O$172</f>
        <v>130.05323204419889</v>
      </c>
      <c r="F57" s="167">
        <f t="shared" si="27"/>
        <v>-90.626420103092798</v>
      </c>
      <c r="G57" s="168">
        <f t="shared" si="28"/>
        <v>-27.457652147291682</v>
      </c>
      <c r="H57" s="170">
        <f t="shared" si="29"/>
        <v>-0.46902744047309725</v>
      </c>
      <c r="I57" s="171">
        <f t="shared" si="30"/>
        <v>-0.21112625742326907</v>
      </c>
      <c r="J57" s="1227"/>
      <c r="K57" s="3"/>
      <c r="L57" s="3"/>
      <c r="M57" s="3"/>
      <c r="N57" s="3"/>
      <c r="O57" s="3"/>
      <c r="P57" s="3"/>
      <c r="Q57" s="3"/>
      <c r="R57" s="3"/>
      <c r="S57" s="3"/>
      <c r="T57" s="3"/>
      <c r="U57" s="3"/>
      <c r="V57" s="3"/>
      <c r="W57" s="3"/>
    </row>
    <row r="58" spans="1:23" ht="15.75" customHeight="1">
      <c r="A58" s="3"/>
      <c r="B58" s="165" t="s">
        <v>308</v>
      </c>
      <c r="C58" s="166">
        <f>+Print_Mois!$J$297/Print_Mois!$J$175</f>
        <v>257.13192708333332</v>
      </c>
      <c r="D58" s="166">
        <f>+IFERROR(Print_Mois!$D$297/Print_Mois!$D$175,"")</f>
        <v>407.46897810218974</v>
      </c>
      <c r="E58" s="166">
        <f>+Print_Mois!$O$297/Print_Mois!$O$175</f>
        <v>306.64424242424241</v>
      </c>
      <c r="F58" s="167">
        <f t="shared" si="27"/>
        <v>-150.33705101885641</v>
      </c>
      <c r="G58" s="168">
        <f t="shared" si="28"/>
        <v>-49.512315340909083</v>
      </c>
      <c r="H58" s="170">
        <f t="shared" si="29"/>
        <v>-0.36895336601834056</v>
      </c>
      <c r="I58" s="171">
        <f t="shared" si="30"/>
        <v>-0.16146500892851848</v>
      </c>
      <c r="J58" s="1227"/>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190.37</v>
      </c>
      <c r="F59" s="185">
        <f t="shared" si="27"/>
        <v>-26.326153846153844</v>
      </c>
      <c r="G59" s="186">
        <f t="shared" si="28"/>
        <v>-76.45</v>
      </c>
      <c r="H59" s="187">
        <f t="shared" si="29"/>
        <v>-0.18771390960947781</v>
      </c>
      <c r="I59" s="188">
        <f t="shared" si="30"/>
        <v>-0.40158638440930822</v>
      </c>
      <c r="J59" s="122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0.45006608928401071</v>
      </c>
      <c r="D62" s="169">
        <f>+Print_Mois!$Z$433/Print_Mois!$Z$407</f>
        <v>0.44609730250153584</v>
      </c>
      <c r="E62" s="169">
        <f>+Print_Mois!$AL$433/Print_Mois!$AL$407</f>
        <v>0.42116724889879242</v>
      </c>
      <c r="F62" s="172">
        <f t="shared" ref="F62:G67" si="32">+IFERROR($C62-D62,"")</f>
        <v>3.9687867824748646E-3</v>
      </c>
      <c r="G62" s="173">
        <f t="shared" si="32"/>
        <v>2.8898840385218283E-2</v>
      </c>
      <c r="H62" s="170">
        <f t="shared" ref="H62:H67" si="33">+IFERROR(F62/ABS($D62),"")</f>
        <v>8.8966841095417751E-3</v>
      </c>
      <c r="I62" s="171">
        <f t="shared" ref="I62:I67" si="34">+IFERROR(G62/ABS($E62),"")</f>
        <v>6.8616067514221057E-2</v>
      </c>
      <c r="J62" s="122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27"/>
      <c r="K63" s="3"/>
      <c r="L63" s="3"/>
      <c r="M63" s="3"/>
      <c r="N63" s="3"/>
      <c r="O63" s="3"/>
      <c r="P63" s="3"/>
      <c r="Q63" s="3"/>
      <c r="R63" s="3"/>
      <c r="S63" s="3"/>
      <c r="T63" s="3"/>
      <c r="U63" s="3"/>
      <c r="V63" s="3"/>
      <c r="W63" s="3"/>
    </row>
    <row r="64" spans="1:23" ht="15.75" customHeight="1">
      <c r="A64" s="3"/>
      <c r="B64" s="181" t="s">
        <v>323</v>
      </c>
      <c r="C64" s="166">
        <f>N17+Print_Mois!$AF$414+Print_Mois!$AF$434</f>
        <v>67805.679999999993</v>
      </c>
      <c r="D64" s="166">
        <f>+Print_Mois!$Z$414+Print_Mois!$Z$434</f>
        <v>39840.263268512084</v>
      </c>
      <c r="E64" s="166">
        <f>+Print_Mois!$AL$414+Print_Mois!$AL$434</f>
        <v>36612.709999999992</v>
      </c>
      <c r="F64" s="167">
        <f t="shared" si="32"/>
        <v>27965.416731487909</v>
      </c>
      <c r="G64" s="168">
        <f t="shared" si="32"/>
        <v>31192.97</v>
      </c>
      <c r="H64" s="170">
        <f t="shared" si="33"/>
        <v>0.70193855253939774</v>
      </c>
      <c r="I64" s="171">
        <f t="shared" si="34"/>
        <v>0.8519710778033095</v>
      </c>
      <c r="J64" s="1227"/>
      <c r="K64" s="3"/>
      <c r="L64" s="3"/>
      <c r="M64" s="3"/>
      <c r="N64" s="3"/>
      <c r="O64" s="3"/>
      <c r="P64" s="3"/>
      <c r="Q64" s="3"/>
      <c r="R64" s="3"/>
      <c r="S64" s="3"/>
      <c r="T64" s="3"/>
      <c r="U64" s="3"/>
      <c r="V64" s="3"/>
      <c r="W64" s="3"/>
    </row>
    <row r="65" spans="1:23" ht="15.75" customHeight="1">
      <c r="A65" s="3"/>
      <c r="B65" s="181" t="s">
        <v>324</v>
      </c>
      <c r="C65" s="166">
        <f>+Print_Mois!$AF$452-Print_Mois!$AF$434</f>
        <v>124127.08000000003</v>
      </c>
      <c r="D65" s="166">
        <f>+Print_Mois!$Z$452-Print_Mois!$Z$434</f>
        <v>120686.69495630491</v>
      </c>
      <c r="E65" s="166">
        <f>+Print_Mois!$AL$452-Print_Mois!$AL$434</f>
        <v>112807.46000000002</v>
      </c>
      <c r="F65" s="167">
        <f t="shared" si="32"/>
        <v>3440.3850436951179</v>
      </c>
      <c r="G65" s="168">
        <f t="shared" si="32"/>
        <v>11319.62000000001</v>
      </c>
      <c r="H65" s="170">
        <f t="shared" si="33"/>
        <v>2.8506746704271939E-2</v>
      </c>
      <c r="I65" s="171">
        <f t="shared" si="34"/>
        <v>0.10034460486921705</v>
      </c>
      <c r="J65" s="1227"/>
      <c r="K65" s="3"/>
      <c r="L65" s="3"/>
      <c r="M65" s="3"/>
      <c r="N65" s="3"/>
      <c r="O65" s="3"/>
      <c r="P65" s="3"/>
      <c r="Q65" s="3"/>
      <c r="R65" s="3"/>
      <c r="S65" s="3"/>
      <c r="T65" s="3"/>
      <c r="U65" s="3"/>
      <c r="V65" s="3"/>
      <c r="W65" s="3"/>
    </row>
    <row r="66" spans="1:23" ht="15.75" customHeight="1">
      <c r="A66" s="3"/>
      <c r="B66" s="181" t="s">
        <v>325</v>
      </c>
      <c r="C66" s="166">
        <f>+Print_Mois!$AF$415</f>
        <v>19448.46</v>
      </c>
      <c r="D66" s="166">
        <f>+Print_Mois!$Z$415</f>
        <v>44644.642683006954</v>
      </c>
      <c r="E66" s="166">
        <f>+Print_Mois!$AL$415</f>
        <v>43374.68</v>
      </c>
      <c r="F66" s="167">
        <f t="shared" si="32"/>
        <v>-25196.182683006955</v>
      </c>
      <c r="G66" s="168">
        <f t="shared" si="32"/>
        <v>-23926.22</v>
      </c>
      <c r="H66" s="170">
        <f t="shared" si="33"/>
        <v>-0.5643719194239929</v>
      </c>
      <c r="I66" s="171">
        <f t="shared" si="34"/>
        <v>-0.55161721077826975</v>
      </c>
      <c r="J66" s="1227"/>
      <c r="K66" s="3"/>
      <c r="L66" s="3"/>
      <c r="M66" s="3"/>
      <c r="N66" s="3"/>
      <c r="O66" s="3"/>
      <c r="P66" s="3"/>
      <c r="Q66" s="3"/>
      <c r="R66" s="3"/>
      <c r="S66" s="3"/>
      <c r="T66" s="3"/>
      <c r="U66" s="3"/>
      <c r="V66" s="3"/>
      <c r="W66" s="3"/>
    </row>
    <row r="67" spans="1:23" ht="14.4">
      <c r="A67" s="3"/>
      <c r="B67" s="183" t="s">
        <v>326</v>
      </c>
      <c r="C67" s="184">
        <f>+Print_Mois!$AF$481-C32-C15</f>
        <v>302.69000000000233</v>
      </c>
      <c r="D67" s="184">
        <f>+Print_Mois!$Z$481-D32-D15</f>
        <v>0</v>
      </c>
      <c r="E67" s="184">
        <f>+Print_Mois!$AL$481-E32-E15</f>
        <v>124530.32999999993</v>
      </c>
      <c r="F67" s="185">
        <f t="shared" si="32"/>
        <v>302.69000000000233</v>
      </c>
      <c r="G67" s="186">
        <f t="shared" si="32"/>
        <v>-124227.63999999993</v>
      </c>
      <c r="H67" s="187" t="str">
        <f t="shared" si="33"/>
        <v/>
      </c>
      <c r="I67" s="188">
        <f t="shared" si="34"/>
        <v>-0.99756934716225354</v>
      </c>
      <c r="J67" s="122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184734.98</v>
      </c>
      <c r="D70" s="166">
        <f>+Print_Mois!$Z$419-Print_Mois!$Z$415+Print_Mois!$Z$434+Print_Mois!$Z$435+Print_Mois!$Z$436</f>
        <v>186380.40412252321</v>
      </c>
      <c r="E70" s="166">
        <f>+Print_Mois!$AL$419-Print_Mois!$AL$415+Print_Mois!$AL$434+Print_Mois!$AL$435+Print_Mois!$AL$436</f>
        <v>181526.48</v>
      </c>
      <c r="F70" s="225">
        <f t="shared" ref="F70:G77" si="35">+IFERROR($C70-D70,"")</f>
        <v>-1645.4241225231963</v>
      </c>
      <c r="G70" s="226">
        <f t="shared" si="35"/>
        <v>3208.5</v>
      </c>
      <c r="H70" s="170">
        <f t="shared" ref="H70:H77" si="36">+IFERROR(F70/ABS($D70),"")</f>
        <v>-8.8283107350787971E-3</v>
      </c>
      <c r="I70" s="171">
        <f t="shared" ref="I70:I77" si="37">+IFERROR(G70/ABS($E70),"")</f>
        <v>1.7675107235043612E-2</v>
      </c>
      <c r="J70" s="1226" t="s">
        <v>3925</v>
      </c>
      <c r="K70" s="3"/>
      <c r="L70" s="3"/>
      <c r="M70" s="3"/>
      <c r="N70" s="3"/>
      <c r="O70" s="3"/>
      <c r="P70" s="3"/>
      <c r="Q70" s="3"/>
      <c r="R70" s="3"/>
      <c r="S70" s="3"/>
      <c r="T70" s="3"/>
      <c r="U70" s="3"/>
      <c r="V70" s="3"/>
      <c r="W70" s="3"/>
    </row>
    <row r="71" spans="1:23" ht="15.75" customHeight="1">
      <c r="A71" s="3"/>
      <c r="B71" s="181" t="s">
        <v>329</v>
      </c>
      <c r="C71" s="169">
        <f>+C70/Print_Mois!$AF$407</f>
        <v>0.27494657268161754</v>
      </c>
      <c r="D71" s="169">
        <f>+D70/Print_Mois!$Z$407</f>
        <v>0.25148605155841119</v>
      </c>
      <c r="E71" s="169">
        <f>+E70/Print_Mois!$AL$407</f>
        <v>0.25007622423729642</v>
      </c>
      <c r="F71" s="172">
        <f t="shared" si="35"/>
        <v>2.3460521123206346E-2</v>
      </c>
      <c r="G71" s="173">
        <f t="shared" si="35"/>
        <v>2.4870348444321122E-2</v>
      </c>
      <c r="H71" s="170">
        <f t="shared" si="36"/>
        <v>9.3287563973532384E-2</v>
      </c>
      <c r="I71" s="171">
        <f t="shared" si="37"/>
        <v>9.9451071449006445E-2</v>
      </c>
      <c r="J71" s="122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462872.56</v>
      </c>
      <c r="D72" s="166">
        <f>+Print_Mois!$Z$466+Print_Mois!$Z$433+Print_Mois!$Z$437+Print_Mois!$Z$439+SUM(Print_Mois!$Z$440:$Z$448)+Print_Mois!$Z$438</f>
        <v>481267.19970630243</v>
      </c>
      <c r="E72" s="166">
        <f>+Print_Mois!$AL$466+Print_Mois!$AL$433+Print_Mois!$AL$437+Print_Mois!$AL$439+SUM(Print_Mois!$AL$440:$AL$448)+Print_Mois!$AL$438</f>
        <v>452447.45999999996</v>
      </c>
      <c r="F72" s="167">
        <f t="shared" si="35"/>
        <v>-18394.639706302434</v>
      </c>
      <c r="G72" s="168">
        <f t="shared" si="35"/>
        <v>10425.100000000035</v>
      </c>
      <c r="H72" s="170">
        <f t="shared" si="36"/>
        <v>-3.822126194664404E-2</v>
      </c>
      <c r="I72" s="171">
        <f t="shared" si="37"/>
        <v>2.3041570395820183E-2</v>
      </c>
      <c r="J72" s="1227"/>
      <c r="K72" s="3"/>
      <c r="L72" s="3"/>
      <c r="M72" s="3"/>
      <c r="N72" s="3"/>
      <c r="O72" s="3"/>
      <c r="P72" s="3"/>
      <c r="Q72" s="3"/>
      <c r="R72" s="3"/>
      <c r="S72" s="3"/>
      <c r="T72" s="3"/>
      <c r="U72" s="3"/>
      <c r="V72" s="3"/>
      <c r="W72" s="3"/>
    </row>
    <row r="73" spans="1:23" ht="15.75" customHeight="1">
      <c r="A73" s="3"/>
      <c r="B73" s="181" t="s">
        <v>331</v>
      </c>
      <c r="C73" s="169">
        <f>+C72/Print_Mois!$AF$407</f>
        <v>0.68890701674564492</v>
      </c>
      <c r="D73" s="169">
        <f>+D72/Print_Mois!$Z$407</f>
        <v>0.64938150750626678</v>
      </c>
      <c r="E73" s="169">
        <f>+E72/Print_Mois!$AL$407</f>
        <v>0.62330494406411219</v>
      </c>
      <c r="F73" s="172">
        <f t="shared" si="35"/>
        <v>3.9525509239378143E-2</v>
      </c>
      <c r="G73" s="173">
        <f t="shared" si="35"/>
        <v>6.560207268153273E-2</v>
      </c>
      <c r="H73" s="170">
        <f t="shared" si="36"/>
        <v>6.0866391762775453E-2</v>
      </c>
      <c r="I73" s="171">
        <f t="shared" si="37"/>
        <v>0.10524876034800873</v>
      </c>
      <c r="J73" s="1227"/>
      <c r="K73" s="3"/>
      <c r="L73" s="3"/>
      <c r="M73" s="3"/>
      <c r="N73" s="3"/>
      <c r="O73" s="3"/>
      <c r="P73" s="3"/>
      <c r="Q73" s="3"/>
      <c r="R73" s="3"/>
      <c r="S73" s="3"/>
      <c r="T73" s="3"/>
      <c r="U73" s="3"/>
      <c r="V73" s="3"/>
      <c r="W73" s="3"/>
    </row>
    <row r="74" spans="1:23" ht="15.75" customHeight="1">
      <c r="A74" s="1"/>
      <c r="B74" s="211" t="s">
        <v>332</v>
      </c>
      <c r="C74" s="200">
        <f>+Print_Mois!$AF$483+Print_Mois!$AF$415</f>
        <v>141090.24999999997</v>
      </c>
      <c r="D74" s="200">
        <f>+Print_Mois!$Z$483+Print_Mois!$Z$415</f>
        <v>198846.63310919324</v>
      </c>
      <c r="E74" s="200">
        <f>+Print_Mois!$AL$483+Print_Mois!$AL$415</f>
        <v>365680.83999999909</v>
      </c>
      <c r="F74" s="201">
        <f t="shared" si="35"/>
        <v>-57756.383109193266</v>
      </c>
      <c r="G74" s="202">
        <f t="shared" si="35"/>
        <v>-224590.58999999912</v>
      </c>
      <c r="H74" s="203">
        <f t="shared" si="36"/>
        <v>-0.2904569325922523</v>
      </c>
      <c r="I74" s="204">
        <f t="shared" si="37"/>
        <v>-0.61417106239418962</v>
      </c>
      <c r="J74" s="1227"/>
      <c r="K74" s="1"/>
      <c r="L74" s="1"/>
      <c r="M74" s="1"/>
      <c r="N74" s="1"/>
      <c r="O74" s="1"/>
      <c r="P74" s="1"/>
      <c r="Q74" s="1"/>
      <c r="R74" s="1"/>
      <c r="S74" s="1"/>
      <c r="T74" s="1"/>
      <c r="U74" s="1"/>
      <c r="V74" s="1"/>
      <c r="W74" s="1"/>
    </row>
    <row r="75" spans="1:23" ht="15.75" customHeight="1">
      <c r="A75" s="3"/>
      <c r="B75" s="165" t="s">
        <v>333</v>
      </c>
      <c r="C75" s="227">
        <f>+C74/Print_Mois!$AF$406</f>
        <v>2.979811262185263E-2</v>
      </c>
      <c r="D75" s="227">
        <f>+D74/Print_Mois!$Z$406</f>
        <v>3.6038736025844252E-2</v>
      </c>
      <c r="E75" s="227">
        <f>+E74/Print_Mois!$AL$406</f>
        <v>6.2093628061377276E-2</v>
      </c>
      <c r="F75" s="172">
        <f t="shared" si="35"/>
        <v>-6.2406234039916221E-3</v>
      </c>
      <c r="G75" s="173">
        <f t="shared" si="35"/>
        <v>-3.229551543952465E-2</v>
      </c>
      <c r="H75" s="170">
        <f t="shared" si="36"/>
        <v>-0.17316432517267863</v>
      </c>
      <c r="I75" s="171">
        <f t="shared" si="37"/>
        <v>-0.5201099766243602</v>
      </c>
      <c r="J75" s="1227"/>
      <c r="K75" s="3"/>
      <c r="L75" s="3"/>
      <c r="M75" s="3"/>
      <c r="N75" s="3"/>
      <c r="O75" s="3"/>
      <c r="P75" s="3"/>
      <c r="Q75" s="3"/>
      <c r="R75" s="3"/>
      <c r="S75" s="3"/>
      <c r="T75" s="3"/>
      <c r="U75" s="3"/>
      <c r="V75" s="3"/>
      <c r="W75" s="3"/>
    </row>
    <row r="76" spans="1:23" ht="15.75" customHeight="1">
      <c r="A76" s="1"/>
      <c r="B76" s="211" t="s">
        <v>334</v>
      </c>
      <c r="C76" s="200">
        <f>N9+Print_Mois!$AF$498</f>
        <v>80072.789999999979</v>
      </c>
      <c r="D76" s="200">
        <f>+Print_Mois!$Z$498</f>
        <v>112633.15709285297</v>
      </c>
      <c r="E76" s="200">
        <f>+Print_Mois!$AL$498</f>
        <v>236019.95999999924</v>
      </c>
      <c r="F76" s="201">
        <f t="shared" si="35"/>
        <v>-32560.36709285299</v>
      </c>
      <c r="G76" s="202">
        <f t="shared" si="35"/>
        <v>-155947.16999999926</v>
      </c>
      <c r="H76" s="203">
        <f t="shared" si="36"/>
        <v>-0.28908332087336186</v>
      </c>
      <c r="I76" s="204">
        <f t="shared" si="37"/>
        <v>-0.66073721053083712</v>
      </c>
      <c r="J76" s="1227"/>
      <c r="K76" s="1"/>
      <c r="L76" s="1"/>
      <c r="M76" s="1"/>
      <c r="N76" s="1"/>
      <c r="O76" s="1"/>
      <c r="P76" s="1"/>
      <c r="Q76" s="1"/>
      <c r="R76" s="1"/>
      <c r="S76" s="1"/>
      <c r="T76" s="1"/>
      <c r="U76" s="1"/>
      <c r="V76" s="1"/>
      <c r="W76" s="1"/>
    </row>
    <row r="77" spans="1:23" ht="15.75" customHeight="1">
      <c r="A77" s="3"/>
      <c r="B77" s="183" t="s">
        <v>335</v>
      </c>
      <c r="C77" s="228">
        <f>+C76/Print_Mois!$AF$406</f>
        <v>1.6911289152623622E-2</v>
      </c>
      <c r="D77" s="228">
        <f>+D76/Print_Mois!$Z$406</f>
        <v>2.0413504381528846E-2</v>
      </c>
      <c r="E77" s="228">
        <f>+E76/Print_Mois!$AL$406</f>
        <v>4.007684846518382E-2</v>
      </c>
      <c r="F77" s="229">
        <f t="shared" si="35"/>
        <v>-3.5022152289052241E-3</v>
      </c>
      <c r="G77" s="230">
        <f t="shared" si="35"/>
        <v>-2.3165559312560199E-2</v>
      </c>
      <c r="H77" s="187">
        <f t="shared" si="36"/>
        <v>-0.17156364548921854</v>
      </c>
      <c r="I77" s="188">
        <f t="shared" si="37"/>
        <v>-0.5780284677994314</v>
      </c>
      <c r="J77" s="122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107226</v>
      </c>
      <c r="D80" s="1009">
        <v>0.02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33864.249999999971</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22724</v>
      </c>
      <c r="D83" s="1009">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57348.789999999979</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Avril 2025</v>
      </c>
      <c r="D86" s="977" t="s">
        <v>3944</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Avril 2025</v>
      </c>
      <c r="C87" s="974">
        <f>+C76</f>
        <v>80072.789999999979</v>
      </c>
      <c r="D87" s="965">
        <f>+Print_AAD!AF498</f>
        <v>156030.21000000089</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Avril 2025</v>
      </c>
      <c r="C88" s="975">
        <f>+D76</f>
        <v>112633.15709285297</v>
      </c>
      <c r="D88" s="966">
        <f>+Print_AAD!Z498</f>
        <v>49295.380026204897</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Avril 2024</v>
      </c>
      <c r="C89" s="978">
        <f>+E76</f>
        <v>236019.95999999924</v>
      </c>
      <c r="D89" s="968">
        <f>+Print_AAD!AL498</f>
        <v>332417.27999999723</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J10" sqref="J10"/>
    </sheetView>
  </sheetViews>
  <sheetFormatPr baseColWidth="10" defaultColWidth="11" defaultRowHeight="13.8"/>
  <cols>
    <col min="1" max="1" width="2.5" style="1163" customWidth="1"/>
    <col min="2" max="2" width="11" style="1168"/>
    <col min="3" max="3" width="23" style="1169" customWidth="1"/>
    <col min="4" max="4" width="11.59765625" style="1169" customWidth="1"/>
    <col min="5" max="5" width="16" style="1169" customWidth="1"/>
    <col min="6" max="6" width="18.09765625" style="1169" bestFit="1" customWidth="1"/>
    <col min="7" max="7" width="10.8984375" style="1170" bestFit="1" customWidth="1"/>
    <col min="8" max="8" width="12.09765625" style="1169" customWidth="1"/>
    <col min="9" max="9" width="16.8984375" style="1169" customWidth="1"/>
    <col min="10" max="10" width="25.5" style="1171" customWidth="1"/>
    <col min="11" max="16384" width="11" style="1163"/>
  </cols>
  <sheetData>
    <row r="1" spans="2:10" ht="21">
      <c r="B1" s="1231" t="s">
        <v>3899</v>
      </c>
      <c r="C1" s="1232"/>
      <c r="D1" s="1232"/>
      <c r="E1" s="1232"/>
      <c r="F1" s="1232"/>
      <c r="G1" s="1232"/>
      <c r="H1" s="1232"/>
      <c r="I1" s="1232"/>
      <c r="J1" s="1233"/>
    </row>
    <row r="2" spans="2:10" ht="14.4">
      <c r="B2" s="1164" t="s">
        <v>3900</v>
      </c>
      <c r="C2" s="1165" t="s">
        <v>257</v>
      </c>
      <c r="D2" s="1165" t="s">
        <v>9</v>
      </c>
      <c r="E2" s="1165" t="s">
        <v>253</v>
      </c>
      <c r="F2" s="1165" t="s">
        <v>254</v>
      </c>
      <c r="G2" s="1166" t="s">
        <v>3901</v>
      </c>
      <c r="H2" s="1165" t="s">
        <v>3902</v>
      </c>
      <c r="I2" s="1165" t="s">
        <v>3903</v>
      </c>
      <c r="J2" s="1167" t="s">
        <v>3904</v>
      </c>
    </row>
    <row r="3" spans="2:10">
      <c r="C3" s="1197"/>
      <c r="E3" s="1197"/>
      <c r="F3" s="1197"/>
      <c r="H3" s="1176" t="s">
        <v>3909</v>
      </c>
      <c r="I3" s="1176" t="s">
        <v>3908</v>
      </c>
      <c r="J3" s="1177" t="s">
        <v>3911</v>
      </c>
    </row>
    <row r="4" spans="2:10">
      <c r="C4" s="1197"/>
      <c r="E4" s="1197"/>
      <c r="F4" s="1197"/>
      <c r="H4" s="1205" t="s">
        <v>3941</v>
      </c>
      <c r="I4" s="1205" t="s">
        <v>3942</v>
      </c>
      <c r="J4" s="1206" t="s">
        <v>3943</v>
      </c>
    </row>
    <row r="5" spans="2:10">
      <c r="C5" s="1197"/>
      <c r="E5" s="1197"/>
      <c r="F5" s="1197"/>
      <c r="H5" s="1191" t="s">
        <v>3916</v>
      </c>
      <c r="I5" s="1191" t="s">
        <v>3917</v>
      </c>
      <c r="J5" s="1192" t="s">
        <v>3918</v>
      </c>
    </row>
    <row r="6" spans="2:10">
      <c r="C6" s="1199"/>
      <c r="E6" s="1197"/>
      <c r="F6" s="1197"/>
      <c r="H6" s="1199" t="s">
        <v>3926</v>
      </c>
      <c r="I6" s="1199" t="s">
        <v>3927</v>
      </c>
      <c r="J6" s="1177" t="s">
        <v>3910</v>
      </c>
    </row>
    <row r="7" spans="2:10">
      <c r="C7" s="1199"/>
      <c r="E7" s="1197"/>
      <c r="F7" s="1199"/>
      <c r="H7" s="1176" t="s">
        <v>3913</v>
      </c>
      <c r="I7" s="1176" t="s">
        <v>3912</v>
      </c>
      <c r="J7" s="1177" t="s">
        <v>3910</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16" workbookViewId="0">
      <selection activeCell="K47" sqref="K47"/>
    </sheetView>
  </sheetViews>
  <sheetFormatPr baseColWidth="10" defaultColWidth="11" defaultRowHeight="13.8"/>
  <cols>
    <col min="1" max="1" width="4.69921875" style="1079" customWidth="1"/>
    <col min="2" max="2" width="5.5" style="1079" customWidth="1"/>
    <col min="3" max="3" width="20" style="1079" customWidth="1"/>
    <col min="4" max="4" width="1.69921875" style="1079" customWidth="1"/>
    <col min="5" max="7" width="11.09765625" style="1082" customWidth="1"/>
    <col min="8" max="8" width="8" style="1082" customWidth="1"/>
    <col min="9" max="9" width="1.69921875" style="1082" customWidth="1"/>
    <col min="10" max="12" width="11.09765625" style="1082" customWidth="1"/>
    <col min="13" max="13" width="8" style="1082" customWidth="1"/>
    <col min="14" max="14" width="11" style="1079"/>
    <col min="15" max="15" width="10" style="1079" customWidth="1"/>
    <col min="16" max="16" width="11" style="1079"/>
    <col min="17" max="17" width="6.3984375" style="1079" customWidth="1"/>
    <col min="18" max="16384" width="11" style="1079"/>
  </cols>
  <sheetData>
    <row r="1" spans="1:17" ht="30.75" customHeight="1">
      <c r="C1" s="1236" t="str">
        <f>"Analyse Wholesale "&amp;Parametres!B1</f>
        <v>Analyse Wholesale Volks</v>
      </c>
      <c r="D1" s="1236"/>
      <c r="E1" s="1236"/>
      <c r="F1" s="1236"/>
      <c r="G1" s="1236"/>
      <c r="H1" s="1236"/>
      <c r="I1" s="1236"/>
      <c r="J1" s="1236"/>
      <c r="K1" s="1236"/>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37" t="str">
        <f>CONCATENATE("Pièces Wholesale ",Parametres!B3," ",Parametres!B4)</f>
        <v>Pièces Wholesale Avril 2025</v>
      </c>
      <c r="F4" s="1238"/>
      <c r="G4" s="1238"/>
      <c r="H4" s="1239"/>
      <c r="J4" s="1240" t="str">
        <f>CONCATENATE("Pièces Wholesale AAD ",Parametres!B4)</f>
        <v>Pièces Wholesale AAD 2025</v>
      </c>
      <c r="K4" s="1241"/>
      <c r="L4" s="1241"/>
      <c r="M4" s="1242"/>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0</v>
      </c>
      <c r="F6" s="1091">
        <f>SUMIF(A37:A48,"X",F37:F48)</f>
        <v>0</v>
      </c>
      <c r="G6" s="1090">
        <f>E6-F6</f>
        <v>0</v>
      </c>
      <c r="H6" s="1092" t="e">
        <f>G6/F6</f>
        <v>#DIV/0!</v>
      </c>
      <c r="J6" s="1090">
        <f>SUMIF($B$37:$B$48,"X",$E$37:$E$48)</f>
        <v>1060</v>
      </c>
      <c r="K6" s="1091">
        <f>SUMIF($B$37:$B$48,"X",$F$37:$F$48)</f>
        <v>0</v>
      </c>
      <c r="L6" s="1090">
        <f>J6-K6</f>
        <v>1060</v>
      </c>
      <c r="M6" s="1092" t="e">
        <f>L6/K6</f>
        <v>#DIV/0!</v>
      </c>
    </row>
    <row r="7" spans="1:17">
      <c r="A7" s="1093" t="str">
        <f>B7&amp;C7</f>
        <v>piècesVentes de Gros</v>
      </c>
      <c r="B7" s="1093" t="s">
        <v>3868</v>
      </c>
      <c r="C7" s="1094" t="s">
        <v>187</v>
      </c>
      <c r="D7" s="1095"/>
      <c r="E7" s="1096">
        <f>-SUMIFS(BV_Data_An_Cour!$O:$O,BV_Data_An_Cour!$X:$X,"Oui",BV_Data_An_Cour!$U:$U,$B7,BV_Data_An_Cour!$V:$V,$C7)</f>
        <v>185450.93</v>
      </c>
      <c r="F7" s="1097">
        <f>+INDEX('Budget original'!$A$2:$AO$501,MATCH($A7,'Budget original'!$A$2:$A$501,0),MATCH(F$2,'Budget original'!$A$2:$AO$2,0))</f>
        <v>181814.997</v>
      </c>
      <c r="G7" s="1098">
        <f>E7-F7</f>
        <v>3635.93299999999</v>
      </c>
      <c r="H7" s="1099">
        <f>G7/F7</f>
        <v>1.999798179464805E-2</v>
      </c>
      <c r="J7" s="1096">
        <f>-SUMIFS(BV_Data_An_Cour!$P:$P,BV_Data_An_Cour!$X:$X,"Oui",BV_Data_An_Cour!$U:$U,$B7,BV_Data_An_Cour!$V:$V,$C7)</f>
        <v>801606.44</v>
      </c>
      <c r="K7" s="1097" cm="1">
        <f t="array" ref="K7">+SUMPRODUCT(('Budget original'!$A$8:$A$501=$A7)*('Budget original'!$C$3:$AO$3=N$2),'Budget original'!$C$8:$AO$501)</f>
        <v>647341.30799999996</v>
      </c>
      <c r="L7" s="1098">
        <f t="shared" ref="L7:L10" si="0">J7-K7</f>
        <v>154265.13199999998</v>
      </c>
      <c r="M7" s="1099">
        <f>L7/K7</f>
        <v>0.23830571306597353</v>
      </c>
    </row>
    <row r="8" spans="1:17">
      <c r="A8" s="1093"/>
      <c r="B8" s="1093"/>
      <c r="C8" s="1100" t="s">
        <v>3869</v>
      </c>
      <c r="D8" s="1095"/>
      <c r="E8" s="1101">
        <f>E7-E9</f>
        <v>152491.88</v>
      </c>
      <c r="F8" s="1102">
        <f>F7-F9</f>
        <v>154090.74266542942</v>
      </c>
      <c r="G8" s="1096">
        <f t="shared" ref="G8:G15" si="1">E8-F8</f>
        <v>-1598.8626654294203</v>
      </c>
      <c r="H8" s="1103">
        <f t="shared" ref="H8:H9" si="2">G8/F8</f>
        <v>-1.0376111100333664E-2</v>
      </c>
      <c r="J8" s="1101">
        <f>J7-J9</f>
        <v>666959.13</v>
      </c>
      <c r="K8" s="1102">
        <f>K7-K9</f>
        <v>544935.80032041715</v>
      </c>
      <c r="L8" s="1096">
        <f t="shared" si="0"/>
        <v>122023.32967958285</v>
      </c>
      <c r="M8" s="1103">
        <f t="shared" ref="M8:M9" si="3">L8/K8</f>
        <v>0.22392239527635049</v>
      </c>
    </row>
    <row r="9" spans="1:17">
      <c r="C9" s="1104" t="s">
        <v>202</v>
      </c>
      <c r="D9" s="1095"/>
      <c r="E9" s="1105">
        <f>E12+E11</f>
        <v>32959.049999999988</v>
      </c>
      <c r="F9" s="1106">
        <f>F12+F11</f>
        <v>27724.254334570567</v>
      </c>
      <c r="G9" s="1105">
        <f t="shared" si="1"/>
        <v>5234.7956654294212</v>
      </c>
      <c r="H9" s="1103">
        <f t="shared" si="2"/>
        <v>0.18881646381745709</v>
      </c>
      <c r="J9" s="1105">
        <f>J12+J11</f>
        <v>134647.30999999994</v>
      </c>
      <c r="K9" s="1106">
        <f>K12+K11</f>
        <v>102405.50767958276</v>
      </c>
      <c r="L9" s="1105">
        <f t="shared" si="0"/>
        <v>32241.802320417177</v>
      </c>
      <c r="M9" s="1103">
        <f t="shared" si="3"/>
        <v>0.31484441658449419</v>
      </c>
    </row>
    <row r="10" spans="1:17">
      <c r="A10" s="1093"/>
      <c r="B10" s="1093"/>
      <c r="C10" s="1100" t="s">
        <v>3870</v>
      </c>
      <c r="D10" s="1095"/>
      <c r="E10" s="1107">
        <f>E9/E7</f>
        <v>0.17772383239059514</v>
      </c>
      <c r="F10" s="1108">
        <f>F9/F7</f>
        <v>0.15248606986238086</v>
      </c>
      <c r="G10" s="1107">
        <f t="shared" si="1"/>
        <v>2.5237762528214275E-2</v>
      </c>
      <c r="H10" s="1103"/>
      <c r="J10" s="1107">
        <f>J9/J7</f>
        <v>0.16797184164338794</v>
      </c>
      <c r="K10" s="1108">
        <f>K9/K7</f>
        <v>0.15819399505953166</v>
      </c>
      <c r="L10" s="1107">
        <f t="shared" si="0"/>
        <v>9.7778465838562756E-3</v>
      </c>
      <c r="M10" s="1103"/>
    </row>
    <row r="11" spans="1:17">
      <c r="A11" s="1093"/>
      <c r="B11" s="1093"/>
      <c r="C11" s="1109" t="s">
        <v>3871</v>
      </c>
      <c r="D11" s="1095"/>
      <c r="E11" s="1098">
        <f>SUMIFS(BV_Data_An_Cour!$O:$O,BV_Data_An_Cour!$W:$W,$D$2,BV_Data_An_Cour!L:L,C31)</f>
        <v>7404.13</v>
      </c>
      <c r="F11" s="1110">
        <f>SUMIF($A$37:$A$48,"X",$G$37:$G$48)</f>
        <v>3179.2297395705646</v>
      </c>
      <c r="G11" s="1098">
        <f t="shared" si="1"/>
        <v>4224.9002604294355</v>
      </c>
      <c r="H11" s="1099">
        <f t="shared" ref="H11:H12" si="4">G11/F11</f>
        <v>1.3289068757264819</v>
      </c>
      <c r="J11" s="1098">
        <f>SUMIFS(BV_Data_An_Cour!$P:$P,BV_Data_An_Cour!$W:$W,$L$2,BV_Data_An_Cour!T:T,C31)</f>
        <v>24582.73</v>
      </c>
      <c r="K11" s="1110">
        <f>SUMIF($B$37:$B$48,"X",$G$37:$G$48)</f>
        <v>15014.431099582755</v>
      </c>
      <c r="L11" s="1098">
        <f>J11-K11</f>
        <v>9568.298900417245</v>
      </c>
      <c r="M11" s="1099">
        <f t="shared" ref="M11:M12" si="5">L11/K11</f>
        <v>0.63727348954854135</v>
      </c>
    </row>
    <row r="12" spans="1:17">
      <c r="A12" s="1111" t="s">
        <v>187</v>
      </c>
      <c r="B12" s="1093" t="s">
        <v>3868</v>
      </c>
      <c r="C12" s="1104" t="s">
        <v>3872</v>
      </c>
      <c r="D12" s="1095"/>
      <c r="E12" s="1105">
        <f>-SUMIFS(BV_Data_An_Cour!$O:$O,BV_Data_An_Cour!$U:$U,$B12,BV_Data_An_Cour!$V:$V,$A12,BV_Data_An_Cour!$W:$W,$D$2)</f>
        <v>25554.919999999987</v>
      </c>
      <c r="F12" s="1106">
        <f>+INDEX('Budget original'!$A$2:$AO$501,MATCH(B12&amp;$A12,'Budget original'!$A$2:$A$501,0),MATCH(G$2,'Budget original'!$A$2:$AO$2,0))</f>
        <v>24545.024595000003</v>
      </c>
      <c r="G12" s="1105">
        <f t="shared" si="1"/>
        <v>1009.8954049999847</v>
      </c>
      <c r="H12" s="1103">
        <f t="shared" si="4"/>
        <v>4.1144607579888415E-2</v>
      </c>
      <c r="J12" s="1105">
        <f>-SUMIFS(BV_Data_An_Cour!$P:$P,BV_Data_An_Cour!$U:$U,$B12,BV_Data_An_Cour!$V:$V,$A12,BV_Data_An_Cour!$W:$W,$D$2)</f>
        <v>110064.57999999994</v>
      </c>
      <c r="K12" s="1106" cm="1">
        <f t="array" ref="K12">+SUMPRODUCT(('Budget original'!$A$8:$A$501=B12&amp;$A12)*('Budget original'!$C$3:$AO$3=O$2),'Budget original'!$C$8:$AO$501)</f>
        <v>87391.076580000008</v>
      </c>
      <c r="L12" s="1105">
        <f t="shared" ref="L12:L16" si="6">J12-K12</f>
        <v>22673.503419999935</v>
      </c>
      <c r="M12" s="1103">
        <f t="shared" si="5"/>
        <v>0.2594487252854018</v>
      </c>
    </row>
    <row r="13" spans="1:17">
      <c r="A13" s="1083"/>
      <c r="B13" s="1083"/>
      <c r="C13" s="1100" t="s">
        <v>119</v>
      </c>
      <c r="D13" s="1095"/>
      <c r="E13" s="1107">
        <f>(E12)/E7</f>
        <v>0.13779882365647877</v>
      </c>
      <c r="F13" s="1108">
        <f>(F12)/F7</f>
        <v>0.13500000000000001</v>
      </c>
      <c r="G13" s="1112">
        <f t="shared" si="1"/>
        <v>2.7988236564787661E-3</v>
      </c>
      <c r="H13" s="1113"/>
      <c r="J13" s="1107">
        <f>(J12)/J7</f>
        <v>0.13730500967532142</v>
      </c>
      <c r="K13" s="1108">
        <f>(K12)/K7</f>
        <v>0.13500000000000001</v>
      </c>
      <c r="L13" s="1112">
        <f t="shared" si="6"/>
        <v>2.3050096753214067E-3</v>
      </c>
      <c r="M13" s="1113"/>
    </row>
    <row r="14" spans="1:17">
      <c r="A14" s="1083"/>
      <c r="B14" s="1083"/>
      <c r="C14" s="1109" t="s">
        <v>3873</v>
      </c>
      <c r="D14" s="1095"/>
      <c r="E14" s="1098">
        <f>SUMIFS(BV_Data_An_Cour!$O:$O,BV_Data_An_Cour!$W:$W,$D$2,BV_Data_An_Cour!L:L,C33)</f>
        <v>10740</v>
      </c>
      <c r="F14" s="1114">
        <f>SUMIF(A37:A48,"X",F37:F48)*$G$33</f>
        <v>0</v>
      </c>
      <c r="G14" s="1096">
        <f>E14-F14</f>
        <v>10740</v>
      </c>
      <c r="H14" s="1103" t="e">
        <f t="shared" ref="H14:H15" si="7">G14/F14</f>
        <v>#DIV/0!</v>
      </c>
      <c r="J14" s="1098">
        <f>SUMIFS(BV_Data_An_Cour!$P:$P,BV_Data_An_Cour!$W:$W,$L$2,BV_Data_An_Cour!T:T,C33)</f>
        <v>42440</v>
      </c>
      <c r="K14" s="1114">
        <f>SUMIF(B37:B48,"X",F37:F48)*$G$33</f>
        <v>0</v>
      </c>
      <c r="L14" s="1096">
        <f t="shared" si="6"/>
        <v>42440</v>
      </c>
      <c r="M14" s="1103" t="e">
        <f t="shared" ref="M14:M15" si="8">L14/K14</f>
        <v>#DIV/0!</v>
      </c>
    </row>
    <row r="15" spans="1:17">
      <c r="C15" s="1104" t="s">
        <v>3874</v>
      </c>
      <c r="D15" s="1095"/>
      <c r="E15" s="1105">
        <f>E12-E14</f>
        <v>14814.919999999987</v>
      </c>
      <c r="F15" s="1106">
        <f t="shared" ref="F15" si="9">F12-F14</f>
        <v>24545.024595000003</v>
      </c>
      <c r="G15" s="1105">
        <f t="shared" si="1"/>
        <v>-9730.1045950000153</v>
      </c>
      <c r="H15" s="1103">
        <f t="shared" si="7"/>
        <v>-0.39641861255181254</v>
      </c>
      <c r="J15" s="1105">
        <f t="shared" ref="J15:K15" si="10">J12-J14</f>
        <v>67624.579999999944</v>
      </c>
      <c r="K15" s="1106">
        <f t="shared" si="10"/>
        <v>87391.076580000008</v>
      </c>
      <c r="L15" s="1105">
        <f t="shared" si="6"/>
        <v>-19766.496580000065</v>
      </c>
      <c r="M15" s="1103">
        <f t="shared" si="8"/>
        <v>-0.22618438121545867</v>
      </c>
    </row>
    <row r="16" spans="1:17">
      <c r="C16" s="1115" t="s">
        <v>3875</v>
      </c>
      <c r="D16" s="1116"/>
      <c r="E16" s="1112">
        <f>E15/E7</f>
        <v>7.9885929933055544E-2</v>
      </c>
      <c r="F16" s="1117">
        <f>F15/F7</f>
        <v>0.13500000000000001</v>
      </c>
      <c r="G16" s="1112">
        <f>E16-F16</f>
        <v>-5.5114070066944465E-2</v>
      </c>
      <c r="H16" s="1117"/>
      <c r="J16" s="1112">
        <f>J15/J7</f>
        <v>8.4361323244858094E-2</v>
      </c>
      <c r="K16" s="1117">
        <f>K15/K7</f>
        <v>0.13500000000000001</v>
      </c>
      <c r="L16" s="1112">
        <f t="shared" si="6"/>
        <v>-5.0638676755141915E-2</v>
      </c>
      <c r="M16" s="1118"/>
    </row>
    <row r="17" spans="3:13">
      <c r="C17" s="1119"/>
      <c r="G17" s="1120"/>
      <c r="K17" s="1120"/>
    </row>
    <row r="18" spans="3:13">
      <c r="E18" s="1237" t="str">
        <f>CONCATENATE("Pièces Wholesale $ / livraison ",Parametres!B3," ",Parametres!B4)</f>
        <v>Pièces Wholesale $ / livraison Avril 2025</v>
      </c>
      <c r="F18" s="1238"/>
      <c r="G18" s="1238"/>
      <c r="H18" s="1239"/>
      <c r="J18" s="1240" t="str">
        <f>CONCATENATE("Pièces Wholesale AAD $ / livraison ",Parametres!B4)</f>
        <v>Pièces Wholesale AAD $ / livraison 2025</v>
      </c>
      <c r="K18" s="1241"/>
      <c r="L18" s="1241"/>
      <c r="M18" s="1242"/>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t="e">
        <f>E7/E$6</f>
        <v>#DIV/0!</v>
      </c>
      <c r="F20" s="1097" t="e">
        <f>F7/F$6</f>
        <v>#DIV/0!</v>
      </c>
      <c r="G20" s="1098" t="e">
        <f t="shared" ref="G20:G25" si="11">E20-F20</f>
        <v>#DIV/0!</v>
      </c>
      <c r="H20" s="1099" t="e">
        <f t="shared" ref="H20:H26" si="12">G20/F20</f>
        <v>#DIV/0!</v>
      </c>
      <c r="J20" s="1096">
        <f>J7/J$6</f>
        <v>756.23249056603765</v>
      </c>
      <c r="K20" s="1097" t="e">
        <f>K7/K$6</f>
        <v>#DIV/0!</v>
      </c>
      <c r="L20" s="1098" t="e">
        <f t="shared" ref="L20:L25" si="13">J20-K20</f>
        <v>#DIV/0!</v>
      </c>
      <c r="M20" s="1099" t="e">
        <f t="shared" ref="M20:M26" si="14">L20/K20</f>
        <v>#DIV/0!</v>
      </c>
    </row>
    <row r="21" spans="3:13">
      <c r="C21" s="1100" t="s">
        <v>3869</v>
      </c>
      <c r="D21" s="1095"/>
      <c r="E21" s="1101" t="e">
        <f t="shared" ref="E21:F22" si="15">E8/E$6</f>
        <v>#DIV/0!</v>
      </c>
      <c r="F21" s="1102" t="e">
        <f>F8/F$6</f>
        <v>#DIV/0!</v>
      </c>
      <c r="G21" s="1096" t="e">
        <f t="shared" si="11"/>
        <v>#DIV/0!</v>
      </c>
      <c r="H21" s="1103" t="e">
        <f t="shared" si="12"/>
        <v>#DIV/0!</v>
      </c>
      <c r="J21" s="1101">
        <f t="shared" ref="J21:K22" si="16">J8/J$6</f>
        <v>629.20672641509429</v>
      </c>
      <c r="K21" s="1102" t="e">
        <f t="shared" si="16"/>
        <v>#DIV/0!</v>
      </c>
      <c r="L21" s="1096" t="e">
        <f t="shared" si="13"/>
        <v>#DIV/0!</v>
      </c>
      <c r="M21" s="1103" t="e">
        <f t="shared" si="14"/>
        <v>#DIV/0!</v>
      </c>
    </row>
    <row r="22" spans="3:13">
      <c r="C22" s="1104" t="s">
        <v>202</v>
      </c>
      <c r="D22" s="1095"/>
      <c r="E22" s="1105" t="e">
        <f>E9/E$6</f>
        <v>#DIV/0!</v>
      </c>
      <c r="F22" s="1106" t="e">
        <f t="shared" si="15"/>
        <v>#DIV/0!</v>
      </c>
      <c r="G22" s="1105" t="e">
        <f t="shared" si="11"/>
        <v>#DIV/0!</v>
      </c>
      <c r="H22" s="1103" t="e">
        <f t="shared" si="12"/>
        <v>#DIV/0!</v>
      </c>
      <c r="J22" s="1105">
        <f t="shared" si="16"/>
        <v>127.02576415094335</v>
      </c>
      <c r="K22" s="1106" t="e">
        <f t="shared" si="16"/>
        <v>#DIV/0!</v>
      </c>
      <c r="L22" s="1105" t="e">
        <f t="shared" si="13"/>
        <v>#DIV/0!</v>
      </c>
      <c r="M22" s="1103" t="e">
        <f t="shared" si="14"/>
        <v>#DIV/0!</v>
      </c>
    </row>
    <row r="23" spans="3:13">
      <c r="C23" s="1109" t="s">
        <v>3871</v>
      </c>
      <c r="D23" s="1095"/>
      <c r="E23" s="1098" t="e">
        <f>E11/E$6</f>
        <v>#DIV/0!</v>
      </c>
      <c r="F23" s="1110" t="e">
        <f>F11/F$6</f>
        <v>#DIV/0!</v>
      </c>
      <c r="G23" s="1098" t="e">
        <f t="shared" si="11"/>
        <v>#DIV/0!</v>
      </c>
      <c r="H23" s="1099" t="e">
        <f t="shared" si="12"/>
        <v>#DIV/0!</v>
      </c>
      <c r="J23" s="1098">
        <f t="shared" ref="J23:K23" si="17">J11/J$6</f>
        <v>23.191254716981131</v>
      </c>
      <c r="K23" s="1110" t="e">
        <f t="shared" si="17"/>
        <v>#DIV/0!</v>
      </c>
      <c r="L23" s="1098" t="e">
        <f t="shared" si="13"/>
        <v>#DIV/0!</v>
      </c>
      <c r="M23" s="1099" t="e">
        <f t="shared" si="14"/>
        <v>#DIV/0!</v>
      </c>
    </row>
    <row r="24" spans="3:13">
      <c r="C24" s="1104" t="s">
        <v>3872</v>
      </c>
      <c r="D24" s="1095"/>
      <c r="E24" s="1105" t="e">
        <f>E12/E$6</f>
        <v>#DIV/0!</v>
      </c>
      <c r="F24" s="1106" t="e">
        <f>F12/F$6</f>
        <v>#DIV/0!</v>
      </c>
      <c r="G24" s="1121" t="e">
        <f t="shared" si="11"/>
        <v>#DIV/0!</v>
      </c>
      <c r="H24" s="1113" t="e">
        <f t="shared" si="12"/>
        <v>#DIV/0!</v>
      </c>
      <c r="J24" s="1105">
        <f>J12/J$6</f>
        <v>103.83450943396221</v>
      </c>
      <c r="K24" s="1106" t="e">
        <f>K12/K$6</f>
        <v>#DIV/0!</v>
      </c>
      <c r="L24" s="1121" t="e">
        <f t="shared" si="13"/>
        <v>#DIV/0!</v>
      </c>
      <c r="M24" s="1113" t="e">
        <f t="shared" si="14"/>
        <v>#DIV/0!</v>
      </c>
    </row>
    <row r="25" spans="3:13">
      <c r="C25" s="1109" t="s">
        <v>3873</v>
      </c>
      <c r="D25" s="1095"/>
      <c r="E25" s="1122" t="e">
        <f>E14/E$6</f>
        <v>#DIV/0!</v>
      </c>
      <c r="F25" s="1114" t="e">
        <f>F14/F$6</f>
        <v>#DIV/0!</v>
      </c>
      <c r="G25" s="1096" t="e">
        <f t="shared" si="11"/>
        <v>#DIV/0!</v>
      </c>
      <c r="H25" s="1103" t="e">
        <f t="shared" si="12"/>
        <v>#DIV/0!</v>
      </c>
      <c r="J25" s="1098">
        <f t="shared" ref="J25:K25" si="18">J14/J$6</f>
        <v>40.037735849056602</v>
      </c>
      <c r="K25" s="1114" t="e">
        <f t="shared" si="18"/>
        <v>#DIV/0!</v>
      </c>
      <c r="L25" s="1096" t="e">
        <f t="shared" si="13"/>
        <v>#DIV/0!</v>
      </c>
      <c r="M25" s="1103" t="e">
        <f t="shared" si="14"/>
        <v>#DIV/0!</v>
      </c>
    </row>
    <row r="26" spans="3:13">
      <c r="C26" s="1123" t="s">
        <v>3874</v>
      </c>
      <c r="D26" s="1095"/>
      <c r="E26" s="1121" t="e">
        <f>E15/E$6</f>
        <v>#DIV/0!</v>
      </c>
      <c r="F26" s="1124" t="e">
        <f>F15/F$6</f>
        <v>#DIV/0!</v>
      </c>
      <c r="G26" s="1121" t="e">
        <f>E26-F26</f>
        <v>#DIV/0!</v>
      </c>
      <c r="H26" s="1113" t="e">
        <f t="shared" si="12"/>
        <v>#DIV/0!</v>
      </c>
      <c r="J26" s="1121">
        <f>J15/J$6</f>
        <v>63.796773584905608</v>
      </c>
      <c r="K26" s="1124" t="e">
        <f>K15/K$6</f>
        <v>#DIV/0!</v>
      </c>
      <c r="L26" s="1121" t="e">
        <f>J26-K26</f>
        <v>#DIV/0!</v>
      </c>
      <c r="M26" s="1113" t="e">
        <f t="shared" si="14"/>
        <v>#DIV/0!</v>
      </c>
    </row>
    <row r="27" spans="3:13">
      <c r="C27" s="1119"/>
      <c r="G27" s="1120"/>
      <c r="K27" s="1120"/>
    </row>
    <row r="29" spans="3:13">
      <c r="C29" s="1125" t="s">
        <v>3876</v>
      </c>
    </row>
    <row r="30" spans="3:13">
      <c r="C30" s="1126" t="s">
        <v>3877</v>
      </c>
      <c r="E30" s="1127" t="s">
        <v>3878</v>
      </c>
      <c r="F30" s="1128"/>
      <c r="G30" s="1129">
        <f>SUMIF(A37:A48,"X",E37:E48)*$G$33-E14</f>
        <v>-10740</v>
      </c>
      <c r="H30" s="1130" t="s">
        <v>3879</v>
      </c>
    </row>
    <row r="31" spans="3:13" ht="14.4">
      <c r="C31" s="1131">
        <v>5773</v>
      </c>
      <c r="E31" s="1127" t="s">
        <v>3880</v>
      </c>
      <c r="F31" s="1128"/>
      <c r="G31" s="1129">
        <f>SUMIF(B37:B48,"X",E37:E48)*$G$33-J14</f>
        <v>-21240</v>
      </c>
      <c r="H31" s="1130" t="s">
        <v>3879</v>
      </c>
    </row>
    <row r="32" spans="3:13">
      <c r="C32" s="1126" t="s">
        <v>3881</v>
      </c>
    </row>
    <row r="33" spans="1:41" ht="14.4">
      <c r="C33" s="1131">
        <v>6758</v>
      </c>
      <c r="E33" s="1243" t="s">
        <v>3882</v>
      </c>
      <c r="F33" s="1243"/>
      <c r="G33" s="1132">
        <v>20</v>
      </c>
    </row>
    <row r="35" spans="1:41">
      <c r="E35" s="1234" t="s">
        <v>3883</v>
      </c>
      <c r="F35" s="1235"/>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c r="F39" s="1139"/>
      <c r="G39" s="1139">
        <v>4269.5213600121897</v>
      </c>
      <c r="H39" s="1079"/>
      <c r="I39" s="1079"/>
      <c r="J39" s="1179"/>
      <c r="K39" s="1079"/>
      <c r="L39" s="1079"/>
      <c r="M39" s="1079"/>
    </row>
    <row r="40" spans="1:41">
      <c r="A40" s="1079" t="str">
        <f>+IF(Parametres!$B$3=$C40,"X","")</f>
        <v>X</v>
      </c>
      <c r="B40" s="1079" t="str">
        <f>+IF(VLOOKUP($C40,Parametres!$K$3:$N$14,4,0)="X","X","")</f>
        <v>X</v>
      </c>
      <c r="C40" s="1140" t="s">
        <v>12</v>
      </c>
      <c r="E40" s="1139"/>
      <c r="F40" s="1139"/>
      <c r="G40" s="1139">
        <v>3179.2297395705646</v>
      </c>
      <c r="H40" s="1079"/>
      <c r="I40" s="1079"/>
      <c r="J40" s="1179"/>
      <c r="K40" s="1079"/>
      <c r="L40" s="1079"/>
      <c r="M40" s="1079"/>
    </row>
    <row r="41" spans="1:41">
      <c r="A41" s="1079" t="str">
        <f>+IF(Parametres!$B$3=$C41,"X","")</f>
        <v/>
      </c>
      <c r="B41" s="1079" t="str">
        <f>+IF(VLOOKUP($C41,Parametres!$K$3:$N$14,4,0)="X","X","")</f>
        <v/>
      </c>
      <c r="C41" s="1140" t="s">
        <v>13</v>
      </c>
      <c r="E41" s="1139"/>
      <c r="F41" s="1139"/>
      <c r="G41" s="1139">
        <v>4267.0566844986533</v>
      </c>
      <c r="H41" s="1079"/>
      <c r="I41" s="1079"/>
      <c r="J41" s="1179"/>
      <c r="K41" s="1181"/>
      <c r="L41" s="1079"/>
      <c r="M41" s="1079"/>
    </row>
    <row r="42" spans="1:41">
      <c r="A42" s="1079" t="str">
        <f>+IF(Parametres!$B$3=$C42,"X","")</f>
        <v/>
      </c>
      <c r="B42" s="1079" t="str">
        <f>+IF(VLOOKUP($C42,Parametres!$K$3:$N$14,4,0)="X","X","")</f>
        <v/>
      </c>
      <c r="C42" s="1140" t="s">
        <v>14</v>
      </c>
      <c r="E42" s="1139"/>
      <c r="F42" s="1139"/>
      <c r="G42" s="1139">
        <v>3723.6816888350295</v>
      </c>
      <c r="J42" s="1180"/>
      <c r="N42" s="1082"/>
      <c r="O42" s="1082"/>
      <c r="P42" s="1082"/>
      <c r="Q42" s="1082"/>
      <c r="R42" s="1128"/>
      <c r="S42" s="1128"/>
    </row>
    <row r="43" spans="1:41">
      <c r="A43" s="1079" t="str">
        <f>+IF(Parametres!$B$3=$C43,"X","")</f>
        <v/>
      </c>
      <c r="B43" s="1079" t="str">
        <f>+IF(VLOOKUP($C43,Parametres!$K$3:$N$14,4,0)="X","X","")</f>
        <v/>
      </c>
      <c r="C43" s="1140" t="s">
        <v>16</v>
      </c>
      <c r="E43" s="1139"/>
      <c r="F43" s="1139"/>
      <c r="G43" s="1139">
        <v>3830.8432589235963</v>
      </c>
      <c r="N43" s="1082"/>
      <c r="O43" s="1082"/>
      <c r="P43" s="1082"/>
      <c r="Q43" s="1082"/>
      <c r="R43" s="1128"/>
      <c r="S43" s="1128"/>
    </row>
    <row r="44" spans="1:41">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4" t="s">
        <v>644</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Print_Mois!J27</f>
        <v>58</v>
      </c>
      <c r="D5" s="560">
        <f>Print_Mois!L27/Print_Mois!J27</f>
        <v>2996.7229310344851</v>
      </c>
      <c r="E5" s="561">
        <f t="shared" ref="E5:E6" si="0">+C5*D5</f>
        <v>173809.93000000014</v>
      </c>
      <c r="F5" s="3"/>
      <c r="G5" s="231" t="s">
        <v>656</v>
      </c>
      <c r="H5" s="559">
        <f>Print_Mois!J108</f>
        <v>48</v>
      </c>
      <c r="I5" s="560">
        <f>Print_Mois!L108/Print_Mois!J108</f>
        <v>2306.1133333333328</v>
      </c>
      <c r="J5" s="561">
        <f t="shared" ref="J5:J6" si="1">+H5*I5</f>
        <v>110693.43999999997</v>
      </c>
      <c r="K5" s="3"/>
      <c r="L5" s="231" t="s">
        <v>656</v>
      </c>
      <c r="M5" s="560">
        <f>Print_Mois!K194</f>
        <v>377239.64</v>
      </c>
      <c r="N5" s="562">
        <f t="shared" ref="N5:N6" si="2">O5/M5</f>
        <v>0.72474271261630929</v>
      </c>
      <c r="O5" s="560">
        <f>Print_Mois!L194</f>
        <v>273401.68</v>
      </c>
      <c r="P5" s="3"/>
      <c r="Q5" s="231" t="s">
        <v>656</v>
      </c>
      <c r="R5" s="563">
        <f>Print_Mois!J185</f>
        <v>1188</v>
      </c>
      <c r="S5" s="560">
        <f>Print_Mois!K185/Print_Mois!J185</f>
        <v>293.0565824915825</v>
      </c>
      <c r="T5" s="561">
        <f t="shared" ref="T5:T6" si="3">+R5*S5</f>
        <v>348151.22000000003</v>
      </c>
      <c r="U5" s="3"/>
      <c r="V5" s="3"/>
      <c r="W5" s="3"/>
      <c r="X5" s="3"/>
      <c r="Y5" s="3"/>
      <c r="Z5" s="3"/>
    </row>
    <row r="6" spans="1:26" ht="14.4">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4">
      <c r="A7" s="3"/>
      <c r="B7" s="133" t="s">
        <v>655</v>
      </c>
      <c r="C7" s="569">
        <f t="shared" ref="C7:E7" si="4">+C5-C6</f>
        <v>58</v>
      </c>
      <c r="D7" s="570" t="e">
        <f t="shared" si="4"/>
        <v>#DIV/0!</v>
      </c>
      <c r="E7" s="571" t="e">
        <f t="shared" si="4"/>
        <v>#DIV/0!</v>
      </c>
      <c r="F7" s="3"/>
      <c r="G7" s="133" t="s">
        <v>655</v>
      </c>
      <c r="H7" s="569">
        <f t="shared" ref="H7:J7" si="5">+H5-H6</f>
        <v>48</v>
      </c>
      <c r="I7" s="570" t="e">
        <f t="shared" si="5"/>
        <v>#DIV/0!</v>
      </c>
      <c r="J7" s="571" t="e">
        <f t="shared" si="5"/>
        <v>#DIV/0!</v>
      </c>
      <c r="K7" s="3"/>
      <c r="L7" s="133" t="s">
        <v>655</v>
      </c>
      <c r="M7" s="570">
        <f t="shared" ref="M7:O7" si="6">+M5-M6</f>
        <v>377239.64</v>
      </c>
      <c r="N7" s="572" t="e">
        <f t="shared" si="6"/>
        <v>#DIV/0!</v>
      </c>
      <c r="O7" s="571">
        <f t="shared" si="6"/>
        <v>273401.68</v>
      </c>
      <c r="P7" s="3"/>
      <c r="Q7" s="133" t="s">
        <v>655</v>
      </c>
      <c r="R7" s="573">
        <f t="shared" ref="R7:T7" si="7">+R5-R6</f>
        <v>1188</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659</v>
      </c>
      <c r="C10" s="577">
        <f t="shared" ref="C10:D10" si="12">+C5</f>
        <v>58</v>
      </c>
      <c r="D10" s="561">
        <f t="shared" si="12"/>
        <v>2996.7229310344851</v>
      </c>
      <c r="E10" s="566">
        <f>+C10*D10</f>
        <v>173809.93000000014</v>
      </c>
      <c r="F10" s="3"/>
      <c r="G10" s="133" t="s">
        <v>660</v>
      </c>
      <c r="H10" s="577">
        <f t="shared" ref="H10:I10" si="13">+H5</f>
        <v>48</v>
      </c>
      <c r="I10" s="561">
        <f t="shared" si="13"/>
        <v>2306.1133333333328</v>
      </c>
      <c r="J10" s="566">
        <f>+H10*I10</f>
        <v>110693.43999999997</v>
      </c>
      <c r="K10" s="3"/>
      <c r="L10" s="133" t="s">
        <v>661</v>
      </c>
      <c r="M10" s="561">
        <f t="shared" ref="M10:N10" si="14">+M5</f>
        <v>377239.64</v>
      </c>
      <c r="N10" s="562">
        <f t="shared" si="14"/>
        <v>0.72474271261630929</v>
      </c>
      <c r="O10" s="566">
        <f>+M10*N10</f>
        <v>273401.68</v>
      </c>
      <c r="P10" s="3"/>
      <c r="Q10" s="133" t="s">
        <v>662</v>
      </c>
      <c r="R10" s="578">
        <f t="shared" ref="R10:S10" si="15">+R5</f>
        <v>1188</v>
      </c>
      <c r="S10" s="561">
        <f t="shared" si="15"/>
        <v>293.0565824915825</v>
      </c>
      <c r="T10" s="566">
        <f>+R10*S10</f>
        <v>348151.22000000003</v>
      </c>
      <c r="U10" s="3"/>
      <c r="V10" s="3"/>
      <c r="W10" s="3"/>
      <c r="X10" s="3"/>
      <c r="Y10" s="3"/>
      <c r="Z10" s="3"/>
    </row>
    <row r="11" spans="1:26" ht="14.4">
      <c r="A11" s="3"/>
      <c r="B11" s="133" t="s">
        <v>663</v>
      </c>
      <c r="C11" s="577">
        <f>+C5</f>
        <v>58</v>
      </c>
      <c r="D11" s="566" t="e">
        <f>+D6</f>
        <v>#DIV/0!</v>
      </c>
      <c r="E11" s="566" t="e">
        <f>C11*D11</f>
        <v>#DIV/0!</v>
      </c>
      <c r="F11" s="3"/>
      <c r="G11" s="133" t="s">
        <v>663</v>
      </c>
      <c r="H11" s="577">
        <f>+H5</f>
        <v>48</v>
      </c>
      <c r="I11" s="566" t="e">
        <f>+I6</f>
        <v>#DIV/0!</v>
      </c>
      <c r="J11" s="566" t="e">
        <f>H11*I11</f>
        <v>#DIV/0!</v>
      </c>
      <c r="K11" s="3"/>
      <c r="L11" s="133" t="s">
        <v>663</v>
      </c>
      <c r="M11" s="561">
        <f>+M5</f>
        <v>377239.64</v>
      </c>
      <c r="N11" s="567" t="e">
        <f>+N6</f>
        <v>#DIV/0!</v>
      </c>
      <c r="O11" s="566" t="e">
        <f>M11*N11</f>
        <v>#DIV/0!</v>
      </c>
      <c r="P11" s="3"/>
      <c r="Q11" s="133" t="s">
        <v>664</v>
      </c>
      <c r="R11" s="578">
        <f>+R5</f>
        <v>1188</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666</v>
      </c>
      <c r="C15" s="577">
        <f t="shared" ref="C15:C16" si="20">+C5</f>
        <v>58</v>
      </c>
      <c r="D15" s="566" t="e">
        <f>+D6</f>
        <v>#DIV/0!</v>
      </c>
      <c r="E15" s="566" t="e">
        <f>+C15*D15</f>
        <v>#DIV/0!</v>
      </c>
      <c r="F15" s="3"/>
      <c r="G15" s="133" t="s">
        <v>667</v>
      </c>
      <c r="H15" s="577">
        <f t="shared" ref="H15:H16" si="21">+H5</f>
        <v>48</v>
      </c>
      <c r="I15" s="566" t="e">
        <f>+I6</f>
        <v>#DIV/0!</v>
      </c>
      <c r="J15" s="566" t="e">
        <f>+H15*I15</f>
        <v>#DIV/0!</v>
      </c>
      <c r="K15" s="3"/>
      <c r="L15" s="133" t="s">
        <v>668</v>
      </c>
      <c r="M15" s="561">
        <f t="shared" ref="M15:M16" si="22">+M5</f>
        <v>377239.64</v>
      </c>
      <c r="N15" s="567" t="e">
        <f>+N6</f>
        <v>#DIV/0!</v>
      </c>
      <c r="O15" s="566" t="e">
        <f>+M15*N15</f>
        <v>#DIV/0!</v>
      </c>
      <c r="P15" s="3"/>
      <c r="Q15" s="133" t="s">
        <v>669</v>
      </c>
      <c r="R15" s="578">
        <f t="shared" ref="R15:R16" si="23">+R5</f>
        <v>1188</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58</v>
      </c>
      <c r="D17" s="570" t="e">
        <f t="shared" si="24"/>
        <v>#DIV/0!</v>
      </c>
      <c r="E17" s="571" t="e">
        <f t="shared" si="24"/>
        <v>#DIV/0!</v>
      </c>
      <c r="F17" s="3"/>
      <c r="G17" s="133" t="s">
        <v>665</v>
      </c>
      <c r="H17" s="569">
        <f t="shared" ref="H17:J17" si="25">+H15-H16</f>
        <v>48</v>
      </c>
      <c r="I17" s="570" t="e">
        <f t="shared" si="25"/>
        <v>#DIV/0!</v>
      </c>
      <c r="J17" s="571" t="e">
        <f t="shared" si="25"/>
        <v>#DIV/0!</v>
      </c>
      <c r="K17" s="3"/>
      <c r="L17" s="133" t="s">
        <v>665</v>
      </c>
      <c r="M17" s="570">
        <f t="shared" ref="M17:O17" si="26">+M15-M16</f>
        <v>377239.64</v>
      </c>
      <c r="N17" s="572" t="e">
        <f t="shared" si="26"/>
        <v>#DIV/0!</v>
      </c>
      <c r="O17" s="571" t="e">
        <f t="shared" si="26"/>
        <v>#DIV/0!</v>
      </c>
      <c r="P17" s="3"/>
      <c r="Q17" s="133" t="s">
        <v>665</v>
      </c>
      <c r="R17" s="573">
        <f t="shared" ref="R17:T17" si="27">+R15-R16</f>
        <v>1188</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58</v>
      </c>
      <c r="D20" s="566" t="e">
        <f t="shared" si="28"/>
        <v>#DIV/0!</v>
      </c>
      <c r="E20" s="566" t="e">
        <f>+C20*D20</f>
        <v>#DIV/0!</v>
      </c>
      <c r="F20" s="3"/>
      <c r="G20" s="133" t="s">
        <v>672</v>
      </c>
      <c r="H20" s="579">
        <f t="shared" ref="H20:I20" si="29">MAX(H5:H6)</f>
        <v>48</v>
      </c>
      <c r="I20" s="566" t="e">
        <f t="shared" si="29"/>
        <v>#DIV/0!</v>
      </c>
      <c r="J20" s="566" t="e">
        <f>+H20*I20</f>
        <v>#DIV/0!</v>
      </c>
      <c r="K20" s="3"/>
      <c r="L20" s="133" t="s">
        <v>672</v>
      </c>
      <c r="M20" s="566">
        <f t="shared" ref="M20:N20" si="30">MAX(M5:M6)</f>
        <v>377239.64</v>
      </c>
      <c r="N20" s="567" t="e">
        <f t="shared" si="30"/>
        <v>#DIV/0!</v>
      </c>
      <c r="O20" s="566" t="e">
        <f>+M20*N20</f>
        <v>#DIV/0!</v>
      </c>
      <c r="P20" s="3"/>
      <c r="Q20" s="133" t="s">
        <v>672</v>
      </c>
      <c r="R20" s="580">
        <f t="shared" ref="R20:S20" si="31">MAX(R5:R6)</f>
        <v>1188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58</v>
      </c>
      <c r="D23" s="570" t="e">
        <f t="shared" si="36"/>
        <v>#DIV/0!</v>
      </c>
      <c r="E23" s="570" t="e">
        <f t="shared" si="36"/>
        <v>#DIV/0!</v>
      </c>
      <c r="F23" s="3"/>
      <c r="G23" s="133" t="s">
        <v>674</v>
      </c>
      <c r="H23" s="569">
        <f t="shared" ref="H23:J23" si="37">+H20-H22</f>
        <v>48</v>
      </c>
      <c r="I23" s="570" t="e">
        <f t="shared" si="37"/>
        <v>#DIV/0!</v>
      </c>
      <c r="J23" s="570" t="e">
        <f t="shared" si="37"/>
        <v>#DIV/0!</v>
      </c>
      <c r="K23" s="3"/>
      <c r="L23" s="133" t="s">
        <v>674</v>
      </c>
      <c r="M23" s="570">
        <f t="shared" ref="M23:O23" si="38">+M20-M22</f>
        <v>377239.64</v>
      </c>
      <c r="N23" s="572" t="e">
        <f t="shared" si="38"/>
        <v>#DIV/0!</v>
      </c>
      <c r="O23" s="570" t="e">
        <f t="shared" si="38"/>
        <v>#DIV/0!</v>
      </c>
      <c r="P23" s="3"/>
      <c r="Q23" s="133" t="s">
        <v>674</v>
      </c>
      <c r="R23" s="573">
        <f t="shared" ref="R23:T23" si="39">+R20-R22</f>
        <v>1188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58</v>
      </c>
      <c r="D32" s="566">
        <f t="shared" ref="D32:D33" si="40">+E32/C32</f>
        <v>-144.61238605650152</v>
      </c>
      <c r="E32" s="566">
        <f>+Print_Mois!N78</f>
        <v>-8387.5183912770881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58</v>
      </c>
      <c r="D33" s="566">
        <f t="shared" si="40"/>
        <v>-68.999999999999943</v>
      </c>
      <c r="E33" s="566">
        <f>+Print_Mois!N82</f>
        <v>-4001.9999999999964</v>
      </c>
      <c r="F33" s="3"/>
      <c r="G33" s="133" t="s">
        <v>681</v>
      </c>
      <c r="H33" s="588">
        <f>+H17</f>
        <v>48</v>
      </c>
      <c r="I33" s="566">
        <f>+J33/H33</f>
        <v>73.178125000000023</v>
      </c>
      <c r="J33" s="566">
        <f>+Print_Mois!N159</f>
        <v>3512.5500000000011</v>
      </c>
      <c r="K33" s="3"/>
      <c r="L33" s="3"/>
      <c r="M33" s="3"/>
      <c r="N33" s="3"/>
      <c r="O33" s="3"/>
      <c r="P33" s="3"/>
      <c r="Q33" s="3"/>
      <c r="R33" s="3"/>
      <c r="S33" s="3"/>
      <c r="T33" s="3"/>
      <c r="U33" s="3"/>
      <c r="V33" s="3"/>
      <c r="W33" s="3"/>
      <c r="X33" s="3"/>
      <c r="Y33" s="3"/>
      <c r="Z33" s="3"/>
    </row>
    <row r="34" spans="1:26" ht="15.75" customHeight="1">
      <c r="A34" s="3"/>
      <c r="B34" s="3"/>
      <c r="C34" s="3"/>
      <c r="D34" s="3"/>
      <c r="E34" s="570">
        <f>SUM(E32:E33)</f>
        <v>-12389.518391277084</v>
      </c>
      <c r="F34" s="3"/>
      <c r="G34" s="3"/>
      <c r="H34" s="3"/>
      <c r="I34" s="3"/>
      <c r="J34" s="570">
        <f>SUM(J32:J33)</f>
        <v>3512.5500000000011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458" zoomScale="80" zoomScaleNormal="80" workbookViewId="0">
      <selection activeCell="J488" sqref="J488"/>
    </sheetView>
  </sheetViews>
  <sheetFormatPr baseColWidth="10" defaultColWidth="12.59765625" defaultRowHeight="15" customHeight="1"/>
  <cols>
    <col min="1" max="1" width="24.09765625" hidden="1" customWidth="1"/>
    <col min="2" max="2" width="36" hidden="1" customWidth="1"/>
    <col min="3" max="3" width="34.59765625" customWidth="1"/>
    <col min="4" max="4" width="16.3984375" customWidth="1"/>
    <col min="5" max="5" width="15.59765625" customWidth="1"/>
    <col min="6" max="6" width="16.8984375" customWidth="1"/>
    <col min="7" max="7" width="17.69921875" hidden="1" customWidth="1"/>
    <col min="8" max="8" width="15.59765625" hidden="1" customWidth="1"/>
    <col min="9" max="9" width="15.8984375" hidden="1" customWidth="1"/>
    <col min="10" max="10" width="16.69921875" customWidth="1"/>
    <col min="11" max="11" width="16.3984375" customWidth="1"/>
    <col min="12" max="12" width="15.8984375" customWidth="1"/>
    <col min="13" max="13" width="12" customWidth="1"/>
    <col min="14" max="14" width="18.59765625" customWidth="1"/>
    <col min="15" max="15" width="16.3984375" customWidth="1"/>
    <col min="16" max="16" width="15.59765625" customWidth="1"/>
    <col min="17" max="17" width="16.3984375" customWidth="1"/>
    <col min="18" max="18" width="14.5" customWidth="1"/>
    <col min="19" max="19" width="21.3984375" customWidth="1"/>
    <col min="20" max="20" width="3" customWidth="1"/>
    <col min="21" max="21" width="30.8984375" bestFit="1" customWidth="1"/>
    <col min="22" max="22" width="28.69921875" customWidth="1"/>
    <col min="23" max="24" width="12.19921875" customWidth="1"/>
    <col min="25" max="25" width="12.5" customWidth="1"/>
    <col min="26" max="26" width="17.3984375" customWidth="1"/>
    <col min="27" max="27" width="10.8984375" hidden="1" customWidth="1"/>
    <col min="28" max="28" width="10" hidden="1" customWidth="1"/>
    <col min="29" max="29" width="17.5" hidden="1" customWidth="1"/>
    <col min="30" max="30" width="13.8984375" customWidth="1"/>
    <col min="31" max="31" width="15.3984375" customWidth="1"/>
    <col min="32" max="32" width="18.8984375" customWidth="1"/>
    <col min="33" max="33" width="13.8984375" bestFit="1" customWidth="1"/>
    <col min="34" max="34" width="16.19921875" customWidth="1"/>
    <col min="35" max="35" width="15" customWidth="1"/>
    <col min="36" max="37" width="13.09765625" customWidth="1"/>
    <col min="38" max="38" width="17.5" customWidth="1"/>
    <col min="39" max="39" width="10.8984375" customWidth="1"/>
    <col min="40" max="40" width="16" customWidth="1"/>
    <col min="41" max="41" width="12.3984375" customWidth="1"/>
    <col min="42" max="42" width="11" customWidth="1"/>
    <col min="43" max="43" width="15.69921875" customWidth="1"/>
    <col min="44" max="44" width="19.8984375" customWidth="1"/>
    <col min="45" max="62" width="11" customWidth="1"/>
  </cols>
  <sheetData>
    <row r="1" spans="1:40" ht="35.4">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Avril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1">
      <c r="B3" s="41"/>
      <c r="C3" s="238"/>
      <c r="D3" s="1218" t="s">
        <v>343</v>
      </c>
      <c r="E3" s="1219"/>
      <c r="F3" s="1220"/>
      <c r="G3" s="1221"/>
      <c r="H3" s="1219"/>
      <c r="I3" s="1220"/>
      <c r="J3" s="1221" t="s">
        <v>344</v>
      </c>
      <c r="K3" s="1219"/>
      <c r="L3" s="1220"/>
      <c r="M3" s="1221" t="s">
        <v>3310</v>
      </c>
      <c r="N3" s="1220"/>
      <c r="O3" s="1218" t="s">
        <v>345</v>
      </c>
      <c r="P3" s="1219"/>
      <c r="Q3" s="1220"/>
      <c r="R3" s="1222" t="s">
        <v>3312</v>
      </c>
      <c r="S3" s="1223"/>
      <c r="T3" s="41"/>
      <c r="U3" s="41"/>
      <c r="V3" s="5" t="s">
        <v>347</v>
      </c>
      <c r="W3" s="599">
        <v>0.45</v>
      </c>
      <c r="X3" s="41"/>
      <c r="Y3" s="41"/>
      <c r="Z3" s="41"/>
      <c r="AA3" s="41"/>
      <c r="AB3" s="41"/>
      <c r="AC3" s="41"/>
      <c r="AD3" s="41"/>
      <c r="AE3" s="41"/>
      <c r="AF3" s="41"/>
      <c r="AG3" s="41"/>
      <c r="AH3" s="41"/>
      <c r="AI3" s="41"/>
      <c r="AJ3" s="41"/>
      <c r="AK3" s="41"/>
      <c r="AL3" s="41"/>
      <c r="AM3" s="41"/>
      <c r="AN3" s="41"/>
    </row>
    <row r="4" spans="1:40" ht="20.399999999999999">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399999999999999">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11890053.109871205</v>
      </c>
      <c r="G5" s="246"/>
      <c r="H5" s="247"/>
      <c r="I5" s="249"/>
      <c r="J5" s="246"/>
      <c r="K5" s="250"/>
      <c r="L5" s="248">
        <f>-SUMIFS(BV_Data_An_Cour!$P:$P,BV_Data_An_Cour!$X:$X,"Oui",BV_Data_An_Cour!$U:$U,$B5)</f>
        <v>10710656.560000001</v>
      </c>
      <c r="M5" s="251"/>
      <c r="N5" s="252"/>
      <c r="O5" s="246"/>
      <c r="P5" s="250"/>
      <c r="Q5" s="248" cm="1">
        <f t="array" ref="Q5">+SUMPRODUCT(('Réel 2024'!$A$8:$A$501=$A5)*('Réel 2024'!$C$3:$AO$3=Q$2),'Réel 2024'!$C$8:$AO$501)</f>
        <v>13868001.099999998</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399999999999999">
      <c r="A6" s="5" t="str">
        <f t="shared" si="0"/>
        <v>Véhicules neufsAutos détail</v>
      </c>
      <c r="B6" s="41" t="str">
        <f t="shared" si="1"/>
        <v>Véhicules neufs</v>
      </c>
      <c r="C6" s="253" t="s">
        <v>97</v>
      </c>
      <c r="D6" s="254" cm="1">
        <f t="array" ref="D6">+SUMPRODUCT(('Budget original'!$A$8:$A$501=$A6)*('Budget original'!$C$3:$AO$3=D$2),'Budget original'!$C$8:$AO$501)</f>
        <v>57</v>
      </c>
      <c r="E6" s="254">
        <f t="shared" ref="E6:E12" si="2">IF(D6=0,0,F6/D6)</f>
        <v>1953.6491683802799</v>
      </c>
      <c r="F6" s="254" cm="1">
        <f t="array" ref="F6">+SUMPRODUCT(('Budget original'!$A$8:$A$501=$A6)*('Budget original'!$C$3:$AO$3=F$2),'Budget original'!$C$8:$AO$501)</f>
        <v>111358.00259767595</v>
      </c>
      <c r="G6" s="255"/>
      <c r="H6" s="254"/>
      <c r="I6" s="254"/>
      <c r="J6" s="255">
        <f>-SUMIFS(BV_Data_An_Cour!$P:$P,BV_Data_An_Cour!$U:$U,$B6,BV_Data_An_Cour!$V:$V,$C6,BV_Data_An_Cour!$W:$W,J$2)</f>
        <v>47</v>
      </c>
      <c r="K6" s="254">
        <f t="shared" ref="K6:K12" si="3">IF(J6=0,0,L6/J6)</f>
        <v>1858.9242553191496</v>
      </c>
      <c r="L6" s="256">
        <f>-SUMIFS(BV_Data_An_Cour!$P:$P,BV_Data_An_Cour!$U:$U,$B6,BV_Data_An_Cour!$V:$V,$C6,BV_Data_An_Cour!$W:$W,L$2)</f>
        <v>87369.440000000031</v>
      </c>
      <c r="M6" s="255">
        <f t="shared" ref="M6:M12" si="4">J6-D6</f>
        <v>-10</v>
      </c>
      <c r="N6" s="256">
        <f t="shared" ref="N6:N12" si="5">L6-F6</f>
        <v>-23988.562597675918</v>
      </c>
      <c r="O6" s="255" cm="1">
        <f t="array" ref="O6">+SUMPRODUCT(('Réel 2024'!$A$8:$A$501=$A6)*('Réel 2024'!$C$3:$AO$3=O$2),'Réel 2024'!$C$8:$AO$501)</f>
        <v>66</v>
      </c>
      <c r="P6" s="254">
        <f t="shared" ref="P6:P12" si="6">IF(O6=0,0,Q6/O6)</f>
        <v>2198.3616666666621</v>
      </c>
      <c r="Q6" s="256" cm="1">
        <f t="array" ref="Q6">+SUMPRODUCT(('Réel 2024'!$A$8:$A$501=$A6)*('Réel 2024'!$C$3:$AO$3=Q$2),'Réel 2024'!$C$8:$AO$501)</f>
        <v>145091.8699999997</v>
      </c>
      <c r="R6" s="255">
        <f t="shared" ref="R6:R12" si="7">J6-O6</f>
        <v>-19</v>
      </c>
      <c r="S6" s="256">
        <f t="shared" ref="S6:S12" si="8">L6-Q6</f>
        <v>-57722.429999999673</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399999999999999">
      <c r="A7" s="5" t="str">
        <f t="shared" si="0"/>
        <v>Véhicules neufsCamions détail</v>
      </c>
      <c r="B7" s="41" t="str">
        <f t="shared" si="1"/>
        <v>Véhicules neufs</v>
      </c>
      <c r="C7" s="253" t="s">
        <v>98</v>
      </c>
      <c r="D7" s="254" cm="1">
        <f t="array" ref="D7">+SUMPRODUCT(('Budget original'!$A$8:$A$501=$A7)*('Budget original'!$C$3:$AO$3=D$2),'Budget original'!$C$8:$AO$501)</f>
        <v>158</v>
      </c>
      <c r="E7" s="254">
        <f t="shared" si="2"/>
        <v>2435.9046775963698</v>
      </c>
      <c r="F7" s="254" cm="1">
        <f t="array" ref="F7">+SUMPRODUCT(('Budget original'!$A$8:$A$501=$A7)*('Budget original'!$C$3:$AO$3=F$2),'Budget original'!$C$8:$AO$501)</f>
        <v>384872.93906022643</v>
      </c>
      <c r="G7" s="255"/>
      <c r="H7" s="254"/>
      <c r="I7" s="254"/>
      <c r="J7" s="255">
        <f>-SUMIFS(BV_Data_An_Cour!$P:$P,BV_Data_An_Cour!$U:$U,$B7,BV_Data_An_Cour!$V:$V,$C7,BV_Data_An_Cour!$W:$W,J$2)</f>
        <v>138</v>
      </c>
      <c r="K7" s="254">
        <f t="shared" si="3"/>
        <v>2312.1685507246411</v>
      </c>
      <c r="L7" s="256">
        <f>-SUMIFS(BV_Data_An_Cour!$P:$P,BV_Data_An_Cour!$U:$U,$B7,BV_Data_An_Cour!$V:$V,$C7,BV_Data_An_Cour!$W:$W,L$2)</f>
        <v>319079.26000000047</v>
      </c>
      <c r="M7" s="255">
        <f t="shared" si="4"/>
        <v>-20</v>
      </c>
      <c r="N7" s="256">
        <f t="shared" si="5"/>
        <v>-65793.679060225957</v>
      </c>
      <c r="O7" s="255" cm="1">
        <f t="array" ref="O7">+SUMPRODUCT(('Réel 2024'!$A$8:$A$501=$A7)*('Réel 2024'!$C$3:$AO$3=O$2),'Réel 2024'!$C$8:$AO$501)</f>
        <v>188</v>
      </c>
      <c r="P7" s="254">
        <f t="shared" si="6"/>
        <v>2682.0884042553134</v>
      </c>
      <c r="Q7" s="256" cm="1">
        <f t="array" ref="Q7">+SUMPRODUCT(('Réel 2024'!$A$8:$A$501=$A7)*('Réel 2024'!$C$3:$AO$3=Q$2),'Réel 2024'!$C$8:$AO$501)</f>
        <v>504232.61999999895</v>
      </c>
      <c r="R7" s="255">
        <f t="shared" si="7"/>
        <v>-50</v>
      </c>
      <c r="S7" s="256">
        <f t="shared" si="8"/>
        <v>-185153.35999999847</v>
      </c>
      <c r="T7" s="41"/>
      <c r="U7" s="41"/>
      <c r="V7" s="5" t="s">
        <v>355</v>
      </c>
      <c r="W7" s="599">
        <v>0.2</v>
      </c>
      <c r="X7" s="41"/>
      <c r="Y7" s="41"/>
      <c r="Z7" s="41"/>
      <c r="AA7" s="41"/>
      <c r="AB7" s="41"/>
      <c r="AC7" s="41"/>
      <c r="AD7" s="41"/>
      <c r="AE7" s="41"/>
      <c r="AF7" s="41"/>
      <c r="AG7" s="41"/>
      <c r="AH7" s="41"/>
      <c r="AI7" s="41"/>
      <c r="AJ7" s="41"/>
      <c r="AK7" s="41"/>
      <c r="AL7" s="41"/>
      <c r="AM7" s="41"/>
      <c r="AN7" s="41"/>
    </row>
    <row r="8" spans="1:40" ht="20.399999999999999">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399999999999999">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399999999999999"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399999999999999"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399999999999999"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1">
      <c r="A13" s="5" t="str">
        <f t="shared" si="0"/>
        <v>Véhicules neufsTotal Neufs</v>
      </c>
      <c r="B13" s="41" t="str">
        <f t="shared" si="1"/>
        <v>Véhicules neufs</v>
      </c>
      <c r="C13" s="259" t="s">
        <v>101</v>
      </c>
      <c r="D13" s="260">
        <f>+SUM(D6:D12)</f>
        <v>215</v>
      </c>
      <c r="E13" s="260">
        <f>IF(D13&lt;=0,0,F13/D13)</f>
        <v>2308.050891432104</v>
      </c>
      <c r="F13" s="261">
        <f t="shared" ref="F13" si="9">+SUM(F6:F12)</f>
        <v>496230.94165790238</v>
      </c>
      <c r="G13" s="262"/>
      <c r="H13" s="260"/>
      <c r="I13" s="261"/>
      <c r="J13" s="262">
        <f t="shared" ref="J13" si="10">+SUM(J6:J12)</f>
        <v>185</v>
      </c>
      <c r="K13" s="260">
        <f>IF(J13&lt;=0,0,L13/J13)</f>
        <v>2197.0200000000027</v>
      </c>
      <c r="L13" s="261">
        <f t="shared" ref="L13" si="11">+SUM(L6:L12)</f>
        <v>406448.70000000054</v>
      </c>
      <c r="M13" s="262">
        <f>+SUM(M6:M12)</f>
        <v>-30</v>
      </c>
      <c r="N13" s="261">
        <f t="shared" ref="N13" si="12">+SUM(N6:N12)</f>
        <v>-89782.241657901875</v>
      </c>
      <c r="O13" s="262">
        <f>+SUM(O6:O12)</f>
        <v>254</v>
      </c>
      <c r="P13" s="260">
        <f>IF(O13&lt;=0,0,Q13/O13)</f>
        <v>2556.3956299212541</v>
      </c>
      <c r="Q13" s="261">
        <f t="shared" ref="Q13" si="13">+SUM(Q6:Q12)</f>
        <v>649324.48999999859</v>
      </c>
      <c r="R13" s="262">
        <f t="shared" ref="R13:S13" si="14">+SUM(R6:R12)</f>
        <v>-69</v>
      </c>
      <c r="S13" s="261">
        <f t="shared" si="14"/>
        <v>-242875.78999999815</v>
      </c>
      <c r="T13" s="41"/>
      <c r="U13" s="41"/>
      <c r="V13" s="41"/>
      <c r="W13" s="41"/>
      <c r="X13" s="41"/>
      <c r="Y13" s="41"/>
      <c r="Z13" s="41"/>
      <c r="AA13" s="41"/>
      <c r="AB13" s="41"/>
      <c r="AC13" s="41"/>
      <c r="AD13" s="41"/>
      <c r="AE13" s="41"/>
      <c r="AF13" s="41"/>
      <c r="AG13" s="41"/>
      <c r="AH13" s="41"/>
      <c r="AI13" s="41"/>
      <c r="AJ13" s="41"/>
      <c r="AK13" s="41"/>
      <c r="AL13" s="41"/>
      <c r="AM13" s="41"/>
      <c r="AN13" s="41"/>
    </row>
    <row r="14" spans="1:40" ht="21">
      <c r="A14" s="5" t="str">
        <f t="shared" si="0"/>
        <v>Véhicules neufs</v>
      </c>
      <c r="B14" s="41" t="str">
        <f t="shared" si="1"/>
        <v>Véhicules neufs</v>
      </c>
      <c r="C14" s="253"/>
      <c r="D14" s="41"/>
      <c r="E14" s="254"/>
      <c r="F14" s="263"/>
      <c r="G14" s="253"/>
      <c r="H14" s="254"/>
      <c r="I14" s="263"/>
      <c r="J14" s="253"/>
      <c r="K14" s="254"/>
      <c r="L14" s="263"/>
      <c r="M14" s="264">
        <f>IF(D13=0,0,M13/D13)</f>
        <v>-0.13953488372093023</v>
      </c>
      <c r="N14" s="265">
        <f>IF(F13=0,0,N13/F13)</f>
        <v>-0.18092834227132298</v>
      </c>
      <c r="O14" s="253"/>
      <c r="P14" s="254"/>
      <c r="Q14" s="263"/>
      <c r="R14" s="264">
        <f>R13/O13</f>
        <v>-0.27165354330708663</v>
      </c>
      <c r="S14" s="265">
        <f>IF(Q13=0,0,(S13/Q13))</f>
        <v>-0.37404378510349834</v>
      </c>
      <c r="T14" s="41"/>
      <c r="U14" s="41"/>
      <c r="V14" s="41"/>
      <c r="W14" s="41"/>
      <c r="X14" s="41"/>
      <c r="Y14" s="41"/>
      <c r="Z14" s="41"/>
      <c r="AA14" s="41"/>
      <c r="AB14" s="41"/>
      <c r="AC14" s="41"/>
      <c r="AD14" s="41"/>
      <c r="AE14" s="41"/>
      <c r="AF14" s="41"/>
      <c r="AG14" s="41"/>
      <c r="AH14" s="41"/>
      <c r="AI14" s="41"/>
      <c r="AJ14" s="41"/>
      <c r="AK14" s="41"/>
      <c r="AL14" s="41"/>
      <c r="AM14" s="41"/>
      <c r="AN14" s="41"/>
    </row>
    <row r="15" spans="1:40" ht="21">
      <c r="A15" s="5" t="str">
        <f t="shared" si="0"/>
        <v>Véhicules neufsEx-Démos et courtoisies</v>
      </c>
      <c r="B15" s="41" t="str">
        <f t="shared" si="1"/>
        <v>Véhicules neufs</v>
      </c>
      <c r="C15" s="266" t="s">
        <v>102</v>
      </c>
      <c r="D15" s="250" cm="1">
        <f t="array" ref="D15">+SUMPRODUCT(('Budget original'!$A$8:$A$501=$A15)*('Budget original'!$C$3:$AO$3=D$2),'Budget original'!$C$8:$AO$501)</f>
        <v>12</v>
      </c>
      <c r="E15" s="250">
        <f>IF(D15=0,0,F15/D15)</f>
        <v>1534.7521433415677</v>
      </c>
      <c r="F15" s="248" cm="1">
        <f t="array" ref="F15">+SUMPRODUCT(('Budget original'!$A$8:$A$501=$A15)*('Budget original'!$C$3:$AO$3=F$2),'Budget original'!$C$8:$AO$501)</f>
        <v>18417.025720098813</v>
      </c>
      <c r="G15" s="267"/>
      <c r="H15" s="250"/>
      <c r="I15" s="248"/>
      <c r="J15" s="268">
        <f>-SUMIFS(BV_Data_An_Cour!$P:$P,BV_Data_An_Cour!$U:$U,$B15,BV_Data_An_Cour!$V:$V,$C15,BV_Data_An_Cour!$W:$W,J$2)</f>
        <v>10</v>
      </c>
      <c r="K15" s="269">
        <f>IF(J15=0,0,L15/J15)</f>
        <v>1026.0080000000016</v>
      </c>
      <c r="L15" s="269">
        <f>-SUMIFS(BV_Data_An_Cour!$P:$P,BV_Data_An_Cour!$U:$U,$B15,BV_Data_An_Cour!$V:$V,$C15,BV_Data_An_Cour!$W:$W,L$2)</f>
        <v>10260.080000000016</v>
      </c>
      <c r="M15" s="267">
        <f>J15-D15</f>
        <v>-2</v>
      </c>
      <c r="N15" s="248">
        <f>L15-F15</f>
        <v>-8156.9457200987963</v>
      </c>
      <c r="O15" s="268" cm="1">
        <f t="array" ref="O15">+SUMPRODUCT(('Réel 2024'!$A$8:$A$501=$A15)*('Réel 2024'!$C$3:$AO$3=O$2),'Réel 2024'!$C$8:$AO$501)</f>
        <v>12</v>
      </c>
      <c r="P15" s="269">
        <f>IF(O15=0,0,Q15/O15)</f>
        <v>1721.1733333333325</v>
      </c>
      <c r="Q15" s="269" cm="1">
        <f t="array" ref="Q15">+SUMPRODUCT(('Réel 2024'!$A$8:$A$501=$A15)*('Réel 2024'!$C$3:$AO$3=Q$2),'Réel 2024'!$C$8:$AO$501)</f>
        <v>20654.079999999991</v>
      </c>
      <c r="R15" s="267">
        <f>J15-O15</f>
        <v>-2</v>
      </c>
      <c r="S15" s="248">
        <f>L15-Q15</f>
        <v>-10393.999999999975</v>
      </c>
      <c r="T15" s="41"/>
      <c r="U15" s="41"/>
      <c r="V15" s="41"/>
      <c r="W15" s="41"/>
      <c r="X15" s="41"/>
      <c r="Y15" s="41"/>
      <c r="Z15" s="41"/>
      <c r="AA15" s="41"/>
      <c r="AB15" s="41"/>
      <c r="AC15" s="41"/>
      <c r="AD15" s="41"/>
      <c r="AE15" s="41"/>
      <c r="AF15" s="41"/>
      <c r="AG15" s="41"/>
      <c r="AH15" s="41"/>
      <c r="AI15" s="41"/>
      <c r="AJ15" s="41"/>
      <c r="AK15" s="41"/>
      <c r="AL15" s="41"/>
      <c r="AM15" s="41"/>
      <c r="AN15" s="41"/>
    </row>
    <row r="16" spans="1:40" ht="21">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1">
      <c r="A17" s="5" t="str">
        <f t="shared" si="0"/>
        <v>Véhicules neufsFlottes</v>
      </c>
      <c r="B17" s="41" t="str">
        <f t="shared" si="1"/>
        <v>Véhicules neufs</v>
      </c>
      <c r="C17" s="270" t="s">
        <v>103</v>
      </c>
      <c r="D17" s="254" cm="1">
        <f t="array" ref="D17">+SUMPRODUCT(('Budget original'!$A$8:$A$501=$A17)*('Budget original'!$C$3:$AO$3=D$2),'Budget original'!$C$8:$AO$501)</f>
        <v>5</v>
      </c>
      <c r="E17" s="254">
        <f>IF(D17=0,0,F17/D17)</f>
        <v>2393.8521192147828</v>
      </c>
      <c r="F17" s="254" cm="1">
        <f t="array" ref="F17">+SUMPRODUCT(('Budget original'!$A$8:$A$501=$A17)*('Budget original'!$C$3:$AO$3=F$2),'Budget original'!$C$8:$AO$501)</f>
        <v>11969.260596073913</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7</v>
      </c>
      <c r="N17" s="256">
        <f>L17-F17</f>
        <v>17589.369403926092</v>
      </c>
      <c r="O17" s="267" cm="1">
        <f t="array" ref="O17">+SUMPRODUCT(('Réel 2024'!$A$8:$A$501=$A17)*('Réel 2024'!$C$3:$AO$3=O$2),'Réel 2024'!$C$8:$AO$501)</f>
        <v>2</v>
      </c>
      <c r="P17" s="254">
        <f>IF(O17=0,0,Q17/O17)</f>
        <v>1747.279999999995</v>
      </c>
      <c r="Q17" s="256" cm="1">
        <f t="array" ref="Q17">+SUMPRODUCT(('Réel 2024'!$A$8:$A$501=$A17)*('Réel 2024'!$C$3:$AO$3=Q$2),'Réel 2024'!$C$8:$AO$501)</f>
        <v>3494.5599999999899</v>
      </c>
      <c r="R17" s="255">
        <f>J17-O17</f>
        <v>10</v>
      </c>
      <c r="S17" s="256">
        <f>L17-Q17</f>
        <v>26064.070000000014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1">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1020742.4000000006</v>
      </c>
      <c r="Y18" s="459">
        <f t="shared" ref="Y18:Y19" si="15">+X18-W18</f>
        <v>1020742.4000000006</v>
      </c>
      <c r="Z18" s="41"/>
      <c r="AA18" s="41"/>
      <c r="AB18" s="41"/>
      <c r="AC18" s="41"/>
      <c r="AD18" s="41"/>
      <c r="AE18" s="41"/>
      <c r="AF18" s="41"/>
      <c r="AG18" s="41"/>
      <c r="AH18" s="41"/>
      <c r="AI18" s="41"/>
      <c r="AJ18" s="41"/>
      <c r="AK18" s="41"/>
      <c r="AL18" s="41"/>
      <c r="AM18" s="41"/>
      <c r="AN18" s="41"/>
    </row>
    <row r="19" spans="1:40" ht="21">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24055</v>
      </c>
      <c r="G19" s="255"/>
      <c r="H19" s="254"/>
      <c r="I19" s="254"/>
      <c r="J19" s="267"/>
      <c r="K19" s="254"/>
      <c r="L19" s="256">
        <f>-SUMIFS(BV_Data_An_Cour!$P:$P,BV_Data_An_Cour!$U:$U,$B19,BV_Data_An_Cour!$V:$V,$C19,BV_Data_An_Cour!$W:$W,L$2)</f>
        <v>30610.14000000013</v>
      </c>
      <c r="M19" s="255"/>
      <c r="N19" s="256">
        <f>L19-F19</f>
        <v>6555.1400000001304</v>
      </c>
      <c r="O19" s="267" cm="1">
        <f t="array" ref="O19">+SUMPRODUCT(('Réel 2024'!$A$8:$A$501=$A19)*('Réel 2024'!$C$3:$AO$3=O$2),'Réel 2024'!$C$8:$AO$501)</f>
        <v>0</v>
      </c>
      <c r="P19" s="254">
        <f>IF(O19=0,0,Q19/O19)</f>
        <v>0</v>
      </c>
      <c r="Q19" s="256" cm="1">
        <f t="array" ref="Q19">+SUMPRODUCT(('Réel 2024'!$A$8:$A$501=$A19)*('Réel 2024'!$C$3:$AO$3=Q$2),'Réel 2024'!$C$8:$AO$501)</f>
        <v>22530.369999999988</v>
      </c>
      <c r="R19" s="255">
        <f>O19-K19</f>
        <v>0</v>
      </c>
      <c r="S19" s="256">
        <f>L19-Q19</f>
        <v>8079.7700000001423</v>
      </c>
      <c r="T19" s="41"/>
      <c r="U19" s="41"/>
      <c r="V19" s="41" t="s">
        <v>693</v>
      </c>
      <c r="W19" s="459">
        <f>+I194+I250+I314</f>
        <v>0</v>
      </c>
      <c r="X19" s="459">
        <f>+L194+L250+L314</f>
        <v>1317330.76</v>
      </c>
      <c r="Y19" s="459">
        <f t="shared" si="15"/>
        <v>1317330.76</v>
      </c>
      <c r="Z19" s="41"/>
      <c r="AA19" s="41"/>
      <c r="AB19" s="41"/>
      <c r="AC19" s="41"/>
      <c r="AD19" s="41"/>
      <c r="AE19" s="41"/>
      <c r="AF19" s="41"/>
      <c r="AG19" s="41"/>
      <c r="AH19" s="41"/>
      <c r="AI19" s="41"/>
      <c r="AJ19" s="41"/>
      <c r="AK19" s="41"/>
      <c r="AL19" s="41"/>
      <c r="AM19" s="41"/>
      <c r="AN19" s="41"/>
    </row>
    <row r="20" spans="1:40" ht="21">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11350</v>
      </c>
      <c r="G21" s="253"/>
      <c r="H21" s="254"/>
      <c r="I21" s="254"/>
      <c r="J21" s="255"/>
      <c r="K21" s="254">
        <f>IF(J13=0,0,L21/(J13+J15))</f>
        <v>3.1556410256410259</v>
      </c>
      <c r="L21" s="256">
        <f>-SUMIFS(BV_Data_An_Cour!$P:$P,BV_Data_An_Cour!$U:$U,$B21,BV_Data_An_Cour!$V:$V,$C21,BV_Data_An_Cour!$W:$W,L$2)</f>
        <v>615.35</v>
      </c>
      <c r="M21" s="255"/>
      <c r="N21" s="256">
        <f>L21-F21</f>
        <v>-10734.65</v>
      </c>
      <c r="O21" s="255"/>
      <c r="P21" s="254"/>
      <c r="Q21" s="256" cm="1">
        <f t="array" ref="Q21">+SUMPRODUCT(('Réel 2024'!$A$8:$A$501=$A21)*('Réel 2024'!$C$3:$AO$3=Q$2),'Réel 2024'!$C$8:$AO$501)</f>
        <v>8728.1200000000008</v>
      </c>
      <c r="R21" s="255">
        <f t="shared" ref="R21:R23" si="16">O21-K21</f>
        <v>-3.1556410256410259</v>
      </c>
      <c r="S21" s="256">
        <f t="shared" ref="S21:S24" si="17">L21-Q21</f>
        <v>-8112.77</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211110</v>
      </c>
      <c r="G22" s="253"/>
      <c r="H22" s="254"/>
      <c r="I22" s="254"/>
      <c r="J22" s="255"/>
      <c r="K22" s="254">
        <f>IF(J13=0,0,L22/(J13+J15))</f>
        <v>912.02512820512823</v>
      </c>
      <c r="L22" s="256">
        <f>-SUMIFS(BV_Data_An_Cour!$P:$P,BV_Data_An_Cour!$U:$U,$B22,BV_Data_An_Cour!$V:$V,$C22,BV_Data_An_Cour!$W:$W,L$2)</f>
        <v>177844.9</v>
      </c>
      <c r="M22" s="255"/>
      <c r="N22" s="256">
        <f>L22-F22</f>
        <v>-33265.100000000006</v>
      </c>
      <c r="O22" s="255"/>
      <c r="P22" s="254"/>
      <c r="Q22" s="256" cm="1">
        <f t="array" ref="Q22">+SUMPRODUCT(('Réel 2024'!$A$8:$A$501=$A22)*('Réel 2024'!$C$3:$AO$3=Q$2),'Réel 2024'!$C$8:$AO$501)</f>
        <v>230743.89</v>
      </c>
      <c r="R22" s="255">
        <f t="shared" si="16"/>
        <v>-912.02512820512823</v>
      </c>
      <c r="S22" s="256">
        <f t="shared" si="17"/>
        <v>-52898.99000000002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4540</v>
      </c>
      <c r="G23" s="253"/>
      <c r="H23" s="254"/>
      <c r="I23" s="254"/>
      <c r="J23" s="255"/>
      <c r="K23" s="254">
        <f>IF(J13=0,0,L23/(J13+J15))</f>
        <v>3.8974871794871793</v>
      </c>
      <c r="L23" s="256">
        <f>-SUMIFS(BV_Data_An_Cour!$P:$P,BV_Data_An_Cour!$U:$U,$B23,BV_Data_An_Cour!$V:$V,$C23,BV_Data_An_Cour!$W:$W,L$2)</f>
        <v>760.01</v>
      </c>
      <c r="M23" s="267"/>
      <c r="N23" s="256">
        <f>L23-F23</f>
        <v>-3779.99</v>
      </c>
      <c r="O23" s="255"/>
      <c r="P23" s="254"/>
      <c r="Q23" s="256" cm="1">
        <f t="array" ref="Q23">+SUMPRODUCT(('Réel 2024'!$A$8:$A$501=$A23)*('Réel 2024'!$C$3:$AO$3=Q$2),'Réel 2024'!$C$8:$AO$501)</f>
        <v>1358.23</v>
      </c>
      <c r="R23" s="255">
        <f t="shared" si="16"/>
        <v>-3.8974871794871793</v>
      </c>
      <c r="S23" s="256">
        <f t="shared" si="17"/>
        <v>-598.22</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227</v>
      </c>
      <c r="E24" s="260">
        <f>IF(D24&lt;=0,0,F24/D24)</f>
        <v>1000</v>
      </c>
      <c r="F24" s="261">
        <f>F21+F22+F23</f>
        <v>227000</v>
      </c>
      <c r="G24" s="262"/>
      <c r="H24" s="260"/>
      <c r="I24" s="261"/>
      <c r="J24" s="262">
        <f>+J15+J13</f>
        <v>195</v>
      </c>
      <c r="K24" s="260">
        <f>IF(J24&lt;=0,0,L24/J24)</f>
        <v>919.07825641025647</v>
      </c>
      <c r="L24" s="261">
        <f>L21+L22+L23</f>
        <v>179220.26</v>
      </c>
      <c r="M24" s="275">
        <f>J24-D24</f>
        <v>-32</v>
      </c>
      <c r="N24" s="261">
        <f>L24-F24</f>
        <v>-47779.739999999991</v>
      </c>
      <c r="O24" s="262">
        <f>+O15+O13</f>
        <v>266</v>
      </c>
      <c r="P24" s="260">
        <f>IF(O24&lt;=0,0,Q24/O24)</f>
        <v>905.37684210526322</v>
      </c>
      <c r="Q24" s="261">
        <f>Q21+Q22+Q23</f>
        <v>240830.24000000002</v>
      </c>
      <c r="R24" s="273"/>
      <c r="S24" s="261">
        <f t="shared" si="17"/>
        <v>-61609.98000000001</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-0.21048343612334797</v>
      </c>
      <c r="O25" s="253"/>
      <c r="P25" s="41"/>
      <c r="Q25" s="276"/>
      <c r="R25" s="277"/>
      <c r="S25" s="265">
        <f>IF(Q24=0,0,(S24/Q24))</f>
        <v>-0.25582327202763244</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232</v>
      </c>
      <c r="E27" s="280">
        <f>IF(D27&lt;=0,0,F27/D27)</f>
        <v>3352.0354654054963</v>
      </c>
      <c r="F27" s="281">
        <f>F13+F17+F24+F19+F15</f>
        <v>777672.22797407513</v>
      </c>
      <c r="G27" s="282"/>
      <c r="H27" s="280"/>
      <c r="I27" s="281"/>
      <c r="J27" s="282">
        <f>+J13+J15+J17</f>
        <v>207</v>
      </c>
      <c r="K27" s="280">
        <f>IF(J27&lt;=0,0,L27/J27)</f>
        <v>3169.5546376811631</v>
      </c>
      <c r="L27" s="281">
        <f>L13+L17+L24+L19+L15</f>
        <v>656097.81000000075</v>
      </c>
      <c r="M27" s="282">
        <f>J27-D27</f>
        <v>-25</v>
      </c>
      <c r="N27" s="281">
        <f>L27-F27</f>
        <v>-121574.41797407437</v>
      </c>
      <c r="O27" s="282">
        <f>+O13+O15+O17</f>
        <v>268</v>
      </c>
      <c r="P27" s="280">
        <f>IF(O27&lt;=0,0,Q27/O27)</f>
        <v>3495.6482835820839</v>
      </c>
      <c r="Q27" s="281">
        <f>Q13+Q17+Q24+Q19+Q15</f>
        <v>936833.73999999848</v>
      </c>
      <c r="R27" s="282">
        <f>J27-O27</f>
        <v>-61</v>
      </c>
      <c r="S27" s="281">
        <f>L27-Q27</f>
        <v>-280735.92999999772</v>
      </c>
      <c r="T27" s="41"/>
      <c r="U27" s="41">
        <f>+S27/R27</f>
        <v>4602.2283606557003</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0.84366881881485001</v>
      </c>
      <c r="M28" s="286">
        <f>M27/D27</f>
        <v>-0.10775862068965517</v>
      </c>
      <c r="N28" s="287">
        <f>N27/F27</f>
        <v>-0.15633118118514994</v>
      </c>
      <c r="O28" s="283"/>
      <c r="P28" s="284"/>
      <c r="Q28" s="285"/>
      <c r="R28" s="286">
        <f>R27/O27</f>
        <v>-0.22761194029850745</v>
      </c>
      <c r="S28" s="287">
        <f>IF(Q27=0,0,S27/Q27)</f>
        <v>-0.2996646235222038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760.81426433175443</v>
      </c>
      <c r="F31" s="254" cm="1">
        <f t="array" ref="F31">+SUMPRODUCT(('Budget original'!$A$8:$A$501=$A31)*('Budget original'!$C$3:$AO$3=F$2),'Budget original'!$C$8:$AO$501)</f>
        <v>172704.83800330825</v>
      </c>
      <c r="G31" s="298"/>
      <c r="H31" s="291"/>
      <c r="I31" s="254"/>
      <c r="J31" s="292">
        <f>L31/(L13+L15+L17)</f>
        <v>0.30342437508488429</v>
      </c>
      <c r="K31" s="291">
        <f t="shared" ref="K31:K40" si="19">IF(L31=0,0,L31/J$24)</f>
        <v>694.40210256410262</v>
      </c>
      <c r="L31" s="254">
        <f>SUMIFS(BV_Data_An_Cour!$P:$P,BV_Data_An_Cour!$U:$U,$B31,BV_Data_An_Cour!$V:$V,$C31,BV_Data_An_Cour!$W:$W,L$2)</f>
        <v>135408.41</v>
      </c>
      <c r="M31" s="253"/>
      <c r="N31" s="276">
        <f t="shared" ref="N31:N53" si="20">L31-F31</f>
        <v>-37296.428003308247</v>
      </c>
      <c r="O31" s="253"/>
      <c r="P31" s="291">
        <f t="shared" ref="P31:P40" si="21">Q31/O$24</f>
        <v>725.50954887218052</v>
      </c>
      <c r="Q31" s="256" cm="1">
        <f t="array" ref="Q31">+SUMPRODUCT(('Réel 2024'!$A$8:$A$501=$A31)*('Réel 2024'!$C$3:$AO$3=Q$2),'Réel 2024'!$C$8:$AO$501)</f>
        <v>192985.54</v>
      </c>
      <c r="R31" s="253"/>
      <c r="S31" s="276">
        <f t="shared" ref="S31:S41" si="22">L31-Q31</f>
        <v>-57577.130000000005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63560</v>
      </c>
      <c r="G32" s="300"/>
      <c r="H32" s="294"/>
      <c r="I32" s="248"/>
      <c r="J32" s="295">
        <f>L32/L24</f>
        <v>0.26207288171549353</v>
      </c>
      <c r="K32" s="294">
        <f t="shared" si="19"/>
        <v>240.86548717948716</v>
      </c>
      <c r="L32" s="248">
        <f>SUMIFS(BV_Data_An_Cour!$P:$P,BV_Data_An_Cour!$U:$U,$B32,BV_Data_An_Cour!$V:$V,$C32,BV_Data_An_Cour!$W:$W,L$2)</f>
        <v>46968.77</v>
      </c>
      <c r="M32" s="246"/>
      <c r="N32" s="296">
        <f t="shared" si="20"/>
        <v>-16591.230000000003</v>
      </c>
      <c r="O32" s="246"/>
      <c r="P32" s="294">
        <f t="shared" si="21"/>
        <v>270.16890977443609</v>
      </c>
      <c r="Q32" s="248" cm="1">
        <f t="array" ref="Q32">+SUMPRODUCT(('Réel 2024'!$A$8:$A$501=$A32)*('Réel 2024'!$C$3:$AO$3=Q$2),'Réel 2024'!$C$8:$AO$501)</f>
        <v>71864.929999999993</v>
      </c>
      <c r="R32" s="246"/>
      <c r="S32" s="296">
        <f t="shared" si="22"/>
        <v>-24896.159999999996</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26105</v>
      </c>
      <c r="G33" s="298"/>
      <c r="H33" s="291"/>
      <c r="I33" s="254"/>
      <c r="J33" s="253"/>
      <c r="K33" s="291">
        <f t="shared" si="19"/>
        <v>98.226051282051287</v>
      </c>
      <c r="L33" s="254">
        <f>SUMIFS(BV_Data_An_Cour!$P:$P,BV_Data_An_Cour!$U:$U,$B33,BV_Data_An_Cour!$V:$V,$C33,BV_Data_An_Cour!$W:$W,L$2)</f>
        <v>19154.080000000002</v>
      </c>
      <c r="M33" s="253"/>
      <c r="N33" s="276">
        <f t="shared" si="20"/>
        <v>-6950.9199999999983</v>
      </c>
      <c r="O33" s="253"/>
      <c r="P33" s="291">
        <f t="shared" si="21"/>
        <v>106.91962406015038</v>
      </c>
      <c r="Q33" s="256" cm="1">
        <f t="array" ref="Q33">+SUMPRODUCT(('Réel 2024'!$A$8:$A$501=$A33)*('Réel 2024'!$C$3:$AO$3=Q$2),'Réel 2024'!$C$8:$AO$501)</f>
        <v>28440.620000000003</v>
      </c>
      <c r="R33" s="253"/>
      <c r="S33" s="276">
        <f t="shared" si="22"/>
        <v>-9286.5400000000009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2270</v>
      </c>
      <c r="G34" s="298"/>
      <c r="H34" s="291"/>
      <c r="I34" s="254"/>
      <c r="J34" s="253"/>
      <c r="K34" s="291">
        <f t="shared" si="19"/>
        <v>10.128615384615385</v>
      </c>
      <c r="L34" s="254">
        <f>SUMIFS(BV_Data_An_Cour!$P:$P,BV_Data_An_Cour!$U:$U,$B34,BV_Data_An_Cour!$V:$V,$C34,BV_Data_An_Cour!$W:$W,L$2)</f>
        <v>1975.08</v>
      </c>
      <c r="M34" s="253"/>
      <c r="N34" s="276">
        <f t="shared" si="20"/>
        <v>-294.92000000000007</v>
      </c>
      <c r="O34" s="253"/>
      <c r="P34" s="291">
        <f t="shared" si="21"/>
        <v>7.9077067669172925</v>
      </c>
      <c r="Q34" s="256" cm="1">
        <f t="array" ref="Q34">+SUMPRODUCT(('Réel 2024'!$A$8:$A$501=$A34)*('Réel 2024'!$C$3:$AO$3=Q$2),'Réel 2024'!$C$8:$AO$501)</f>
        <v>2103.4499999999998</v>
      </c>
      <c r="R34" s="253"/>
      <c r="S34" s="276">
        <f t="shared" si="22"/>
        <v>-128.36999999999989</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27410.25</v>
      </c>
      <c r="G35" s="300"/>
      <c r="H35" s="294"/>
      <c r="I35" s="248"/>
      <c r="J35" s="246"/>
      <c r="K35" s="294">
        <f t="shared" si="19"/>
        <v>146.86958974358973</v>
      </c>
      <c r="L35" s="248">
        <f>SUMIFS(BV_Data_An_Cour!$P:$P,BV_Data_An_Cour!$U:$U,$B35,BV_Data_An_Cour!$V:$V,$C35,BV_Data_An_Cour!$W:$W,L$2)</f>
        <v>28639.57</v>
      </c>
      <c r="M35" s="246"/>
      <c r="N35" s="296">
        <f t="shared" si="20"/>
        <v>1229.3199999999997</v>
      </c>
      <c r="O35" s="246"/>
      <c r="P35" s="294">
        <f t="shared" si="21"/>
        <v>115.934022556391</v>
      </c>
      <c r="Q35" s="256" cm="1">
        <f t="array" ref="Q35">+SUMPRODUCT(('Réel 2024'!$A$8:$A$501=$A35)*('Réel 2024'!$C$3:$AO$3=Q$2),'Réel 2024'!$C$8:$AO$501)</f>
        <v>30838.450000000004</v>
      </c>
      <c r="R35" s="246"/>
      <c r="S35" s="296">
        <f t="shared" si="22"/>
        <v>-2198.8800000000047</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154.83700440528634</v>
      </c>
      <c r="F36" s="254" cm="1">
        <f t="array" ref="F36">+SUMPRODUCT(('Budget original'!$A$8:$A$501=$A36)*('Budget original'!$C$3:$AO$3=F$2),'Budget original'!$C$8:$AO$501)</f>
        <v>35148</v>
      </c>
      <c r="G36" s="298"/>
      <c r="H36" s="291"/>
      <c r="I36" s="254"/>
      <c r="J36" s="253"/>
      <c r="K36" s="291">
        <f t="shared" si="19"/>
        <v>258.74364102564101</v>
      </c>
      <c r="L36" s="301">
        <f>SUMIFS(BV_Data_An_Cour!$P:$P,BV_Data_An_Cour!$U:$U,$B36,BV_Data_An_Cour!$V:$V,$C36,BV_Data_An_Cour!$W:$W,L$2)</f>
        <v>50455.009999999995</v>
      </c>
      <c r="M36" s="41"/>
      <c r="N36" s="276">
        <f t="shared" si="20"/>
        <v>15307.009999999995</v>
      </c>
      <c r="O36" s="253"/>
      <c r="P36" s="291">
        <f t="shared" si="21"/>
        <v>98.851203007518706</v>
      </c>
      <c r="Q36" s="272" cm="1">
        <f t="array" ref="Q36">+SUMPRODUCT(('Réel 2024'!$A$8:$A$501=$A36)*('Réel 2024'!$C$3:$AO$3=Q$2),'Réel 2024'!$C$8:$AO$501)</f>
        <v>26294.419999999976</v>
      </c>
      <c r="R36" s="253"/>
      <c r="S36" s="276">
        <f t="shared" si="22"/>
        <v>24160.590000000018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621.2869716721608</v>
      </c>
      <c r="F37" s="254" cm="1">
        <f t="array" ref="F37">+SUMPRODUCT(('Budget original'!$A$8:$A$501=$A37)*('Budget original'!$C$3:$AO$3=F$2),'Budget original'!$C$8:$AO$501)</f>
        <v>141032.14256958049</v>
      </c>
      <c r="G37" s="298"/>
      <c r="H37" s="291"/>
      <c r="I37" s="254"/>
      <c r="J37" s="253"/>
      <c r="K37" s="291">
        <f t="shared" si="19"/>
        <v>287.91087179487181</v>
      </c>
      <c r="L37" s="951">
        <f>SUMIFS(BV_Data_An_Cour!$P:$P,BV_Data_An_Cour!$U:$U,$B37,BV_Data_An_Cour!$V:$V,$C37,BV_Data_An_Cour!$W:$W,L$2)</f>
        <v>56142.62</v>
      </c>
      <c r="M37" s="986"/>
      <c r="N37" s="961">
        <f t="shared" si="20"/>
        <v>-84889.522569580498</v>
      </c>
      <c r="O37" s="253"/>
      <c r="P37" s="291">
        <f t="shared" si="21"/>
        <v>461.55913533834592</v>
      </c>
      <c r="Q37" s="256" cm="1">
        <f t="array" ref="Q37">+SUMPRODUCT(('Réel 2024'!$A$8:$A$501=$A37)*('Réel 2024'!$C$3:$AO$3=Q$2),'Réel 2024'!$C$8:$AO$501)</f>
        <v>122774.73000000001</v>
      </c>
      <c r="R37" s="253"/>
      <c r="S37" s="276">
        <f t="shared" si="22"/>
        <v>-66632.110000000015</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0.60209200448456535</v>
      </c>
      <c r="F41" s="307">
        <f>SUM(F31:F40)</f>
        <v>468230.23057288874</v>
      </c>
      <c r="G41" s="308"/>
      <c r="H41" s="306"/>
      <c r="I41" s="307"/>
      <c r="J41" s="308" t="s">
        <v>119</v>
      </c>
      <c r="K41" s="306">
        <f>L41/L$27</f>
        <v>0.51630036686145864</v>
      </c>
      <c r="L41" s="307">
        <f>SUM(L31:L40)</f>
        <v>338743.54</v>
      </c>
      <c r="M41" s="309"/>
      <c r="N41" s="307">
        <f t="shared" si="20"/>
        <v>-129486.69057288877</v>
      </c>
      <c r="O41" s="308" t="s">
        <v>119</v>
      </c>
      <c r="P41" s="306">
        <f>Q41/Q$27</f>
        <v>0.50734951113097271</v>
      </c>
      <c r="Q41" s="310">
        <f>SUM(Q31:Q40)</f>
        <v>475302.14</v>
      </c>
      <c r="R41" s="311"/>
      <c r="S41" s="307">
        <f t="shared" si="22"/>
        <v>-136558.60000000003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101879.97788461539</v>
      </c>
      <c r="G42" s="253"/>
      <c r="H42" s="41"/>
      <c r="I42" s="254"/>
      <c r="J42" s="253"/>
      <c r="K42" s="41"/>
      <c r="L42" s="256">
        <f>SUMIFS(BV_Data_An_Cour!$P:$P,BV_Data_An_Cour!$U:$U,$B42,BV_Data_An_Cour!$V:$V,$C42,BV_Data_An_Cour!$W:$W,L$2)</f>
        <v>82442.39</v>
      </c>
      <c r="M42" s="253"/>
      <c r="N42" s="276">
        <f t="shared" si="20"/>
        <v>-19437.587884615394</v>
      </c>
      <c r="O42" s="253"/>
      <c r="P42" s="41"/>
      <c r="Q42" s="256" cm="1">
        <f t="array" ref="Q42">+SUMPRODUCT(('Réel 2024'!$A$8:$A$501=$A42)*('Réel 2024'!$C$3:$AO$3=Q$2),'Réel 2024'!$C$8:$AO$501)</f>
        <v>68762.23</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58880.431076923087</v>
      </c>
      <c r="G43" s="298"/>
      <c r="H43" s="41"/>
      <c r="I43" s="248"/>
      <c r="J43" s="253"/>
      <c r="K43" s="604"/>
      <c r="L43" s="256">
        <f>SUMIFS(BV_Data_An_Cour!$P:$P,BV_Data_An_Cour!$U:$U,$B43,BV_Data_An_Cour!$V:$V,$C43,BV_Data_An_Cour!$W:$W,L$2)</f>
        <v>50318.21</v>
      </c>
      <c r="M43" s="253"/>
      <c r="N43" s="276">
        <f t="shared" si="20"/>
        <v>-8562.2210769230878</v>
      </c>
      <c r="O43" s="253"/>
      <c r="P43" s="41"/>
      <c r="Q43" s="256" cm="1">
        <f t="array" ref="Q43">+SUMPRODUCT(('Réel 2024'!$A$8:$A$501=$A43)*('Réel 2024'!$C$3:$AO$3=Q$2),'Réel 2024'!$C$8:$AO$501)</f>
        <v>38590.339999999997</v>
      </c>
      <c r="R43" s="253"/>
      <c r="S43" s="276">
        <f t="shared" ref="S43:S53" si="23">L43-Q43</f>
        <v>11727.870000000003</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1341.1038461538465</v>
      </c>
      <c r="G44" s="316"/>
      <c r="H44" s="315"/>
      <c r="I44" s="254"/>
      <c r="J44" s="241"/>
      <c r="K44" s="315"/>
      <c r="L44" s="272">
        <f>SUMIFS(BV_Data_An_Cour!$P:$P,BV_Data_An_Cour!$U:$U,$B44,BV_Data_An_Cour!$V:$V,$C44,BV_Data_An_Cour!$W:$W,L$2)</f>
        <v>7700.25</v>
      </c>
      <c r="M44" s="241"/>
      <c r="N44" s="317">
        <f t="shared" si="20"/>
        <v>6359.1461538461535</v>
      </c>
      <c r="O44" s="241"/>
      <c r="P44" s="315"/>
      <c r="Q44" s="272" cm="1">
        <f t="array" ref="Q44">+SUMPRODUCT(('Réel 2024'!$A$8:$A$501=$A44)*('Réel 2024'!$C$3:$AO$3=Q$2),'Réel 2024'!$C$8:$AO$501)</f>
        <v>14776.560000000001</v>
      </c>
      <c r="R44" s="241"/>
      <c r="S44" s="317">
        <f t="shared" si="23"/>
        <v>-7076.3100000000013</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47681.51841308373</v>
      </c>
      <c r="G49" s="298"/>
      <c r="H49" s="41"/>
      <c r="I49" s="248"/>
      <c r="J49" s="253"/>
      <c r="K49" s="41"/>
      <c r="L49" s="248">
        <f>SUMIFS(BV_Data_An_Cour!$P:$P,BV_Data_An_Cour!$U:$U,$B49,BV_Data_An_Cour!$V:$V,$C49,BV_Data_An_Cour!$W:$W,L$2)</f>
        <v>44822.78</v>
      </c>
      <c r="M49" s="253"/>
      <c r="N49" s="276">
        <f t="shared" si="20"/>
        <v>-2858.7384130837308</v>
      </c>
      <c r="O49" s="253"/>
      <c r="P49" s="41"/>
      <c r="Q49" s="248" cm="1">
        <f t="array" ref="Q49">+SUMPRODUCT(('Réel 2024'!$A$8:$A$501=$A49)*('Réel 2024'!$C$3:$AO$3=Q$2),'Réel 2024'!$C$8:$AO$501)</f>
        <v>41548.75</v>
      </c>
      <c r="R49" s="253"/>
      <c r="S49" s="276">
        <f t="shared" si="23"/>
        <v>3274.0299999999988</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57974.004766568767</v>
      </c>
      <c r="G50" s="316"/>
      <c r="H50" s="315"/>
      <c r="I50" s="254"/>
      <c r="J50" s="241"/>
      <c r="K50" s="315"/>
      <c r="L50" s="256">
        <f>SUMIFS(BV_Data_An_Cour!$P:$P,BV_Data_An_Cour!$U:$U,$B50,BV_Data_An_Cour!$V:$V,$C50,BV_Data_An_Cour!$W:$W,L$2)</f>
        <v>57190.14</v>
      </c>
      <c r="M50" s="241"/>
      <c r="N50" s="317">
        <f t="shared" si="20"/>
        <v>-783.86476656876766</v>
      </c>
      <c r="O50" s="241"/>
      <c r="P50" s="315"/>
      <c r="Q50" s="256" cm="1">
        <f t="array" ref="Q50">+SUMPRODUCT(('Réel 2024'!$A$8:$A$501=$A50)*('Réel 2024'!$C$3:$AO$3=Q$2),'Réel 2024'!$C$8:$AO$501)</f>
        <v>68368.549999999988</v>
      </c>
      <c r="R50" s="241"/>
      <c r="S50" s="317">
        <f t="shared" si="23"/>
        <v>-11178.409999999989</v>
      </c>
      <c r="T50" s="41"/>
      <c r="U50" s="254">
        <f>L50-Print_Mois!L50</f>
        <v>41679.39</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29869.215499297385</v>
      </c>
      <c r="G51" s="298"/>
      <c r="H51" s="41"/>
      <c r="I51" s="254"/>
      <c r="J51" s="253"/>
      <c r="K51" s="41"/>
      <c r="L51" s="256">
        <f>SUMIFS(BV_Data_An_Cour!$P:$P,BV_Data_An_Cour!$U:$U,$B51,BV_Data_An_Cour!$V:$V,$C51,BV_Data_An_Cour!$W:$W,L$2)</f>
        <v>28109.73</v>
      </c>
      <c r="M51" s="253"/>
      <c r="N51" s="276">
        <f t="shared" si="20"/>
        <v>-1759.4854992973851</v>
      </c>
      <c r="O51" s="253"/>
      <c r="P51" s="41"/>
      <c r="Q51" s="256" cm="1">
        <f t="array" ref="Q51">+SUMPRODUCT(('Réel 2024'!$A$8:$A$501=$A51)*('Réel 2024'!$C$3:$AO$3=Q$2),'Réel 2024'!$C$8:$AO$501)</f>
        <v>26923.79</v>
      </c>
      <c r="R51" s="253"/>
      <c r="S51" s="276">
        <f t="shared" si="23"/>
        <v>1185.9399999999987</v>
      </c>
      <c r="T51" s="41"/>
      <c r="U51" s="254">
        <f>L51-Print_Mois!L51</f>
        <v>19931.22</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13023.145998287186</v>
      </c>
      <c r="G52" s="298"/>
      <c r="H52" s="41"/>
      <c r="I52" s="254"/>
      <c r="J52" s="253"/>
      <c r="K52" s="41"/>
      <c r="L52" s="256">
        <f>SUMIFS(BV_Data_An_Cour!$P:$P,BV_Data_An_Cour!$U:$U,$B52,BV_Data_An_Cour!$V:$V,$C52,BV_Data_An_Cour!$W:$W,L$2)</f>
        <v>11105.44</v>
      </c>
      <c r="M52" s="253"/>
      <c r="N52" s="276">
        <f t="shared" si="20"/>
        <v>-1917.7059982871851</v>
      </c>
      <c r="O52" s="253"/>
      <c r="P52" s="41"/>
      <c r="Q52" s="256" cm="1">
        <f t="array" ref="Q52">+SUMPRODUCT(('Réel 2024'!$A$8:$A$501=$A52)*('Réel 2024'!$C$3:$AO$3=Q$2),'Réel 2024'!$C$8:$AO$501)</f>
        <v>12396.05</v>
      </c>
      <c r="R52" s="253"/>
      <c r="S52" s="276">
        <f t="shared" si="23"/>
        <v>-1290.6099999999988</v>
      </c>
      <c r="T52" s="41"/>
      <c r="U52" s="254">
        <f>L52-Print_Mois!L52</f>
        <v>8010.75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0.39946057774778271</v>
      </c>
      <c r="F54" s="307">
        <f>+SUM(F42:F53)</f>
        <v>310649.39748492942</v>
      </c>
      <c r="G54" s="308"/>
      <c r="H54" s="306"/>
      <c r="I54" s="307"/>
      <c r="J54" s="308" t="s">
        <v>119</v>
      </c>
      <c r="K54" s="306">
        <f>L54/L$27</f>
        <v>0.42933985711673034</v>
      </c>
      <c r="L54" s="307">
        <f>+SUM(L42:L53)</f>
        <v>281688.94</v>
      </c>
      <c r="M54" s="311"/>
      <c r="N54" s="307">
        <f>+SUM(N42:N53)</f>
        <v>-28960.4574849294</v>
      </c>
      <c r="O54" s="308" t="s">
        <v>119</v>
      </c>
      <c r="P54" s="306">
        <f>Q54/Q$27</f>
        <v>0.28966321174555526</v>
      </c>
      <c r="Q54" s="307">
        <f>+SUM(Q42:Q53)</f>
        <v>271366.27</v>
      </c>
      <c r="R54" s="311"/>
      <c r="S54" s="307">
        <f>+SUM(S42:S53)</f>
        <v>-3357.4899999999889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35810.191733333333</v>
      </c>
      <c r="G57" s="300"/>
      <c r="H57" s="318"/>
      <c r="I57" s="248"/>
      <c r="J57" s="246"/>
      <c r="K57" s="318"/>
      <c r="L57" s="248">
        <f>SUMIFS(BV_Data_An_Cour!$P:$P,BV_Data_An_Cour!$U:$U,$B57,BV_Data_An_Cour!$V:$V,$C57,BV_Data_An_Cour!$W:$W,L$2)</f>
        <v>35867.26</v>
      </c>
      <c r="M57" s="246"/>
      <c r="N57" s="296">
        <f t="shared" si="24"/>
        <v>57.068266666668933</v>
      </c>
      <c r="O57" s="246"/>
      <c r="P57" s="318"/>
      <c r="Q57" s="248" cm="1">
        <f t="array" ref="Q57">+SUMPRODUCT(('Réel 2024'!$A$8:$A$501=$A57)*('Réel 2024'!$C$3:$AO$3=Q$2),'Réel 2024'!$C$8:$AO$501)</f>
        <v>33451.089999999997</v>
      </c>
      <c r="R57" s="246"/>
      <c r="S57" s="296">
        <f t="shared" si="25"/>
        <v>2416.1700000000055</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31843.979034062228</v>
      </c>
      <c r="G58" s="298"/>
      <c r="H58" s="41"/>
      <c r="I58" s="254"/>
      <c r="J58" s="253"/>
      <c r="K58" s="41"/>
      <c r="L58" s="256">
        <f>SUMIFS(BV_Data_An_Cour!$P:$P,BV_Data_An_Cour!$U:$U,$B58,BV_Data_An_Cour!$V:$V,$C58,BV_Data_An_Cour!$W:$W,L$2)</f>
        <v>27562.46</v>
      </c>
      <c r="M58" s="253"/>
      <c r="N58" s="276">
        <f t="shared" si="24"/>
        <v>-4281.5190340622285</v>
      </c>
      <c r="O58" s="253"/>
      <c r="P58" s="41"/>
      <c r="Q58" s="256" cm="1">
        <f t="array" ref="Q58">+SUMPRODUCT(('Réel 2024'!$A$8:$A$501=$A58)*('Réel 2024'!$C$3:$AO$3=Q$2),'Réel 2024'!$C$8:$AO$501)</f>
        <v>28338.43</v>
      </c>
      <c r="R58" s="253"/>
      <c r="S58" s="276">
        <f t="shared" si="25"/>
        <v>-775.97000000000116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5066.7900034519225</v>
      </c>
      <c r="G59" s="298"/>
      <c r="H59" s="41"/>
      <c r="I59" s="254"/>
      <c r="J59" s="253"/>
      <c r="K59" s="41"/>
      <c r="L59" s="256">
        <f>SUMIFS(BV_Data_An_Cour!$P:$P,BV_Data_An_Cour!$U:$U,$B59,BV_Data_An_Cour!$V:$V,$C59,BV_Data_An_Cour!$W:$W,L$2)</f>
        <v>5368.37</v>
      </c>
      <c r="M59" s="253"/>
      <c r="N59" s="276">
        <f t="shared" si="24"/>
        <v>301.57999654807736</v>
      </c>
      <c r="O59" s="253"/>
      <c r="P59" s="41"/>
      <c r="Q59" s="256" cm="1">
        <f t="array" ref="Q59">+SUMPRODUCT(('Réel 2024'!$A$8:$A$501=$A59)*('Réel 2024'!$C$3:$AO$3=Q$2),'Réel 2024'!$C$8:$AO$501)</f>
        <v>5113.4699999999993</v>
      </c>
      <c r="R59" s="253"/>
      <c r="S59" s="276">
        <f t="shared" si="25"/>
        <v>254.90000000000055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28862.962894350119</v>
      </c>
      <c r="G60" s="300"/>
      <c r="H60" s="318"/>
      <c r="I60" s="248"/>
      <c r="J60" s="246"/>
      <c r="K60" s="318"/>
      <c r="L60" s="248">
        <f>SUMIFS(BV_Data_An_Cour!$P:$P,BV_Data_An_Cour!$U:$U,$B60,BV_Data_An_Cour!$V:$V,$C60,BV_Data_An_Cour!$W:$W,L$2)</f>
        <v>33315.26</v>
      </c>
      <c r="M60" s="246"/>
      <c r="N60" s="296">
        <f t="shared" si="24"/>
        <v>4452.2971056498827</v>
      </c>
      <c r="O60" s="246"/>
      <c r="P60" s="318"/>
      <c r="Q60" s="248" cm="1">
        <f t="array" ref="Q60">+SUMPRODUCT(('Réel 2024'!$A$8:$A$501=$A60)*('Réel 2024'!$C$3:$AO$3=Q$2),'Réel 2024'!$C$8:$AO$501)</f>
        <v>27682.03</v>
      </c>
      <c r="R60" s="246"/>
      <c r="S60" s="296">
        <f t="shared" si="25"/>
        <v>5633.2300000000032</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389.0293333333334</v>
      </c>
      <c r="G61" s="298"/>
      <c r="H61" s="41"/>
      <c r="I61" s="254"/>
      <c r="J61" s="253"/>
      <c r="K61" s="41"/>
      <c r="L61" s="256">
        <f>SUMIFS(BV_Data_An_Cour!$P:$P,BV_Data_An_Cour!$U:$U,$B61,BV_Data_An_Cour!$V:$V,$C61,BV_Data_An_Cour!$W:$W,L$2)</f>
        <v>306.39</v>
      </c>
      <c r="M61" s="253"/>
      <c r="N61" s="276">
        <f t="shared" si="24"/>
        <v>-82.639333333333411</v>
      </c>
      <c r="O61" s="253"/>
      <c r="P61" s="41"/>
      <c r="Q61" s="256" cm="1">
        <f t="array" ref="Q61">+SUMPRODUCT(('Réel 2024'!$A$8:$A$501=$A61)*('Réel 2024'!$C$3:$AO$3=Q$2),'Réel 2024'!$C$8:$AO$501)</f>
        <v>361.4</v>
      </c>
      <c r="R61" s="253"/>
      <c r="S61" s="276">
        <f t="shared" si="25"/>
        <v>-55.009999999999991</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113.33333333333333</v>
      </c>
      <c r="G62" s="298"/>
      <c r="H62" s="41"/>
      <c r="I62" s="254"/>
      <c r="J62" s="253"/>
      <c r="K62" s="41"/>
      <c r="L62" s="256">
        <f>SUMIFS(BV_Data_An_Cour!$P:$P,BV_Data_An_Cour!$U:$U,$B62,BV_Data_An_Cour!$V:$V,$C62,BV_Data_An_Cour!$W:$W,L$2)</f>
        <v>623</v>
      </c>
      <c r="M62" s="253"/>
      <c r="N62" s="276">
        <f t="shared" si="24"/>
        <v>509.66666666666669</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2965.72357867648</v>
      </c>
      <c r="G63" s="298"/>
      <c r="H63" s="41"/>
      <c r="I63" s="254"/>
      <c r="J63" s="253"/>
      <c r="K63" s="41"/>
      <c r="L63" s="256">
        <f>SUMIFS(BV_Data_An_Cour!$P:$P,BV_Data_An_Cour!$U:$U,$B63,BV_Data_An_Cour!$V:$V,$C63,BV_Data_An_Cour!$W:$W,L$2)</f>
        <v>1804.84</v>
      </c>
      <c r="M63" s="253"/>
      <c r="N63" s="276">
        <f t="shared" si="24"/>
        <v>-1160.8835786764801</v>
      </c>
      <c r="O63" s="253"/>
      <c r="P63" s="41"/>
      <c r="Q63" s="256" cm="1">
        <f t="array" ref="Q63">+SUMPRODUCT(('Réel 2024'!$A$8:$A$501=$A63)*('Réel 2024'!$C$3:$AO$3=Q$2),'Réel 2024'!$C$8:$AO$501)</f>
        <v>2689.83</v>
      </c>
      <c r="R63" s="253"/>
      <c r="S63" s="276">
        <f t="shared" si="25"/>
        <v>-884.99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1379.2079396719289</v>
      </c>
      <c r="G64" s="298"/>
      <c r="H64" s="41"/>
      <c r="I64" s="254"/>
      <c r="J64" s="253"/>
      <c r="K64" s="41"/>
      <c r="L64" s="256">
        <f>SUMIFS(BV_Data_An_Cour!$P:$P,BV_Data_An_Cour!$U:$U,$B64,BV_Data_An_Cour!$V:$V,$C64,BV_Data_An_Cour!$W:$W,L$2)</f>
        <v>1693.46</v>
      </c>
      <c r="M64" s="253"/>
      <c r="N64" s="276">
        <f t="shared" si="24"/>
        <v>314.25206032807114</v>
      </c>
      <c r="O64" s="253"/>
      <c r="P64" s="41"/>
      <c r="Q64" s="256" cm="1">
        <f t="array" ref="Q64">+SUMPRODUCT(('Réel 2024'!$A$8:$A$501=$A64)*('Réel 2024'!$C$3:$AO$3=Q$2),'Réel 2024'!$C$8:$AO$501)</f>
        <v>1379.94</v>
      </c>
      <c r="R64" s="253"/>
      <c r="S64" s="276">
        <f t="shared" si="25"/>
        <v>313.52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411.28958147367103</v>
      </c>
      <c r="G65" s="298"/>
      <c r="H65" s="41"/>
      <c r="I65" s="254"/>
      <c r="J65" s="253"/>
      <c r="K65" s="41"/>
      <c r="L65" s="256">
        <f>SUMIFS(BV_Data_An_Cour!$P:$P,BV_Data_An_Cour!$U:$U,$B65,BV_Data_An_Cour!$V:$V,$C65,BV_Data_An_Cour!$W:$W,L$2)</f>
        <v>1710.8</v>
      </c>
      <c r="M65" s="253"/>
      <c r="N65" s="276">
        <f t="shared" si="24"/>
        <v>1299.510418526329</v>
      </c>
      <c r="O65" s="253"/>
      <c r="P65" s="41"/>
      <c r="Q65" s="256" cm="1">
        <f t="array" ref="Q65">+SUMPRODUCT(('Réel 2024'!$A$8:$A$501=$A65)*('Réel 2024'!$C$3:$AO$3=Q$2),'Réel 2024'!$C$8:$AO$501)</f>
        <v>670.12</v>
      </c>
      <c r="R65" s="253"/>
      <c r="S65" s="276">
        <f t="shared" si="25"/>
        <v>1040.6799999999998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804.68154067175112</v>
      </c>
      <c r="G66" s="298"/>
      <c r="H66" s="41"/>
      <c r="I66" s="254"/>
      <c r="J66" s="253"/>
      <c r="K66" s="41"/>
      <c r="L66" s="256">
        <f>SUMIFS(BV_Data_An_Cour!$P:$P,BV_Data_An_Cour!$U:$U,$B66,BV_Data_An_Cour!$V:$V,$C66,BV_Data_An_Cour!$W:$W,L$2)</f>
        <v>352.92</v>
      </c>
      <c r="M66" s="253"/>
      <c r="N66" s="276">
        <f t="shared" si="24"/>
        <v>-451.76154067175111</v>
      </c>
      <c r="O66" s="253"/>
      <c r="P66" s="41"/>
      <c r="Q66" s="256" cm="1">
        <f t="array" ref="Q66">+SUMPRODUCT(('Réel 2024'!$A$8:$A$501=$A66)*('Réel 2024'!$C$3:$AO$3=Q$2),'Réel 2024'!$C$8:$AO$501)</f>
        <v>766.81999999999994</v>
      </c>
      <c r="R66" s="253"/>
      <c r="S66" s="276">
        <f t="shared" si="25"/>
        <v>-413.89999999999992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7738.824999999998</v>
      </c>
      <c r="G67" s="298"/>
      <c r="H67" s="41"/>
      <c r="I67" s="254"/>
      <c r="J67" s="253"/>
      <c r="K67" s="41"/>
      <c r="L67" s="256">
        <f>SUMIFS(BV_Data_An_Cour!$P:$P,BV_Data_An_Cour!$U:$U,$B67,BV_Data_An_Cour!$V:$V,$C67,BV_Data_An_Cour!$W:$W,L$2)</f>
        <v>10718.75</v>
      </c>
      <c r="M67" s="253"/>
      <c r="N67" s="276">
        <f t="shared" si="24"/>
        <v>2979.925000000002</v>
      </c>
      <c r="O67" s="253"/>
      <c r="P67" s="41"/>
      <c r="Q67" s="256" cm="1">
        <f t="array" ref="Q67">+SUMPRODUCT(('Réel 2024'!$A$8:$A$501=$A67)*('Réel 2024'!$C$3:$AO$3=Q$2),'Réel 2024'!$C$8:$AO$501)</f>
        <v>5534.1399999999994</v>
      </c>
      <c r="R67" s="253"/>
      <c r="S67" s="276">
        <f t="shared" si="25"/>
        <v>5184.6100000000006</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12041.502137237378</v>
      </c>
      <c r="G68" s="298"/>
      <c r="H68" s="41"/>
      <c r="I68" s="254"/>
      <c r="J68" s="253"/>
      <c r="K68" s="41"/>
      <c r="L68" s="952">
        <f>SUMIFS(BV_Data_An_Cour!$P:$P,BV_Data_An_Cour!$U:$U,$B68,BV_Data_An_Cour!$V:$V,$C68,BV_Data_An_Cour!$W:$W,L$2)</f>
        <v>13296.56</v>
      </c>
      <c r="M68" s="987"/>
      <c r="N68" s="961">
        <f t="shared" si="24"/>
        <v>1255.0578627626219</v>
      </c>
      <c r="O68" s="253"/>
      <c r="P68" s="41"/>
      <c r="Q68" s="256" cm="1">
        <f t="array" ref="Q68">+SUMPRODUCT(('Réel 2024'!$A$8:$A$501=$A68)*('Réel 2024'!$C$3:$AO$3=Q$2),'Réel 2024'!$C$8:$AO$501)</f>
        <v>13017.18</v>
      </c>
      <c r="R68" s="253"/>
      <c r="S68" s="276">
        <f t="shared" si="25"/>
        <v>279.3799999999992</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0.1638576144625335</v>
      </c>
      <c r="F72" s="307">
        <f>+SUM(F55:F71)</f>
        <v>127427.51610959547</v>
      </c>
      <c r="G72" s="308"/>
      <c r="H72" s="306"/>
      <c r="I72" s="307"/>
      <c r="J72" s="308" t="s">
        <v>119</v>
      </c>
      <c r="K72" s="306">
        <f>L72/L$27</f>
        <v>0.20213460246117854</v>
      </c>
      <c r="L72" s="307">
        <f>+SUM(L55:L71)</f>
        <v>132620.07</v>
      </c>
      <c r="M72" s="311"/>
      <c r="N72" s="307">
        <f>+SUM(N55:N71)</f>
        <v>5192.5538904045261</v>
      </c>
      <c r="O72" s="308" t="s">
        <v>119</v>
      </c>
      <c r="P72" s="306">
        <f>Q72/Q$27</f>
        <v>0.12702835617342323</v>
      </c>
      <c r="Q72" s="307">
        <f>+SUM(Q55:Q71)</f>
        <v>119004.44999999998</v>
      </c>
      <c r="R72" s="311"/>
      <c r="S72" s="307">
        <f>+SUM(S55:S71)</f>
        <v>13615.620000000008</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1.1654101966948816</v>
      </c>
      <c r="F74" s="307">
        <f>F41+F54+F72</f>
        <v>906307.14416741359</v>
      </c>
      <c r="G74" s="308"/>
      <c r="H74" s="306"/>
      <c r="I74" s="307"/>
      <c r="J74" s="308" t="s">
        <v>119</v>
      </c>
      <c r="K74" s="306">
        <f>L74/L$27</f>
        <v>1.1477748264393677</v>
      </c>
      <c r="L74" s="307">
        <f>L41+L54+L72</f>
        <v>753052.55</v>
      </c>
      <c r="M74" s="311"/>
      <c r="N74" s="320">
        <f t="shared" ref="N74:N82" si="26">L74-F74</f>
        <v>-153254.59416741354</v>
      </c>
      <c r="O74" s="308" t="s">
        <v>119</v>
      </c>
      <c r="P74" s="306">
        <f>Q74/Q$27</f>
        <v>0.92404107904995114</v>
      </c>
      <c r="Q74" s="307">
        <f>Q41+Q54+Q72</f>
        <v>865672.86</v>
      </c>
      <c r="R74" s="311"/>
      <c r="S74" s="320">
        <f>L74-Q74</f>
        <v>-112620.30999999994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25000</v>
      </c>
      <c r="G75" s="298"/>
      <c r="H75" s="41"/>
      <c r="I75" s="254"/>
      <c r="J75" s="253"/>
      <c r="K75" s="41"/>
      <c r="L75" s="256">
        <f>-SUMIFS(BV_Data_An_Cour!$P:$P,BV_Data_An_Cour!$U:$U,$B75,BV_Data_An_Cour!$V:$V,$C75,BV_Data_An_Cour!$W:$W,L$2)</f>
        <v>0</v>
      </c>
      <c r="M75" s="253"/>
      <c r="N75" s="276">
        <f t="shared" si="26"/>
        <v>-25000</v>
      </c>
      <c r="O75" s="253"/>
      <c r="P75" s="41"/>
      <c r="Q75" s="256" cm="1">
        <f t="array" ref="Q75">+SUMPRODUCT(('Réel 2024'!$A$8:$A$501=$A75)*('Réel 2024'!$C$3:$AO$3=Q$2),'Réel 2024'!$C$8:$AO$501)</f>
        <v>695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319645.85787632875</v>
      </c>
      <c r="G78" s="298"/>
      <c r="H78" s="41"/>
      <c r="I78" s="254"/>
      <c r="J78" s="253"/>
      <c r="K78" s="41"/>
      <c r="L78" s="256">
        <f>-SUMIFS(BV_Data_An_Cour!$P:$P,BV_Data_An_Cour!$U:$U,$B78,BV_Data_An_Cour!$V:$V,$C78,BV_Data_An_Cour!$W:$W,L$2)</f>
        <v>277549</v>
      </c>
      <c r="M78" s="253"/>
      <c r="N78" s="276">
        <f t="shared" si="26"/>
        <v>-42096.857876328751</v>
      </c>
      <c r="O78" s="253"/>
      <c r="P78" s="41"/>
      <c r="Q78" s="256" cm="1">
        <f t="array" ref="Q78">+SUMPRODUCT(('Réel 2024'!$A$8:$A$501=$A78)*('Réel 2024'!$C$3:$AO$3=Q$2),'Réel 2024'!$C$8:$AO$501)</f>
        <v>333038.7</v>
      </c>
      <c r="R78" s="253"/>
      <c r="S78" s="276">
        <f t="shared" si="27"/>
        <v>-55489.700000000012</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107609.34999999999</v>
      </c>
      <c r="G82" s="298"/>
      <c r="H82" s="41"/>
      <c r="I82" s="254"/>
      <c r="J82" s="253"/>
      <c r="K82" s="41"/>
      <c r="L82" s="256">
        <f>-SUMIFS(BV_Data_An_Cour!$P:$P,BV_Data_An_Cour!$U:$U,$B82,BV_Data_An_Cour!$V:$V,$C82,BV_Data_An_Cour!$W:$W,L$2)</f>
        <v>88575</v>
      </c>
      <c r="M82" s="253"/>
      <c r="N82" s="276">
        <f t="shared" si="26"/>
        <v>-19034.349999999991</v>
      </c>
      <c r="O82" s="253"/>
      <c r="P82" s="41"/>
      <c r="Q82" s="256" cm="1">
        <f t="array" ref="Q82">+SUMPRODUCT(('Réel 2024'!$A$8:$A$501=$A82)*('Réel 2024'!$C$3:$AO$3=Q$2),'Réel 2024'!$C$8:$AO$501)</f>
        <v>125814</v>
      </c>
      <c r="R82" s="253"/>
      <c r="S82" s="276">
        <f t="shared" si="27"/>
        <v>-37239</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452255.20787632873</v>
      </c>
      <c r="G83" s="308"/>
      <c r="H83" s="306"/>
      <c r="I83" s="307"/>
      <c r="J83" s="308"/>
      <c r="K83" s="306"/>
      <c r="L83" s="307">
        <f>+SUM(L75:L82)</f>
        <v>366124</v>
      </c>
      <c r="M83" s="311"/>
      <c r="N83" s="307">
        <f>+SUM(N75:N82)</f>
        <v>-86131.207876328743</v>
      </c>
      <c r="O83" s="308"/>
      <c r="P83" s="306"/>
      <c r="Q83" s="307">
        <f>+SUM(Q75:Q82)</f>
        <v>459547.7</v>
      </c>
      <c r="R83" s="311"/>
      <c r="S83" s="307">
        <f>+SUM(S75:S82)</f>
        <v>-92728.700000000012</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323620.29168299027</v>
      </c>
      <c r="G85" s="336"/>
      <c r="H85" s="334"/>
      <c r="I85" s="335"/>
      <c r="J85" s="336"/>
      <c r="K85" s="333"/>
      <c r="L85" s="335">
        <f>L27-L74+L83</f>
        <v>269169.26000000071</v>
      </c>
      <c r="M85" s="336"/>
      <c r="N85" s="335">
        <f>N27-N41-N54-N72+N83</f>
        <v>-54451.031682989473</v>
      </c>
      <c r="O85" s="336"/>
      <c r="P85" s="333"/>
      <c r="Q85" s="335">
        <f>Q27-Q74+Q83</f>
        <v>530708.57999999844</v>
      </c>
      <c r="R85" s="336"/>
      <c r="S85" s="335">
        <f>L85-Q85</f>
        <v>-261539.31999999774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Avril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18" t="s">
        <v>343</v>
      </c>
      <c r="E91" s="1219"/>
      <c r="F91" s="1220"/>
      <c r="G91" s="1221"/>
      <c r="H91" s="1219"/>
      <c r="I91" s="1220"/>
      <c r="J91" s="1221" t="s">
        <v>344</v>
      </c>
      <c r="K91" s="1219"/>
      <c r="L91" s="1220"/>
      <c r="M91" s="1221" t="s">
        <v>3310</v>
      </c>
      <c r="N91" s="1220"/>
      <c r="O91" s="1218" t="s">
        <v>345</v>
      </c>
      <c r="P91" s="1219"/>
      <c r="Q91" s="1220"/>
      <c r="R91" s="1222" t="s">
        <v>3312</v>
      </c>
      <c r="S91" s="122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5098119.2374547292</v>
      </c>
      <c r="G93" s="267"/>
      <c r="H93" s="250"/>
      <c r="I93" s="248"/>
      <c r="J93" s="246"/>
      <c r="K93" s="250"/>
      <c r="L93" s="248">
        <f>-SUMIFS(BV_Data_An_Cour!$P:$P,BV_Data_An_Cour!$X:$X,"Oui",BV_Data_An_Cour!$U:$U,$B93)</f>
        <v>3325213.7199999997</v>
      </c>
      <c r="M93" s="342"/>
      <c r="N93" s="343"/>
      <c r="O93" s="246"/>
      <c r="P93" s="250"/>
      <c r="Q93" s="248" cm="1">
        <f t="array" ref="Q93">+SUMPRODUCT(('Réel 2024'!$A$8:$A$501=$A93)*('Réel 2024'!$C$3:$AO$3=Q$2),'Réel 2024'!$C$8:$AO$501)</f>
        <v>5258851.3299999898</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78</v>
      </c>
      <c r="E94" s="254">
        <f t="shared" ref="E94:E100" si="29">IF(D94=0,0,F94/D94)</f>
        <v>1400</v>
      </c>
      <c r="F94" s="254" cm="1">
        <f t="array" ref="F94">+SUMPRODUCT(('Budget original'!$A$8:$A$501=$A94)*('Budget original'!$C$3:$AO$3=F$2),'Budget original'!$C$8:$AO$501)</f>
        <v>109200</v>
      </c>
      <c r="G94" s="255"/>
      <c r="H94" s="254"/>
      <c r="I94" s="254"/>
      <c r="J94" s="255">
        <f>-SUMIFS(BV_Data_An_Cour!$P:$P,BV_Data_An_Cour!$U:$U,$B94,BV_Data_An_Cour!$V:$V,$C94,BV_Data_An_Cour!$W:$W,J$2)</f>
        <v>87</v>
      </c>
      <c r="K94" s="254">
        <f t="shared" ref="K94:K95" si="30">IF(J94=0,0,L94/J94)</f>
        <v>1215.280114942527</v>
      </c>
      <c r="L94" s="256">
        <f>-SUMIFS(BV_Data_An_Cour!$P:$P,BV_Data_An_Cour!$U:$U,$B94,BV_Data_An_Cour!$V:$V,$C94,BV_Data_An_Cour!$W:$W,$L2)</f>
        <v>105729.36999999985</v>
      </c>
      <c r="M94" s="255">
        <f>J94-D94</f>
        <v>9</v>
      </c>
      <c r="N94" s="256">
        <f>L94-F94</f>
        <v>-3470.6300000001502</v>
      </c>
      <c r="O94" s="255" cm="1">
        <f t="array" ref="O94">+SUMPRODUCT(('Réel 2024'!$A$8:$A$501=$A94)*('Réel 2024'!$C$3:$AO$3=O$2),'Réel 2024'!$C$8:$AO$501)</f>
        <v>80</v>
      </c>
      <c r="P94" s="254">
        <f t="shared" ref="P94:P100" si="31">IF(O94=0,0,Q94/O94)</f>
        <v>881.98437499999966</v>
      </c>
      <c r="Q94" s="256" cm="1">
        <f t="array" ref="Q94">+SUMPRODUCT(('Réel 2024'!$A$8:$A$501=$A94)*('Réel 2024'!$C$3:$AO$3=Q$2),'Réel 2024'!$C$8:$AO$501)</f>
        <v>70558.749999999971</v>
      </c>
      <c r="R94" s="255">
        <f t="shared" ref="R94:R95" si="32">J94-O94</f>
        <v>7</v>
      </c>
      <c r="S94" s="256">
        <f t="shared" ref="S94:S95" si="33">L94-Q94</f>
        <v>35170.619999999879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9</v>
      </c>
      <c r="E95" s="1076">
        <f t="shared" si="29"/>
        <v>1800</v>
      </c>
      <c r="F95" s="254" cm="1">
        <f t="array" ref="F95">+SUMPRODUCT(('Budget original'!$A$8:$A$501=$A95)*('Budget original'!$C$3:$AO$3=F$2),'Budget original'!$C$8:$AO$501)</f>
        <v>16200</v>
      </c>
      <c r="G95" s="255"/>
      <c r="H95" s="254"/>
      <c r="I95" s="254"/>
      <c r="J95" s="255">
        <f>-SUMIFS(BV_Data_An_Cour!$P:$P,BV_Data_An_Cour!$U:$U,$B95,BV_Data_An_Cour!$V:$V,$C95,BV_Data_An_Cour!$W:$W,J$2)</f>
        <v>7</v>
      </c>
      <c r="K95" s="254">
        <f t="shared" si="30"/>
        <v>492.57142857143015</v>
      </c>
      <c r="L95" s="256">
        <f>-SUMIFS(BV_Data_An_Cour!$P:$P,BV_Data_An_Cour!$U:$U,$B95,BV_Data_An_Cour!$V:$V,$C95,BV_Data_An_Cour!$W:$W,$L2)</f>
        <v>3448.0000000000109</v>
      </c>
      <c r="M95" s="255">
        <f>J95-D95</f>
        <v>-2</v>
      </c>
      <c r="N95" s="256">
        <f>L95-F95</f>
        <v>-12751.999999999989</v>
      </c>
      <c r="O95" s="255" cm="1">
        <f t="array" ref="O95">+SUMPRODUCT(('Réel 2024'!$A$8:$A$501=$A95)*('Réel 2024'!$C$3:$AO$3=O$2),'Réel 2024'!$C$8:$AO$501)</f>
        <v>4</v>
      </c>
      <c r="P95" s="254">
        <f t="shared" si="31"/>
        <v>-1935.1049999999973</v>
      </c>
      <c r="Q95" s="256" cm="1">
        <f t="array" ref="Q95">+SUMPRODUCT(('Réel 2024'!$A$8:$A$501=$A95)*('Réel 2024'!$C$3:$AO$3=Q$2),'Réel 2024'!$C$8:$AO$501)</f>
        <v>-7740.4199999999892</v>
      </c>
      <c r="R95" s="255">
        <f t="shared" si="32"/>
        <v>3</v>
      </c>
      <c r="S95" s="256">
        <f t="shared" si="33"/>
        <v>11188.42</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15</v>
      </c>
      <c r="E96" s="1078">
        <f t="shared" si="29"/>
        <v>1500</v>
      </c>
      <c r="F96" s="254" cm="1">
        <f t="array" ref="F96">+SUMPRODUCT(('Budget original'!$A$8:$A$501=$A96)*('Budget original'!$C$3:$AO$3=F$2),'Budget original'!$C$8:$AO$501)</f>
        <v>22500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-8</v>
      </c>
      <c r="N96" s="952">
        <f>L96-F96</f>
        <v>-6026.9000000000087</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102</v>
      </c>
      <c r="E97" s="254">
        <f t="shared" si="29"/>
        <v>1450</v>
      </c>
      <c r="F97" s="261">
        <f>+F94+F95+F96</f>
        <v>147900</v>
      </c>
      <c r="G97" s="262"/>
      <c r="H97" s="260"/>
      <c r="I97" s="261"/>
      <c r="J97" s="262">
        <f>+J94+J95+J96</f>
        <v>101</v>
      </c>
      <c r="K97" s="260">
        <f>IF(J97&lt;=0,0,L97/J97)</f>
        <v>1244.0640594059391</v>
      </c>
      <c r="L97" s="261">
        <f>+L94+L95+L96</f>
        <v>125650.46999999986</v>
      </c>
      <c r="M97" s="262">
        <f>J97-D97</f>
        <v>-1</v>
      </c>
      <c r="N97" s="261">
        <f>L97-F97</f>
        <v>-22249.530000000144</v>
      </c>
      <c r="O97" s="262">
        <f>+O95+O94+O96</f>
        <v>84</v>
      </c>
      <c r="P97" s="260">
        <f t="shared" si="31"/>
        <v>747.8372619047617</v>
      </c>
      <c r="Q97" s="261">
        <f>+Q94+Q95+Q96</f>
        <v>62818.32999999998</v>
      </c>
      <c r="R97" s="262">
        <f>R94+R95</f>
        <v>10</v>
      </c>
      <c r="S97" s="261">
        <f>S94+S95</f>
        <v>46359.039999999877</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-9.8039215686274508E-3</v>
      </c>
      <c r="N98" s="265">
        <f>N97/F97</f>
        <v>-0.15043630831643098</v>
      </c>
      <c r="O98" s="253"/>
      <c r="P98" s="41">
        <f t="shared" si="31"/>
        <v>0</v>
      </c>
      <c r="Q98" s="263"/>
      <c r="R98" s="264">
        <f>R97/O97</f>
        <v>0.11904761904761904</v>
      </c>
      <c r="S98" s="265">
        <f>IF(Q97=0,0,(S97/Q97))</f>
        <v>0.73798587132131488</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111</v>
      </c>
      <c r="E100" s="254">
        <f t="shared" si="29"/>
        <v>400</v>
      </c>
      <c r="F100" s="254" cm="1">
        <f t="array" ref="F100">+SUMPRODUCT(('Budget original'!$A$8:$A$501=$A100)*('Budget original'!$C$3:$AO$3=F$2),'Budget original'!$C$8:$AO$501)</f>
        <v>44400</v>
      </c>
      <c r="G100" s="254"/>
      <c r="H100" s="254"/>
      <c r="I100" s="254"/>
      <c r="J100" s="255">
        <f>-SUMIFS(BV_Data_An_Cour!$P:$P,BV_Data_An_Cour!$U:$U,$B100,BV_Data_An_Cour!$V:$V,$C100,BV_Data_An_Cour!$W:$W,J$2)</f>
        <v>57</v>
      </c>
      <c r="K100" s="254">
        <f t="shared" si="36"/>
        <v>887.92245614035016</v>
      </c>
      <c r="L100" s="256">
        <f>-SUMIFS(BV_Data_An_Cour!$P:$P,BV_Data_An_Cour!$U:$U,$B100,BV_Data_An_Cour!$V:$V,$C100,BV_Data_An_Cour!$W:$W,L$2)</f>
        <v>50611.579999999958</v>
      </c>
      <c r="M100" s="255">
        <f>J100-D100</f>
        <v>-54</v>
      </c>
      <c r="N100" s="256">
        <f>L100-F100</f>
        <v>6211.5799999999581</v>
      </c>
      <c r="O100" s="255" cm="1">
        <f t="array" ref="O100">+SUMPRODUCT(('Réel 2024'!$A$8:$A$501=$A100)*('Réel 2024'!$C$3:$AO$3=O$2),'Réel 2024'!$C$8:$AO$501)</f>
        <v>143</v>
      </c>
      <c r="P100" s="254">
        <f t="shared" si="31"/>
        <v>27.232587412587428</v>
      </c>
      <c r="Q100" s="256" cm="1">
        <f t="array" ref="Q100">+SUMPRODUCT(('Réel 2024'!$A$8:$A$501=$A100)*('Réel 2024'!$C$3:$AO$3=Q$2),'Réel 2024'!$C$8:$AO$501)</f>
        <v>3894.260000000002</v>
      </c>
      <c r="R100" s="255">
        <f t="shared" si="37"/>
        <v>-86</v>
      </c>
      <c r="S100" s="256">
        <f t="shared" si="38"/>
        <v>46717.319999999956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61200</v>
      </c>
      <c r="G102" s="255"/>
      <c r="H102" s="254"/>
      <c r="I102" s="254"/>
      <c r="J102" s="255"/>
      <c r="K102" s="254">
        <f>IF(J97=0,0,L102/J97)</f>
        <v>331.53178217821784</v>
      </c>
      <c r="L102" s="256">
        <f>-SUMIFS(BV_Data_An_Cour!$P:$P,BV_Data_An_Cour!$U:$U,$B102,BV_Data_An_Cour!$V:$V,$C102,BV_Data_An_Cour!$W:$W,$L2)</f>
        <v>33484.71</v>
      </c>
      <c r="M102" s="255"/>
      <c r="N102" s="256">
        <f>L102-F102</f>
        <v>-27715.29</v>
      </c>
      <c r="O102" s="255" cm="1">
        <f t="array" ref="O102">+SUMPRODUCT(('Réel 2024'!$A$8:$A$501=$A102)*('Réel 2024'!$C$3:$AO$3=O$2),'Réel 2024'!$C$8:$AO$501)</f>
        <v>0</v>
      </c>
      <c r="P102" s="254">
        <f t="shared" ref="P102:P105" si="40">IF(O102=0,0,Q102/O102)</f>
        <v>0</v>
      </c>
      <c r="Q102" s="256" cm="1">
        <f t="array" ref="Q102">+SUMPRODUCT(('Réel 2024'!$A$8:$A$501=$A102)*('Réel 2024'!$C$3:$AO$3=Q$2),'Réel 2024'!$C$8:$AO$501)</f>
        <v>14605.170000000002</v>
      </c>
      <c r="R102" s="255">
        <f t="shared" ref="R102:R104" si="41">O102-K102</f>
        <v>-331.53178217821784</v>
      </c>
      <c r="S102" s="256">
        <f t="shared" ref="S102:S105" si="42">L102-Q102</f>
        <v>18879.539999999997</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127500</v>
      </c>
      <c r="G103" s="255"/>
      <c r="H103" s="254"/>
      <c r="I103" s="254"/>
      <c r="J103" s="255"/>
      <c r="K103" s="254">
        <f>IF(J97=0,0,L103/J97)</f>
        <v>1504.9770297029702</v>
      </c>
      <c r="L103" s="256">
        <f>-SUMIFS(BV_Data_An_Cour!$P:$P,BV_Data_An_Cour!$U:$U,$B103,BV_Data_An_Cour!$V:$V,$C103,BV_Data_An_Cour!$W:$W,$L2)</f>
        <v>152002.68</v>
      </c>
      <c r="M103" s="255"/>
      <c r="N103" s="256">
        <f>L103-F103</f>
        <v>24502.679999999993</v>
      </c>
      <c r="O103" s="255" cm="1">
        <f t="array" ref="O103">+SUMPRODUCT(('Réel 2024'!$A$8:$A$501=$A103)*('Réel 2024'!$C$3:$AO$3=O$2),'Réel 2024'!$C$8:$AO$501)</f>
        <v>0</v>
      </c>
      <c r="P103" s="254">
        <f t="shared" si="40"/>
        <v>0</v>
      </c>
      <c r="Q103" s="256" cm="1">
        <f t="array" ref="Q103">+SUMPRODUCT(('Réel 2024'!$A$8:$A$501=$A103)*('Réel 2024'!$C$3:$AO$3=Q$2),'Réel 2024'!$C$8:$AO$501)</f>
        <v>88106.379999999801</v>
      </c>
      <c r="R103" s="255">
        <f t="shared" si="41"/>
        <v>-1504.9770297029702</v>
      </c>
      <c r="S103" s="256">
        <f t="shared" si="42"/>
        <v>63896.300000000192</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5100</v>
      </c>
      <c r="G104" s="255"/>
      <c r="H104" s="250"/>
      <c r="I104" s="254"/>
      <c r="J104" s="255"/>
      <c r="K104" s="250">
        <f>IF(J97=0,0,L104/J97)</f>
        <v>28.664851485148517</v>
      </c>
      <c r="L104" s="256">
        <f>-SUMIFS(BV_Data_An_Cour!$P:$P,BV_Data_An_Cour!$U:$U,$B104,BV_Data_An_Cour!$V:$V,$C104,BV_Data_An_Cour!$W:$W,$L$2)</f>
        <v>2895.15</v>
      </c>
      <c r="M104" s="267"/>
      <c r="N104" s="256">
        <f>L104-F104</f>
        <v>-2204.85</v>
      </c>
      <c r="O104" s="255" cm="1">
        <f t="array" ref="O104">+SUMPRODUCT(('Réel 2024'!$A$8:$A$501=$A104)*('Réel 2024'!$C$3:$AO$3=O$2),'Réel 2024'!$C$8:$AO$501)</f>
        <v>0</v>
      </c>
      <c r="P104" s="250">
        <f t="shared" si="40"/>
        <v>0</v>
      </c>
      <c r="Q104" s="256" cm="1">
        <f t="array" ref="Q104">+SUMPRODUCT(('Réel 2024'!$A$8:$A$501=$A104)*('Réel 2024'!$C$3:$AO$3=Q$2),'Réel 2024'!$C$8:$AO$501)</f>
        <v>1200.02</v>
      </c>
      <c r="R104" s="255">
        <f t="shared" si="41"/>
        <v>-28.664851485148517</v>
      </c>
      <c r="S104" s="256">
        <f t="shared" si="42"/>
        <v>1695.13</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102</v>
      </c>
      <c r="E105" s="254">
        <f t="shared" si="39"/>
        <v>1900</v>
      </c>
      <c r="F105" s="261">
        <f>F102+F103+F104</f>
        <v>193800</v>
      </c>
      <c r="G105" s="262"/>
      <c r="H105" s="260"/>
      <c r="I105" s="261"/>
      <c r="J105" s="262">
        <f>J97</f>
        <v>101</v>
      </c>
      <c r="K105" s="260">
        <f>IF(J105&lt;=0,0,L105/J105)</f>
        <v>1865.1736633663363</v>
      </c>
      <c r="L105" s="261">
        <f>L102+L103+L104</f>
        <v>188382.53999999998</v>
      </c>
      <c r="M105" s="255">
        <f>J105-D105</f>
        <v>-1</v>
      </c>
      <c r="N105" s="261">
        <f>L105-F105</f>
        <v>-5417.460000000021</v>
      </c>
      <c r="O105" s="262">
        <f>O97</f>
        <v>84</v>
      </c>
      <c r="P105" s="260">
        <f t="shared" si="40"/>
        <v>1237.0424999999977</v>
      </c>
      <c r="Q105" s="261">
        <f>Q102+Q103+Q104</f>
        <v>103911.5699999998</v>
      </c>
      <c r="R105" s="273"/>
      <c r="S105" s="261">
        <f t="shared" si="42"/>
        <v>84470.970000000176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-2.7953869969040354E-2</v>
      </c>
      <c r="O106" s="253"/>
      <c r="P106" s="41"/>
      <c r="Q106" s="276"/>
      <c r="R106" s="277"/>
      <c r="S106" s="265">
        <f>IF(Q105=0,0,(S105/Q105))</f>
        <v>0.81291207514235742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213</v>
      </c>
      <c r="E108" s="350">
        <f>IF(D108&lt;=0,0,F108/D108)</f>
        <v>1812.6760563380283</v>
      </c>
      <c r="F108" s="281">
        <f>F97+F105+F100</f>
        <v>386100</v>
      </c>
      <c r="G108" s="282"/>
      <c r="H108" s="350"/>
      <c r="I108" s="281"/>
      <c r="J108" s="282">
        <f>J97+J100</f>
        <v>158</v>
      </c>
      <c r="K108" s="350">
        <f>IF(J108&lt;=0,0,L108/J108)</f>
        <v>2307.8771518987328</v>
      </c>
      <c r="L108" s="281">
        <f>L97+L105+L100</f>
        <v>364644.58999999979</v>
      </c>
      <c r="M108" s="282">
        <f>J108-D108</f>
        <v>-55</v>
      </c>
      <c r="N108" s="281">
        <f>L108-F108</f>
        <v>-21455.410000000207</v>
      </c>
      <c r="O108" s="282">
        <f>O97+O100</f>
        <v>227</v>
      </c>
      <c r="P108" s="350">
        <f>IF(O108&lt;=0,0,Q108/O108)</f>
        <v>751.64828193832511</v>
      </c>
      <c r="Q108" s="281">
        <f>Q97+Q105+Q100</f>
        <v>170624.1599999998</v>
      </c>
      <c r="R108" s="282">
        <f>J108-O108</f>
        <v>-69</v>
      </c>
      <c r="S108" s="281">
        <f>L108-Q108</f>
        <v>194020.43</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0.94443043253043202</v>
      </c>
      <c r="M109" s="286">
        <f>M108/D108</f>
        <v>-0.25821596244131456</v>
      </c>
      <c r="N109" s="287">
        <f>N108/F108</f>
        <v>-5.5569567469568003E-2</v>
      </c>
      <c r="O109" s="283"/>
      <c r="P109" s="284"/>
      <c r="Q109" s="285"/>
      <c r="R109" s="286">
        <f>O108/R108</f>
        <v>-3.2898550724637681</v>
      </c>
      <c r="S109" s="352">
        <f>IF(Q108=0,0,(S108/Q108))</f>
        <v>1.1371216713975338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0.364655946959135</v>
      </c>
      <c r="E112" s="291">
        <f t="shared" ref="E112:E121" si="43">F112/D$97</f>
        <v>528.75112309074575</v>
      </c>
      <c r="F112" s="254" cm="1">
        <f t="array" ref="F112">+SUMPRODUCT(('Budget original'!$A$8:$A$501=$A112)*('Budget original'!$C$3:$AO$3=F$2),'Budget original'!$C$8:$AO$501)</f>
        <v>53932.614555256063</v>
      </c>
      <c r="G112" s="298"/>
      <c r="H112" s="291"/>
      <c r="I112" s="254"/>
      <c r="J112" s="292">
        <f>+L112/L97</f>
        <v>0.36237651956256156</v>
      </c>
      <c r="K112" s="291">
        <f>IF($J$97=0,0,L112/(J$94+J$95+J96))</f>
        <v>450.81960396039602</v>
      </c>
      <c r="L112" s="256">
        <f>SUMIFS(BV_Data_An_Cour!$P:$P,BV_Data_An_Cour!$U:$U,$B112,BV_Data_An_Cour!$V:$V,$C112,BV_Data_An_Cour!$W:$W,$L$2)</f>
        <v>45532.78</v>
      </c>
      <c r="M112" s="253"/>
      <c r="N112" s="276">
        <f t="shared" ref="N112:N153" si="44">L112-F112</f>
        <v>-8399.834555256064</v>
      </c>
      <c r="O112" s="253">
        <f>Q112/Q97</f>
        <v>0.76183066312014369</v>
      </c>
      <c r="P112" s="291">
        <f t="shared" ref="P112:P121" si="45">Q112/O$97</f>
        <v>569.72535714285709</v>
      </c>
      <c r="Q112" s="256" cm="1">
        <f t="array" ref="Q112">+SUMPRODUCT(('Réel 2024'!$A$8:$A$501=$A112)*('Réel 2024'!$C$3:$AO$3=Q$2),'Réel 2024'!$C$8:$AO$501)</f>
        <v>47856.93</v>
      </c>
      <c r="R112" s="253"/>
      <c r="S112" s="276">
        <f t="shared" ref="S112:S122" si="46">L112-Q112</f>
        <v>-2324.1500000000015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0.26687475614514239</v>
      </c>
      <c r="E113" s="294">
        <f t="shared" si="43"/>
        <v>570</v>
      </c>
      <c r="F113" s="248" cm="1">
        <f t="array" ref="F113">+SUMPRODUCT(('Budget original'!$A$8:$A$501=$A113)*('Budget original'!$C$3:$AO$3=F$2),'Budget original'!$C$8:$AO$501)</f>
        <v>58140</v>
      </c>
      <c r="G113" s="300"/>
      <c r="H113" s="294"/>
      <c r="I113" s="248"/>
      <c r="J113" s="295">
        <f>L113/L105</f>
        <v>0.28690588841195158</v>
      </c>
      <c r="K113" s="294">
        <f>IF($J$97=0,0,L113/(J$94+J$95+J96))</f>
        <v>535.12930693069302</v>
      </c>
      <c r="L113" s="256">
        <f>SUMIFS(BV_Data_An_Cour!$P:$P,BV_Data_An_Cour!$U:$U,$B113,BV_Data_An_Cour!$V:$V,$C113,BV_Data_An_Cour!$W:$W,$L$2)</f>
        <v>54048.06</v>
      </c>
      <c r="M113" s="246"/>
      <c r="N113" s="296">
        <f t="shared" si="44"/>
        <v>-4091.9400000000023</v>
      </c>
      <c r="O113" s="246">
        <f>Q113/(Q105+Q19)</f>
        <v>0.2560284981391463</v>
      </c>
      <c r="P113" s="294">
        <f t="shared" si="45"/>
        <v>385.38976190476188</v>
      </c>
      <c r="Q113" s="256" cm="1">
        <f t="array" ref="Q113">+SUMPRODUCT(('Réel 2024'!$A$8:$A$501=$A113)*('Réel 2024'!$C$3:$AO$3=Q$2),'Réel 2024'!$C$8:$AO$501)</f>
        <v>32372.739999999998</v>
      </c>
      <c r="R113" s="246"/>
      <c r="S113" s="296">
        <f t="shared" si="46"/>
        <v>21675.32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816</v>
      </c>
      <c r="G114" s="298"/>
      <c r="H114" s="291"/>
      <c r="I114" s="254"/>
      <c r="J114" s="253"/>
      <c r="K114" s="291">
        <f>IF($J$97=0,0,L114/(J$94+J$95+J96))</f>
        <v>-62.397623762376234</v>
      </c>
      <c r="L114" s="272">
        <f>SUMIFS(BV_Data_An_Cour!$P:$P,BV_Data_An_Cour!$U:$U,$B114,BV_Data_An_Cour!$V:$V,$C114,BV_Data_An_Cour!$W:$W,$L$2)</f>
        <v>-6302.16</v>
      </c>
      <c r="M114" s="253"/>
      <c r="N114" s="276">
        <f t="shared" si="44"/>
        <v>-7118.16</v>
      </c>
      <c r="O114" s="253"/>
      <c r="P114" s="291">
        <f t="shared" si="45"/>
        <v>21.398214285714289</v>
      </c>
      <c r="Q114" s="272" cm="1">
        <f t="array" ref="Q114">+SUMPRODUCT(('Réel 2024'!$A$8:$A$501=$A114)*('Réel 2024'!$C$3:$AO$3=Q$2),'Réel 2024'!$C$8:$AO$501)</f>
        <v>1797.4500000000003</v>
      </c>
      <c r="R114" s="253"/>
      <c r="S114" s="276">
        <f t="shared" si="46"/>
        <v>-8099.6100000000006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4590</v>
      </c>
      <c r="G115" s="298"/>
      <c r="H115" s="291"/>
      <c r="I115" s="254"/>
      <c r="J115" s="253"/>
      <c r="K115" s="291">
        <f>IF($J$97=0,0,L115/(J$94+J$95+J96))</f>
        <v>34.202574257425745</v>
      </c>
      <c r="L115" s="256">
        <f>SUMIFS(BV_Data_An_Cour!$P:$P,BV_Data_An_Cour!$U:$U,$B115,BV_Data_An_Cour!$V:$V,$C115,BV_Data_An_Cour!$W:$W,$L$2)</f>
        <v>3454.46</v>
      </c>
      <c r="M115" s="253"/>
      <c r="N115" s="276">
        <f t="shared" si="44"/>
        <v>-1135.54</v>
      </c>
      <c r="O115" s="253"/>
      <c r="P115" s="291">
        <f t="shared" si="45"/>
        <v>64.804999999999993</v>
      </c>
      <c r="Q115" s="256" cm="1">
        <f t="array" ref="Q115">+SUMPRODUCT(('Réel 2024'!$A$8:$A$501=$A115)*('Réel 2024'!$C$3:$AO$3=Q$2),'Réel 2024'!$C$8:$AO$501)</f>
        <v>5443.62</v>
      </c>
      <c r="R115" s="253"/>
      <c r="S115" s="276">
        <f t="shared" si="46"/>
        <v>-1989.1599999999999</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16320</v>
      </c>
      <c r="G116" s="300"/>
      <c r="H116" s="294"/>
      <c r="I116" s="248"/>
      <c r="J116" s="246"/>
      <c r="K116" s="294">
        <f>IF($J$97=0,0,L116/(J$94+J$95+J96))</f>
        <v>150.93544554455445</v>
      </c>
      <c r="L116" s="248">
        <f>SUMIFS(BV_Data_An_Cour!$P:$P,BV_Data_An_Cour!$U:$U,$B116,BV_Data_An_Cour!$V:$V,$C116,BV_Data_An_Cour!$W:$W,$L$2)</f>
        <v>15244.48</v>
      </c>
      <c r="M116" s="246"/>
      <c r="N116" s="296">
        <f t="shared" si="44"/>
        <v>-1075.5200000000004</v>
      </c>
      <c r="O116" s="246"/>
      <c r="P116" s="294">
        <f t="shared" si="45"/>
        <v>181.75892857142858</v>
      </c>
      <c r="Q116" s="248" cm="1">
        <f t="array" ref="Q116">+SUMPRODUCT(('Réel 2024'!$A$8:$A$501=$A116)*('Réel 2024'!$C$3:$AO$3=Q$2),'Réel 2024'!$C$8:$AO$501)</f>
        <v>15267.75</v>
      </c>
      <c r="R116" s="246"/>
      <c r="S116" s="296">
        <f t="shared" si="46"/>
        <v>-23.270000000000437</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499.29411764705884</v>
      </c>
      <c r="F117" s="254" cm="1">
        <f t="array" ref="F117">+SUMPRODUCT(('Budget original'!$A$8:$A$501=$A117)*('Budget original'!$C$3:$AO$3=F$2),'Budget original'!$C$8:$AO$501)</f>
        <v>50928</v>
      </c>
      <c r="G117" s="298"/>
      <c r="H117" s="291"/>
      <c r="I117" s="254"/>
      <c r="J117" s="253"/>
      <c r="K117" s="291">
        <f>IF($J$97=0,0,L117/(J$94+J$95+J96))</f>
        <v>423.670198019802</v>
      </c>
      <c r="L117" s="256">
        <f>SUMIFS(BV_Data_An_Cour!$P:$P,BV_Data_An_Cour!$U:$U,$B117,BV_Data_An_Cour!$V:$V,$C117,BV_Data_An_Cour!$W:$W,$L$2)</f>
        <v>42790.69</v>
      </c>
      <c r="M117" s="253"/>
      <c r="N117" s="276">
        <f t="shared" si="44"/>
        <v>-8137.3099999999977</v>
      </c>
      <c r="O117" s="253"/>
      <c r="P117" s="291">
        <f t="shared" si="45"/>
        <v>574.26892857142855</v>
      </c>
      <c r="Q117" s="256" cm="1">
        <f t="array" ref="Q117">+SUMPRODUCT(('Réel 2024'!$A$8:$A$501=$A117)*('Réel 2024'!$C$3:$AO$3=Q$2),'Réel 2024'!$C$8:$AO$501)</f>
        <v>48238.59</v>
      </c>
      <c r="R117" s="253"/>
      <c r="S117" s="276">
        <f t="shared" si="46"/>
        <v>-5447.8999999999942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285.23165306585059</v>
      </c>
      <c r="F118" s="254" cm="1">
        <f t="array" ref="F118">+SUMPRODUCT(('Budget original'!$A$8:$A$501=$A118)*('Budget original'!$C$3:$AO$3=F$2),'Budget original'!$C$8:$AO$501)</f>
        <v>29093.628612716762</v>
      </c>
      <c r="G118" s="298"/>
      <c r="H118" s="291"/>
      <c r="I118" s="254"/>
      <c r="J118" s="253"/>
      <c r="K118" s="291">
        <f>IF($J$97=0,0,L118/(J$94+J$95+J96))</f>
        <v>96.25554455445544</v>
      </c>
      <c r="L118" s="952">
        <f>SUMIFS(BV_Data_An_Cour!$P:$P,BV_Data_An_Cour!$U:$U,$B118,BV_Data_An_Cour!$V:$V,$C118,BV_Data_An_Cour!$W:$W,$L$2)</f>
        <v>9721.81</v>
      </c>
      <c r="M118" s="987"/>
      <c r="N118" s="961">
        <f t="shared" si="44"/>
        <v>-19371.818612716765</v>
      </c>
      <c r="O118" s="253"/>
      <c r="P118" s="291">
        <f t="shared" si="45"/>
        <v>375.91071428571428</v>
      </c>
      <c r="Q118" s="256" cm="1">
        <f t="array" ref="Q118">+SUMPRODUCT(('Réel 2024'!$A$8:$A$501=$A118)*('Réel 2024'!$C$3:$AO$3=Q$2),'Réel 2024'!$C$8:$AO$501)</f>
        <v>31576.5</v>
      </c>
      <c r="R118" s="253"/>
      <c r="S118" s="276">
        <f t="shared" si="46"/>
        <v>-21854.690000000002</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0.55379498360003321</v>
      </c>
      <c r="F122" s="307">
        <f>SUM(F112:F121)</f>
        <v>213820.24316797283</v>
      </c>
      <c r="G122" s="308"/>
      <c r="H122" s="306"/>
      <c r="I122" s="307"/>
      <c r="J122" s="308" t="s">
        <v>119</v>
      </c>
      <c r="K122" s="306">
        <f>L122/L$108</f>
        <v>0.45109710800865055</v>
      </c>
      <c r="L122" s="307">
        <f>SUM(L112:L121)</f>
        <v>164490.12</v>
      </c>
      <c r="M122" s="311"/>
      <c r="N122" s="307">
        <f t="shared" si="44"/>
        <v>-49330.123167972837</v>
      </c>
      <c r="O122" s="308" t="s">
        <v>119</v>
      </c>
      <c r="P122" s="306">
        <f>Q122/Q$108</f>
        <v>1.0699163588556286</v>
      </c>
      <c r="Q122" s="307">
        <f>SUM(Q112:Q121)</f>
        <v>182553.58</v>
      </c>
      <c r="R122" s="311"/>
      <c r="S122" s="307">
        <f t="shared" si="46"/>
        <v>-18063.459999999992</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38067.345512820517</v>
      </c>
      <c r="G123" s="253"/>
      <c r="H123" s="41"/>
      <c r="I123" s="254"/>
      <c r="J123" s="253"/>
      <c r="K123" s="41"/>
      <c r="L123" s="256">
        <f>SUMIFS(BV_Data_An_Cour!$P:$P,BV_Data_An_Cour!$U:$U,$B123,BV_Data_An_Cour!$V:$V,$C123,BV_Data_An_Cour!$W:$W,$L$2)</f>
        <v>34069.760000000002</v>
      </c>
      <c r="M123" s="253"/>
      <c r="N123" s="276">
        <f t="shared" si="44"/>
        <v>-3997.5855128205149</v>
      </c>
      <c r="O123" s="253"/>
      <c r="P123" s="41"/>
      <c r="Q123" s="256" cm="1">
        <f t="array" ref="Q123">+SUMPRODUCT(('Réel 2024'!$A$8:$A$501=$A123)*('Réel 2024'!$C$3:$AO$3=Q$2),'Réel 2024'!$C$8:$AO$501)</f>
        <v>43109.19</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36082.298461538456</v>
      </c>
      <c r="G124" s="298"/>
      <c r="H124" s="41"/>
      <c r="I124" s="248"/>
      <c r="J124" s="253"/>
      <c r="K124" s="41"/>
      <c r="L124" s="248">
        <f>SUMIFS(BV_Data_An_Cour!$P:$P,BV_Data_An_Cour!$U:$U,$B124,BV_Data_An_Cour!$V:$V,$C124,BV_Data_An_Cour!$W:$W,$L$2)</f>
        <v>18773.349999999999</v>
      </c>
      <c r="M124" s="253"/>
      <c r="N124" s="276">
        <f t="shared" si="44"/>
        <v>-17308.948461538457</v>
      </c>
      <c r="O124" s="253"/>
      <c r="P124" s="41"/>
      <c r="Q124" s="248" cm="1">
        <f t="array" ref="Q124">+SUMPRODUCT(('Réel 2024'!$A$8:$A$501=$A124)*('Réel 2024'!$C$3:$AO$3=Q$2),'Réel 2024'!$C$8:$AO$501)</f>
        <v>7211.34</v>
      </c>
      <c r="R124" s="253"/>
      <c r="S124" s="276">
        <f t="shared" ref="S124:S153" si="48">L124-Q124</f>
        <v>11562.009999999998</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14215.792307692307</v>
      </c>
      <c r="G125" s="316"/>
      <c r="H125" s="315"/>
      <c r="I125" s="254"/>
      <c r="J125" s="241"/>
      <c r="K125" s="315"/>
      <c r="L125" s="256">
        <f>SUMIFS(BV_Data_An_Cour!$P:$P,BV_Data_An_Cour!$U:$U,$B125,BV_Data_An_Cour!$V:$V,$C125,BV_Data_An_Cour!$W:$W,$L$2)</f>
        <v>21748.25</v>
      </c>
      <c r="M125" s="241"/>
      <c r="N125" s="317">
        <f t="shared" si="44"/>
        <v>7532.4576923076929</v>
      </c>
      <c r="O125" s="241"/>
      <c r="P125" s="315"/>
      <c r="Q125" s="256" cm="1">
        <f t="array" ref="Q125">+SUMPRODUCT(('Réel 2024'!$A$8:$A$501=$A125)*('Réel 2024'!$C$3:$AO$3=Q$2),'Réel 2024'!$C$8:$AO$501)</f>
        <v>25368.489999999998</v>
      </c>
      <c r="R125" s="241"/>
      <c r="S125" s="317">
        <f t="shared" si="48"/>
        <v>-3620.239999999998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32194.957498782052</v>
      </c>
      <c r="G130" s="298"/>
      <c r="H130" s="41"/>
      <c r="I130" s="254"/>
      <c r="J130" s="253"/>
      <c r="K130" s="41"/>
      <c r="L130" s="256">
        <f>SUMIFS(BV_Data_An_Cour!$P:$P,BV_Data_An_Cour!$U:$U,$B130,BV_Data_An_Cour!$V:$V,$C130,BV_Data_An_Cour!$W:$W,$L$2)</f>
        <v>31214.2</v>
      </c>
      <c r="M130" s="253"/>
      <c r="N130" s="276">
        <f t="shared" si="44"/>
        <v>-980.7574987820517</v>
      </c>
      <c r="O130" s="253"/>
      <c r="P130" s="41"/>
      <c r="Q130" s="256" cm="1">
        <f t="array" ref="Q130">+SUMPRODUCT(('Réel 2024'!$A$8:$A$501=$A130)*('Réel 2024'!$C$3:$AO$3=Q$2),'Réel 2024'!$C$8:$AO$501)</f>
        <v>23612.77</v>
      </c>
      <c r="R130" s="253"/>
      <c r="S130" s="276">
        <f t="shared" si="48"/>
        <v>7601.43</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39144.52982230769</v>
      </c>
      <c r="G131" s="316"/>
      <c r="H131" s="315"/>
      <c r="I131" s="271"/>
      <c r="J131" s="241"/>
      <c r="K131" s="315"/>
      <c r="L131" s="272">
        <f>SUMIFS(BV_Data_An_Cour!$P:$P,BV_Data_An_Cour!$U:$U,$B131,BV_Data_An_Cour!$V:$V,$C131,BV_Data_An_Cour!$W:$W,$L$2)</f>
        <v>36177.370000000003</v>
      </c>
      <c r="M131" s="241"/>
      <c r="N131" s="317">
        <f t="shared" si="44"/>
        <v>-2967.1598223076871</v>
      </c>
      <c r="O131" s="241"/>
      <c r="P131" s="315"/>
      <c r="Q131" s="272" cm="1">
        <f t="array" ref="Q131">+SUMPRODUCT(('Réel 2024'!$A$8:$A$501=$A131)*('Réel 2024'!$C$3:$AO$3=Q$2),'Réel 2024'!$C$8:$AO$501)</f>
        <v>24911.77</v>
      </c>
      <c r="R131" s="241"/>
      <c r="S131" s="317">
        <f t="shared" si="48"/>
        <v>11265.600000000002</v>
      </c>
      <c r="T131" s="41"/>
      <c r="U131" s="254">
        <f>L131-Print_Mois!L131</f>
        <v>25444.880000000005</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20167.942538884614</v>
      </c>
      <c r="G132" s="298"/>
      <c r="H132" s="41"/>
      <c r="I132" s="254"/>
      <c r="J132" s="253"/>
      <c r="K132" s="41"/>
      <c r="L132" s="256">
        <f>SUMIFS(BV_Data_An_Cour!$P:$P,BV_Data_An_Cour!$U:$U,$B132,BV_Data_An_Cour!$V:$V,$C132,BV_Data_An_Cour!$W:$W,$L$2)</f>
        <v>17890.68</v>
      </c>
      <c r="M132" s="253"/>
      <c r="N132" s="276">
        <f t="shared" si="44"/>
        <v>-2277.2625388846136</v>
      </c>
      <c r="O132" s="253"/>
      <c r="P132" s="41"/>
      <c r="Q132" s="256" cm="1">
        <f t="array" ref="Q132">+SUMPRODUCT(('Réel 2024'!$A$8:$A$501=$A132)*('Réel 2024'!$C$3:$AO$3=Q$2),'Réel 2024'!$C$8:$AO$501)</f>
        <v>4193.4199999999992</v>
      </c>
      <c r="R132" s="253"/>
      <c r="S132" s="276">
        <f t="shared" si="48"/>
        <v>13697.260000000002</v>
      </c>
      <c r="T132" s="41"/>
      <c r="U132" s="254">
        <f>L132-Print_Mois!L132</f>
        <v>12923.460000000001</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8793.3364093589735</v>
      </c>
      <c r="G133" s="298"/>
      <c r="H133" s="41"/>
      <c r="I133" s="254"/>
      <c r="J133" s="253"/>
      <c r="K133" s="41"/>
      <c r="L133" s="256">
        <f>SUMIFS(BV_Data_An_Cour!$P:$P,BV_Data_An_Cour!$U:$U,$B133,BV_Data_An_Cour!$V:$V,$C133,BV_Data_An_Cour!$W:$W,$L$2)</f>
        <v>5430.27</v>
      </c>
      <c r="M133" s="253"/>
      <c r="N133" s="276">
        <f t="shared" si="44"/>
        <v>-3363.066409358973</v>
      </c>
      <c r="O133" s="253"/>
      <c r="P133" s="41"/>
      <c r="Q133" s="256" cm="1">
        <f t="array" ref="Q133">+SUMPRODUCT(('Réel 2024'!$A$8:$A$501=$A133)*('Réel 2024'!$C$3:$AO$3=Q$2),'Réel 2024'!$C$8:$AO$501)</f>
        <v>3596.3</v>
      </c>
      <c r="R133" s="253"/>
      <c r="S133" s="276">
        <f t="shared" si="48"/>
        <v>1833.9700000000003</v>
      </c>
      <c r="T133" s="41"/>
      <c r="U133" s="254">
        <f>L133-Print_Mois!L133</f>
        <v>4032.63</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0.48864595325403937</v>
      </c>
      <c r="F135" s="307">
        <f>+SUM(F123:F134)</f>
        <v>188666.2025513846</v>
      </c>
      <c r="G135" s="308"/>
      <c r="H135" s="306"/>
      <c r="I135" s="307"/>
      <c r="J135" s="308" t="s">
        <v>119</v>
      </c>
      <c r="K135" s="306">
        <f>L135/L$108</f>
        <v>0.45332876047879955</v>
      </c>
      <c r="L135" s="307">
        <f>SUM(L123:L134)</f>
        <v>165303.87999999998</v>
      </c>
      <c r="M135" s="355"/>
      <c r="N135" s="320">
        <f t="shared" si="44"/>
        <v>-23362.322551384626</v>
      </c>
      <c r="O135" s="308" t="s">
        <v>119</v>
      </c>
      <c r="P135" s="306">
        <f>Q135/Q$108</f>
        <v>0.77364940580513419</v>
      </c>
      <c r="Q135" s="307">
        <f>+SUM(Q123:Q134)</f>
        <v>132003.28</v>
      </c>
      <c r="R135" s="355"/>
      <c r="S135" s="320">
        <f t="shared" si="48"/>
        <v>33300.599999999977</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5136.6131555555557</v>
      </c>
      <c r="G138" s="300"/>
      <c r="H138" s="318"/>
      <c r="I138" s="248"/>
      <c r="J138" s="246"/>
      <c r="K138" s="318"/>
      <c r="L138" s="248">
        <f>SUMIFS(BV_Data_An_Cour!$P:$P,BV_Data_An_Cour!$U:$U,$B138,BV_Data_An_Cour!$V:$V,$C138,BV_Data_An_Cour!$W:$W,$L$2)</f>
        <v>10240.92</v>
      </c>
      <c r="M138" s="246"/>
      <c r="N138" s="296">
        <f t="shared" si="44"/>
        <v>5104.3068444444443</v>
      </c>
      <c r="O138" s="246"/>
      <c r="P138" s="318"/>
      <c r="Q138" s="248" cm="1">
        <f t="array" ref="Q138">+SUMPRODUCT(('Réel 2024'!$A$8:$A$501=$A138)*('Réel 2024'!$C$3:$AO$3=Q$2),'Réel 2024'!$C$8:$AO$501)</f>
        <v>1981.37</v>
      </c>
      <c r="R138" s="246"/>
      <c r="S138" s="296">
        <f t="shared" si="48"/>
        <v>8259.5499999999993</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15030.742490773329</v>
      </c>
      <c r="G139" s="298"/>
      <c r="H139" s="41"/>
      <c r="I139" s="254"/>
      <c r="J139" s="253"/>
      <c r="K139" s="41"/>
      <c r="L139" s="256">
        <f>SUMIFS(BV_Data_An_Cour!$P:$P,BV_Data_An_Cour!$U:$U,$B139,BV_Data_An_Cour!$V:$V,$C139,BV_Data_An_Cour!$W:$W,$L$2)</f>
        <v>13693.14</v>
      </c>
      <c r="M139" s="253"/>
      <c r="N139" s="276">
        <f t="shared" si="44"/>
        <v>-1337.6024907733299</v>
      </c>
      <c r="O139" s="253"/>
      <c r="P139" s="41"/>
      <c r="Q139" s="256" cm="1">
        <f t="array" ref="Q139">+SUMPRODUCT(('Réel 2024'!$A$8:$A$501=$A139)*('Réel 2024'!$C$3:$AO$3=Q$2),'Réel 2024'!$C$8:$AO$501)</f>
        <v>14462.27</v>
      </c>
      <c r="R139" s="253"/>
      <c r="S139" s="276">
        <f t="shared" si="48"/>
        <v>-769.13000000000102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2222.6809750961984</v>
      </c>
      <c r="G140" s="298"/>
      <c r="H140" s="41"/>
      <c r="I140" s="254"/>
      <c r="J140" s="253"/>
      <c r="K140" s="41"/>
      <c r="L140" s="256">
        <f>SUMIFS(BV_Data_An_Cour!$P:$P,BV_Data_An_Cour!$U:$U,$B140,BV_Data_An_Cour!$V:$V,$C140,BV_Data_An_Cour!$W:$W,$L$2)</f>
        <v>2142.8000000000002</v>
      </c>
      <c r="M140" s="253"/>
      <c r="N140" s="276">
        <f t="shared" si="44"/>
        <v>-79.880975096198199</v>
      </c>
      <c r="O140" s="253"/>
      <c r="P140" s="41"/>
      <c r="Q140" s="256" cm="1">
        <f t="array" ref="Q140">+SUMPRODUCT(('Réel 2024'!$A$8:$A$501=$A140)*('Réel 2024'!$C$3:$AO$3=Q$2),'Réel 2024'!$C$8:$AO$501)</f>
        <v>2014.3899999999999</v>
      </c>
      <c r="R140" s="253"/>
      <c r="S140" s="276">
        <f t="shared" si="48"/>
        <v>128.41000000000031</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5595.3978562146303</v>
      </c>
      <c r="G141" s="300"/>
      <c r="H141" s="318"/>
      <c r="I141" s="248"/>
      <c r="J141" s="246"/>
      <c r="K141" s="318"/>
      <c r="L141" s="248">
        <f>SUMIFS(BV_Data_An_Cour!$P:$P,BV_Data_An_Cour!$U:$U,$B141,BV_Data_An_Cour!$V:$V,$C141,BV_Data_An_Cour!$W:$W,$L$2)</f>
        <v>14849.94</v>
      </c>
      <c r="M141" s="246"/>
      <c r="N141" s="296">
        <f t="shared" si="44"/>
        <v>9254.5421437853693</v>
      </c>
      <c r="O141" s="246"/>
      <c r="P141" s="318"/>
      <c r="Q141" s="248" cm="1">
        <f t="array" ref="Q141">+SUMPRODUCT(('Réel 2024'!$A$8:$A$501=$A141)*('Réel 2024'!$C$3:$AO$3=Q$2),'Réel 2024'!$C$8:$AO$501)</f>
        <v>4494.619999999999</v>
      </c>
      <c r="R141" s="246"/>
      <c r="S141" s="296">
        <f t="shared" si="48"/>
        <v>10355.320000000002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335.54213333333331</v>
      </c>
      <c r="G142" s="298"/>
      <c r="H142" s="41"/>
      <c r="I142" s="254"/>
      <c r="J142" s="253"/>
      <c r="K142" s="41"/>
      <c r="L142" s="256">
        <f>SUMIFS(BV_Data_An_Cour!$P:$P,BV_Data_An_Cour!$U:$U,$B142,BV_Data_An_Cour!$V:$V,$C142,BV_Data_An_Cour!$W:$W,$L$2)</f>
        <v>306.39</v>
      </c>
      <c r="M142" s="253"/>
      <c r="N142" s="276">
        <f t="shared" si="44"/>
        <v>-29.152133333333325</v>
      </c>
      <c r="O142" s="253"/>
      <c r="P142" s="41"/>
      <c r="Q142" s="256" cm="1">
        <f t="array" ref="Q142">+SUMPRODUCT(('Réel 2024'!$A$8:$A$501=$A142)*('Réel 2024'!$C$3:$AO$3=Q$2),'Réel 2024'!$C$8:$AO$501)</f>
        <v>117.99</v>
      </c>
      <c r="R142" s="253"/>
      <c r="S142" s="276">
        <f t="shared" si="48"/>
        <v>188.39999999999998</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113.33333333333333</v>
      </c>
      <c r="G143" s="298"/>
      <c r="H143" s="41"/>
      <c r="I143" s="254"/>
      <c r="J143" s="253"/>
      <c r="K143" s="41"/>
      <c r="L143" s="256">
        <f>SUMIFS(BV_Data_An_Cour!$P:$P,BV_Data_An_Cour!$U:$U,$B143,BV_Data_An_Cour!$V:$V,$C143,BV_Data_An_Cour!$W:$W,$L$2)</f>
        <v>0</v>
      </c>
      <c r="M143" s="253"/>
      <c r="N143" s="276">
        <f t="shared" si="44"/>
        <v>-113.33333333333333</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1294.4775895036798</v>
      </c>
      <c r="G144" s="298"/>
      <c r="H144" s="41"/>
      <c r="I144" s="254"/>
      <c r="J144" s="253"/>
      <c r="K144" s="41"/>
      <c r="L144" s="256">
        <f>SUMIFS(BV_Data_An_Cour!$P:$P,BV_Data_An_Cour!$U:$U,$B144,BV_Data_An_Cour!$V:$V,$C144,BV_Data_An_Cour!$W:$W,$L$2)</f>
        <v>676.83</v>
      </c>
      <c r="M144" s="253"/>
      <c r="N144" s="276">
        <f t="shared" si="44"/>
        <v>-617.6475895036798</v>
      </c>
      <c r="O144" s="253"/>
      <c r="P144" s="41"/>
      <c r="Q144" s="256" cm="1">
        <f t="array" ref="Q144">+SUMPRODUCT(('Réel 2024'!$A$8:$A$501=$A144)*('Réel 2024'!$C$3:$AO$3=Q$2),'Réel 2024'!$C$8:$AO$501)</f>
        <v>1237.3700000000001</v>
      </c>
      <c r="R144" s="253"/>
      <c r="S144" s="276">
        <f t="shared" si="48"/>
        <v>-560.54000000000008</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251.05821937697331</v>
      </c>
      <c r="G145" s="298"/>
      <c r="H145" s="41"/>
      <c r="I145" s="254"/>
      <c r="J145" s="253"/>
      <c r="K145" s="41"/>
      <c r="L145" s="256">
        <f>SUMIFS(BV_Data_An_Cour!$P:$P,BV_Data_An_Cour!$U:$U,$B145,BV_Data_An_Cour!$V:$V,$C145,BV_Data_An_Cour!$W:$W,$L$2)</f>
        <v>364.93</v>
      </c>
      <c r="M145" s="253"/>
      <c r="N145" s="276">
        <f t="shared" si="44"/>
        <v>113.87178062302669</v>
      </c>
      <c r="O145" s="253"/>
      <c r="P145" s="41"/>
      <c r="Q145" s="256" cm="1">
        <f t="array" ref="Q145">+SUMPRODUCT(('Réel 2024'!$A$8:$A$501=$A145)*('Réel 2024'!$C$3:$AO$3=Q$2),'Réel 2024'!$C$8:$AO$501)</f>
        <v>194.35999999999999</v>
      </c>
      <c r="R145" s="253"/>
      <c r="S145" s="276">
        <f t="shared" si="48"/>
        <v>170.57000000000002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192.86737655262664</v>
      </c>
      <c r="G146" s="298"/>
      <c r="H146" s="41"/>
      <c r="I146" s="254"/>
      <c r="J146" s="253"/>
      <c r="K146" s="41"/>
      <c r="L146" s="256">
        <f>SUMIFS(BV_Data_An_Cour!$P:$P,BV_Data_An_Cour!$U:$U,$B146,BV_Data_An_Cour!$V:$V,$C146,BV_Data_An_Cour!$W:$W,$L$2)</f>
        <v>686.64</v>
      </c>
      <c r="M146" s="253"/>
      <c r="N146" s="276">
        <f t="shared" si="44"/>
        <v>493.77262344737335</v>
      </c>
      <c r="O146" s="253"/>
      <c r="P146" s="41"/>
      <c r="Q146" s="256" cm="1">
        <f t="array" ref="Q146">+SUMPRODUCT(('Réel 2024'!$A$8:$A$501=$A146)*('Réel 2024'!$C$3:$AO$3=Q$2),'Réel 2024'!$C$8:$AO$501)</f>
        <v>293.31</v>
      </c>
      <c r="R146" s="253"/>
      <c r="S146" s="276">
        <f t="shared" si="48"/>
        <v>393.33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429.40646975190674</v>
      </c>
      <c r="G147" s="298"/>
      <c r="H147" s="41"/>
      <c r="I147" s="254"/>
      <c r="J147" s="253"/>
      <c r="K147" s="41"/>
      <c r="L147" s="256">
        <f>SUMIFS(BV_Data_An_Cour!$P:$P,BV_Data_An_Cour!$U:$U,$B147,BV_Data_An_Cour!$V:$V,$C147,BV_Data_An_Cour!$W:$W,$L$2)</f>
        <v>132.34</v>
      </c>
      <c r="M147" s="253"/>
      <c r="N147" s="276">
        <f t="shared" si="44"/>
        <v>-297.06646975190677</v>
      </c>
      <c r="O147" s="253"/>
      <c r="P147" s="41"/>
      <c r="Q147" s="256" cm="1">
        <f t="array" ref="Q147">+SUMPRODUCT(('Réel 2024'!$A$8:$A$501=$A147)*('Réel 2024'!$C$3:$AO$3=Q$2),'Réel 2024'!$C$8:$AO$501)</f>
        <v>287.58</v>
      </c>
      <c r="R147" s="253"/>
      <c r="S147" s="276">
        <f t="shared" si="48"/>
        <v>-155.23999999999998</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873.85748678793937</v>
      </c>
      <c r="G148" s="298"/>
      <c r="H148" s="41"/>
      <c r="I148" s="254"/>
      <c r="J148" s="253"/>
      <c r="K148" s="41"/>
      <c r="L148" s="256">
        <f>SUMIFS(BV_Data_An_Cour!$P:$P,BV_Data_An_Cour!$U:$U,$B148,BV_Data_An_Cour!$V:$V,$C148,BV_Data_An_Cour!$W:$W,$L$2)</f>
        <v>2084.1999999999998</v>
      </c>
      <c r="M148" s="253"/>
      <c r="N148" s="276">
        <f t="shared" si="44"/>
        <v>1210.3425132120606</v>
      </c>
      <c r="O148" s="253"/>
      <c r="P148" s="41"/>
      <c r="Q148" s="256" cm="1">
        <f t="array" ref="Q148">+SUMPRODUCT(('Réel 2024'!$A$8:$A$501=$A148)*('Réel 2024'!$C$3:$AO$3=Q$2),'Réel 2024'!$C$8:$AO$501)</f>
        <v>327.12</v>
      </c>
      <c r="R148" s="253"/>
      <c r="S148" s="276">
        <f t="shared" si="48"/>
        <v>1757.08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2741.4318990683241</v>
      </c>
      <c r="G149" s="298"/>
      <c r="H149" s="41"/>
      <c r="I149" s="254"/>
      <c r="J149" s="253"/>
      <c r="K149" s="41"/>
      <c r="L149" s="952">
        <f>SUMIFS(BV_Data_An_Cour!$P:$P,BV_Data_An_Cour!$U:$U,$B149,BV_Data_An_Cour!$V:$V,$C149,BV_Data_An_Cour!$W:$W,L$2)</f>
        <v>2999.2</v>
      </c>
      <c r="M149" s="987"/>
      <c r="N149" s="961">
        <f t="shared" si="44"/>
        <v>257.76810093167569</v>
      </c>
      <c r="O149" s="253"/>
      <c r="P149" s="41"/>
      <c r="Q149" s="256" cm="1">
        <f t="array" ref="Q149">+SUMPRODUCT(('Réel 2024'!$A$8:$A$501=$A149)*('Réel 2024'!$C$3:$AO$3=Q$2),'Réel 2024'!$C$8:$AO$501)</f>
        <v>2922.31</v>
      </c>
      <c r="R149" s="253"/>
      <c r="S149" s="276">
        <f t="shared" si="48"/>
        <v>76.889999999999873</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8.862317789522875E-2</v>
      </c>
      <c r="F153" s="307">
        <f>+SUM(F136:F152)</f>
        <v>34217.408985347822</v>
      </c>
      <c r="G153" s="308"/>
      <c r="H153" s="306"/>
      <c r="I153" s="307"/>
      <c r="J153" s="308" t="s">
        <v>119</v>
      </c>
      <c r="K153" s="306">
        <f>L153/L$108</f>
        <v>0.1321213349140872</v>
      </c>
      <c r="L153" s="307">
        <f>+SUM(L136:L152)</f>
        <v>48177.329999999987</v>
      </c>
      <c r="M153" s="311"/>
      <c r="N153" s="307">
        <f t="shared" si="44"/>
        <v>13959.921014652165</v>
      </c>
      <c r="O153" s="308" t="s">
        <v>119</v>
      </c>
      <c r="P153" s="306">
        <f>Q153/Q$108</f>
        <v>0.16605321309713722</v>
      </c>
      <c r="Q153" s="307">
        <f>+SUM(Q136:Q152)</f>
        <v>28332.690000000002</v>
      </c>
      <c r="R153" s="311"/>
      <c r="S153" s="307">
        <f t="shared" si="48"/>
        <v>19844.639999999985</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1.1310641147493015</v>
      </c>
      <c r="F155" s="307">
        <f>F122+F135+F153</f>
        <v>436703.8547047053</v>
      </c>
      <c r="G155" s="308"/>
      <c r="H155" s="306"/>
      <c r="I155" s="307"/>
      <c r="J155" s="308" t="s">
        <v>119</v>
      </c>
      <c r="K155" s="306">
        <f>L155/L$108</f>
        <v>1.0365472034015373</v>
      </c>
      <c r="L155" s="307">
        <f>L122+L135+L153</f>
        <v>377971.32999999996</v>
      </c>
      <c r="M155" s="311"/>
      <c r="N155" s="320">
        <f t="shared" ref="N155:N162" si="49">L155-F155</f>
        <v>-58732.524704705342</v>
      </c>
      <c r="O155" s="308" t="s">
        <v>119</v>
      </c>
      <c r="P155" s="306">
        <f>Q155/Q$108</f>
        <v>2.0096189777579001</v>
      </c>
      <c r="Q155" s="307">
        <f>Q122+Q135+Q153</f>
        <v>342889.55</v>
      </c>
      <c r="R155" s="311"/>
      <c r="S155" s="320">
        <f t="shared" ref="S155:S162" si="50">L155-Q155</f>
        <v>35081.77999999997</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38663.1</v>
      </c>
      <c r="G159" s="298"/>
      <c r="H159" s="41"/>
      <c r="I159" s="254"/>
      <c r="J159" s="253"/>
      <c r="K159" s="41"/>
      <c r="L159" s="256">
        <f>-SUMIFS(BV_Data_An_Cour!$P:$P,BV_Data_An_Cour!$U:$U,$B159,BV_Data_An_Cour!$V:$V,$C159,BV_Data_An_Cour!$W:$W,L$2)</f>
        <v>47976</v>
      </c>
      <c r="M159" s="253"/>
      <c r="N159" s="276">
        <f t="shared" si="49"/>
        <v>9312.9000000000015</v>
      </c>
      <c r="O159" s="253"/>
      <c r="P159" s="41"/>
      <c r="Q159" s="256" cm="1">
        <f t="array" ref="Q159">+SUMPRODUCT(('Réel 2024'!$A$8:$A$501=$A159)*('Réel 2024'!$C$3:$AO$3=Q$2),'Réel 2024'!$C$8:$AO$501)</f>
        <v>24173</v>
      </c>
      <c r="R159" s="253"/>
      <c r="S159" s="276">
        <f t="shared" si="50"/>
        <v>23803</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38663.1</v>
      </c>
      <c r="G163" s="308"/>
      <c r="H163" s="306"/>
      <c r="I163" s="307"/>
      <c r="J163" s="308"/>
      <c r="K163" s="306"/>
      <c r="L163" s="307">
        <f>+SUM(L156:L162)</f>
        <v>47976</v>
      </c>
      <c r="M163" s="311"/>
      <c r="N163" s="307">
        <f>SUM(N156:N159)</f>
        <v>9312.9000000000015</v>
      </c>
      <c r="O163" s="308"/>
      <c r="P163" s="306"/>
      <c r="Q163" s="307">
        <f>+SUM(Q156:Q162)</f>
        <v>24173</v>
      </c>
      <c r="R163" s="311"/>
      <c r="S163" s="307">
        <f>+SUM(S156:S162)</f>
        <v>23803</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-11940.754704705301</v>
      </c>
      <c r="G165" s="361"/>
      <c r="H165" s="333"/>
      <c r="I165" s="335"/>
      <c r="J165" s="332"/>
      <c r="K165" s="334"/>
      <c r="L165" s="335">
        <f>L108-L155+L163</f>
        <v>34649.259999999835</v>
      </c>
      <c r="M165" s="332"/>
      <c r="N165" s="335">
        <f>L165-F165</f>
        <v>46590.014704705136</v>
      </c>
      <c r="O165" s="332"/>
      <c r="P165" s="334"/>
      <c r="Q165" s="335">
        <f>Q108-Q155+Q163</f>
        <v>-148092.39000000019</v>
      </c>
      <c r="R165" s="332"/>
      <c r="S165" s="335">
        <f>L165-Q165</f>
        <v>182741.65000000002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Avril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18" t="s">
        <v>343</v>
      </c>
      <c r="E170" s="1219"/>
      <c r="F170" s="1220"/>
      <c r="G170" s="1221"/>
      <c r="H170" s="1219"/>
      <c r="I170" s="1220"/>
      <c r="J170" s="1221" t="s">
        <v>344</v>
      </c>
      <c r="K170" s="1219"/>
      <c r="L170" s="1220"/>
      <c r="M170" s="1221" t="s">
        <v>3310</v>
      </c>
      <c r="N170" s="1220"/>
      <c r="O170" s="1218" t="s">
        <v>345</v>
      </c>
      <c r="P170" s="1219"/>
      <c r="Q170" s="1220"/>
      <c r="R170" s="1222" t="s">
        <v>3312</v>
      </c>
      <c r="S170" s="122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1636.9079999999999</v>
      </c>
      <c r="E172" s="291" cm="1">
        <f t="array" ref="E172">+SUMPRODUCT(('Budget original'!$A$8:$A$501=$A172)*('Budget original'!$C$3:$AO$3=E$2),'Budget original'!$C$8:$AO$501)</f>
        <v>556548.72</v>
      </c>
      <c r="F172" s="291" cm="1">
        <f t="array" ref="F172">+SUMPRODUCT(('Budget original'!$A$8:$A$501=$A172)*('Budget original'!$C$3:$AO$3=F$2),'Budget original'!$C$8:$AO$501)</f>
        <v>434108.00160000002</v>
      </c>
      <c r="G172" s="322"/>
      <c r="H172" s="291"/>
      <c r="I172" s="291"/>
      <c r="J172" s="277">
        <f>-SUMIFS(BV_Data_An_Cour!$P:$P,BV_Data_An_Cour!$U:$U,$B172,BV_Data_An_Cour!$V:$V,$C172,BV_Data_An_Cour!$W:$W,J$2)</f>
        <v>1619</v>
      </c>
      <c r="K172" s="254">
        <f>-SUMIFS(BV_Data_An_Cour!$P:$P,BV_Data_An_Cour!$X:$X,"Oui",BV_Data_An_Cour!$U:$U,$B172,BV_Data_An_Cour!$V:$V,$C172)</f>
        <v>532096.30999999994</v>
      </c>
      <c r="L172" s="256">
        <f>-SUMIFS(BV_Data_An_Cour!$P:$P,BV_Data_An_Cour!$U:$U,$B172,BV_Data_An_Cour!$V:$V,$C172,BV_Data_An_Cour!$W:$W,$L$2)</f>
        <v>419667.06999999995</v>
      </c>
      <c r="M172" s="292">
        <f>(K172-E172)/E172</f>
        <v>-4.3935794156529609E-2</v>
      </c>
      <c r="N172" s="276">
        <f>L172-F172</f>
        <v>-14440.931600000069</v>
      </c>
      <c r="O172" s="277" cm="1">
        <f t="array" ref="O172">+SUMPRODUCT(('Réel 2024'!$A$8:$A$501=$A172)*('Réel 2024'!$C$3:$AO$3=O$2),'Réel 2024'!$C$8:$AO$501)</f>
        <v>1628</v>
      </c>
      <c r="P172" s="254" cm="1">
        <f t="array" ref="P172">+SUMPRODUCT(('Réel 2024'!$A$8:$A$501=$A172)*('Réel 2024'!$C$3:$AO$3=P$2),'Réel 2024'!$C$8:$AO$501)</f>
        <v>505090.02999999991</v>
      </c>
      <c r="Q172" s="256" cm="1">
        <f t="array" ref="Q172">+SUMPRODUCT(('Réel 2024'!$A$8:$A$501=$A172)*('Réel 2024'!$C$3:$AO$3=Q$2),'Réel 2024'!$C$8:$AO$501)</f>
        <v>389540.10999999987</v>
      </c>
      <c r="R172" s="292">
        <f>IF(O172=0,0,J172/O172)</f>
        <v>0.99447174447174447</v>
      </c>
      <c r="S172" s="276">
        <f>L172-Q172</f>
        <v>30126.960000000079</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0.7887050936323915</v>
      </c>
      <c r="M173" s="292"/>
      <c r="N173" s="276"/>
      <c r="O173" s="277"/>
      <c r="P173" s="41"/>
      <c r="Q173" s="362">
        <f>Q172/P172</f>
        <v>0.77122906187635487</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328.6573872760963</v>
      </c>
      <c r="L174" s="364"/>
      <c r="M174" s="295"/>
      <c r="N174" s="296"/>
      <c r="O174" s="365"/>
      <c r="P174" s="606">
        <f>IFERROR(P172/O172,0)</f>
        <v>310.25186117936113</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331.54</v>
      </c>
      <c r="E175" s="291" cm="1">
        <f t="array" ref="E175">+SUMPRODUCT(('Budget original'!$A$8:$A$501=$A175)*('Budget original'!$C$3:$AO$3=E$2),'Budget original'!$C$8:$AO$501)</f>
        <v>89515.799999999988</v>
      </c>
      <c r="F175" s="291" cm="1">
        <f t="array" ref="F175">+SUMPRODUCT(('Budget original'!$A$8:$A$501=$A175)*('Budget original'!$C$3:$AO$3=F$2),'Budget original'!$C$8:$AO$501)</f>
        <v>57290.111999999994</v>
      </c>
      <c r="G175" s="367"/>
      <c r="H175" s="291"/>
      <c r="I175" s="291"/>
      <c r="J175" s="367">
        <f>-SUMIFS(BV_Data_An_Cour!$P:$P,BV_Data_An_Cour!$U:$U,$B175,BV_Data_An_Cour!$V:$V,$C175,BV_Data_An_Cour!$W:$W,J$2)</f>
        <v>968</v>
      </c>
      <c r="K175" s="271">
        <f>-SUMIFS(BV_Data_An_Cour!$P:$P,BV_Data_An_Cour!$X:$X,"Oui",BV_Data_An_Cour!$U:$U,$B175,BV_Data_An_Cour!$V:$V,$C175)</f>
        <v>268867.25</v>
      </c>
      <c r="L175" s="256">
        <f>-SUMIFS(BV_Data_An_Cour!$P:$P,BV_Data_An_Cour!$U:$U,$B175,BV_Data_An_Cour!$V:$V,$C175,BV_Data_An_Cour!$W:$W,$L$2)</f>
        <v>176493.2</v>
      </c>
      <c r="M175" s="292">
        <f>(K175-E175)/E175</f>
        <v>2.0035731122327012</v>
      </c>
      <c r="N175" s="317">
        <f>L175-F175</f>
        <v>119203.08800000002</v>
      </c>
      <c r="O175" s="367" cm="1">
        <f t="array" ref="O175">+SUMPRODUCT(('Réel 2024'!$A$8:$A$501=$A175)*('Réel 2024'!$C$3:$AO$3=O$2),'Réel 2024'!$C$8:$AO$501)</f>
        <v>386</v>
      </c>
      <c r="P175" s="271" cm="1">
        <f t="array" ref="P175">+SUMPRODUCT(('Réel 2024'!$A$8:$A$501=$A175)*('Réel 2024'!$C$3:$AO$3=P$2),'Réel 2024'!$C$8:$AO$501)</f>
        <v>83086.989999999991</v>
      </c>
      <c r="Q175" s="256" cm="1">
        <f t="array" ref="Q175">+SUMPRODUCT(('Réel 2024'!$A$8:$A$501=$A175)*('Réel 2024'!$C$3:$AO$3=Q$2),'Réel 2024'!$C$8:$AO$501)</f>
        <v>48917.089999999902</v>
      </c>
      <c r="R175" s="292">
        <f>IF(O175=0,0,J175/O175)</f>
        <v>2.5077720207253886</v>
      </c>
      <c r="S175" s="276">
        <f>L175-Q175</f>
        <v>127576.1100000001</v>
      </c>
      <c r="T175" s="291"/>
      <c r="U175" s="41" t="s">
        <v>462</v>
      </c>
      <c r="V175" s="254">
        <f>+K175+J297</f>
        <v>628982.85</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0.65643249596222675</v>
      </c>
      <c r="M176" s="264"/>
      <c r="N176" s="265"/>
      <c r="O176" s="253"/>
      <c r="P176" s="41"/>
      <c r="Q176" s="362">
        <f>Q175/P175</f>
        <v>0.58874548229512114</v>
      </c>
      <c r="R176" s="264"/>
      <c r="S176" s="265"/>
      <c r="T176" s="41"/>
      <c r="U176" s="41" t="s">
        <v>463</v>
      </c>
      <c r="V176" s="254">
        <f>+L175+L297</f>
        <v>260343.08000000002</v>
      </c>
      <c r="W176" s="368">
        <f>+V176/V175</f>
        <v>0.41391125370111448</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855.50900000000001</v>
      </c>
      <c r="E178" s="291" cm="1">
        <f t="array" ref="E178">+SUMPRODUCT(('Budget original'!$A$8:$A$501=$A178)*('Budget original'!$C$3:$AO$3=E$2),'Budget original'!$C$8:$AO$501)</f>
        <v>262658.37318</v>
      </c>
      <c r="F178" s="291" cm="1">
        <f t="array" ref="F178">+SUMPRODUCT(('Budget original'!$A$8:$A$501=$A178)*('Budget original'!$C$3:$AO$3=F$2),'Budget original'!$C$8:$AO$501)</f>
        <v>194367.19615319994</v>
      </c>
      <c r="G178" s="253"/>
      <c r="H178" s="291"/>
      <c r="I178" s="291"/>
      <c r="J178" s="277">
        <f>-SUMIFS(BV_Data_An_Cour!$P:$P,BV_Data_An_Cour!$U:$U,$B178,BV_Data_An_Cour!$V:$V,$C178,BV_Data_An_Cour!$W:$W,J$2)</f>
        <v>848</v>
      </c>
      <c r="K178" s="271">
        <f>-SUMIFS(BV_Data_An_Cour!$P:$P,BV_Data_An_Cour!$X:$X,"Oui",BV_Data_An_Cour!$U:$U,$B178,BV_Data_An_Cour!$V:$V,$C178)</f>
        <v>260098.38999999998</v>
      </c>
      <c r="L178" s="256">
        <f>-SUMIFS(BV_Data_An_Cour!$P:$P,BV_Data_An_Cour!$U:$U,$B178,BV_Data_An_Cour!$V:$V,$C178,BV_Data_An_Cour!$W:$W,$L$2)</f>
        <v>199378.73999999996</v>
      </c>
      <c r="M178" s="292">
        <f>(K178-E178)/E178</f>
        <v>-9.7464365936876171E-3</v>
      </c>
      <c r="N178" s="276">
        <f>L178-F178</f>
        <v>5011.5438468000211</v>
      </c>
      <c r="O178" s="277" cm="1">
        <f t="array" ref="O178">+SUMPRODUCT(('Réel 2024'!$A$8:$A$501=$A178)*('Réel 2024'!$C$3:$AO$3=O$2),'Réel 2024'!$C$8:$AO$501)</f>
        <v>986</v>
      </c>
      <c r="P178" s="271" cm="1">
        <f t="array" ref="P178">+SUMPRODUCT(('Réel 2024'!$A$8:$A$501=$A178)*('Réel 2024'!$C$3:$AO$3=P$2),'Réel 2024'!$C$8:$AO$501)</f>
        <v>295393.96999999991</v>
      </c>
      <c r="Q178" s="256" cm="1">
        <f t="array" ref="Q178">+SUMPRODUCT(('Réel 2024'!$A$8:$A$501=$A178)*('Réel 2024'!$C$3:$AO$3=Q$2),'Réel 2024'!$C$8:$AO$501)</f>
        <v>219365.29999999978</v>
      </c>
      <c r="R178" s="292">
        <f>IF(O178=0,0,J178/O178)</f>
        <v>0.86004056795131845</v>
      </c>
      <c r="S178" s="276">
        <f>L178-Q178</f>
        <v>-19986.559999999823</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0.73999999999999977</v>
      </c>
      <c r="G179" s="253"/>
      <c r="H179" s="349"/>
      <c r="I179" s="362"/>
      <c r="J179" s="277"/>
      <c r="K179" s="349"/>
      <c r="L179" s="362">
        <f>IF(L178=0,0,L178/K178)</f>
        <v>0.76655122701836009</v>
      </c>
      <c r="M179" s="292"/>
      <c r="N179" s="276">
        <f>L179-F179</f>
        <v>2.6551227018360324E-2</v>
      </c>
      <c r="O179" s="277"/>
      <c r="P179" s="349"/>
      <c r="Q179" s="362">
        <f>Q178/P178</f>
        <v>0.7426194244926525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227.33600000000001</v>
      </c>
      <c r="E181" s="291" cm="1">
        <f t="array" ref="E181">+SUMPRODUCT(('Budget original'!$A$8:$A$501=$A181)*('Budget original'!$C$3:$AO$3=E$2),'Budget original'!$C$8:$AO$501)</f>
        <v>61380.72</v>
      </c>
      <c r="F181" s="291" cm="1">
        <f t="array" ref="F181">+SUMPRODUCT(('Budget original'!$A$8:$A$501=$A181)*('Budget original'!$C$3:$AO$3=F$2),'Budget original'!$C$8:$AO$501)</f>
        <v>46035.54</v>
      </c>
      <c r="G181" s="241"/>
      <c r="H181" s="291"/>
      <c r="I181" s="291"/>
      <c r="J181" s="367">
        <f>-SUMIFS(BV_Data_An_Cour!$P:$P,BV_Data_An_Cour!$U:$U,$B181,BV_Data_An_Cour!$V:$V,$C181,BV_Data_An_Cour!$W:$W,J$2)</f>
        <v>0</v>
      </c>
      <c r="K181" s="271">
        <f>-SUMIFS(BV_Data_An_Cour!$P:$P,BV_Data_An_Cour!$X:$X,"Oui",BV_Data_An_Cour!$U:$U,$B181,BV_Data_An_Cour!$V:$V,$C181)</f>
        <v>40948.79</v>
      </c>
      <c r="L181" s="272">
        <f>-SUMIFS(BV_Data_An_Cour!$P:$P,BV_Data_An_Cour!$U:$U,$B181,BV_Data_An_Cour!$V:$V,$C181,BV_Data_An_Cour!$W:$W,$L$2)</f>
        <v>32482.190000000002</v>
      </c>
      <c r="M181" s="371">
        <f>IF(E181=0,0,(K181-E181)/E181)</f>
        <v>-0.33287211358876206</v>
      </c>
      <c r="N181" s="317">
        <f>L181-F181</f>
        <v>-13553.349999999999</v>
      </c>
      <c r="O181" s="367" cm="1">
        <f t="array" ref="O181">+SUMPRODUCT(('Réel 2024'!$A$8:$A$501=$A181)*('Réel 2024'!$C$3:$AO$3=O$2),'Réel 2024'!$C$8:$AO$501)</f>
        <v>0</v>
      </c>
      <c r="P181" s="271" cm="1">
        <f t="array" ref="P181">+SUMPRODUCT(('Réel 2024'!$A$8:$A$501=$A181)*('Réel 2024'!$C$3:$AO$3=P$2),'Réel 2024'!$C$8:$AO$501)</f>
        <v>56452.61</v>
      </c>
      <c r="Q181" s="272" cm="1">
        <f t="array" ref="Q181">+SUMPRODUCT(('Réel 2024'!$A$8:$A$501=$A181)*('Réel 2024'!$C$3:$AO$3=Q$2),'Réel 2024'!$C$8:$AO$501)</f>
        <v>44306.31</v>
      </c>
      <c r="R181" s="292">
        <f>IF(O181=0,0,J181/O181)</f>
        <v>0</v>
      </c>
      <c r="S181" s="317">
        <f>L181-Q181</f>
        <v>-11824.119999999995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0.75</v>
      </c>
      <c r="G182" s="270"/>
      <c r="H182" s="372"/>
      <c r="I182" s="362"/>
      <c r="J182" s="373"/>
      <c r="K182" s="372">
        <f>IF(J182&lt;=0,0,L182/J182)</f>
        <v>0</v>
      </c>
      <c r="L182" s="362">
        <f>IF(L181=0,0,L181/K181)</f>
        <v>0.79323931183314578</v>
      </c>
      <c r="M182" s="277">
        <f>J182-D182</f>
        <v>0</v>
      </c>
      <c r="N182" s="374"/>
      <c r="O182" s="373"/>
      <c r="P182" s="372"/>
      <c r="Q182" s="362">
        <f>IFERROR(Q181/P181,0)</f>
        <v>0.78484077175528288</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-11319.958721661287</v>
      </c>
      <c r="G184" s="253"/>
      <c r="H184" s="291"/>
      <c r="I184" s="291"/>
      <c r="J184" s="277"/>
      <c r="K184" s="291"/>
      <c r="L184" s="291">
        <f>-SUMIFS(BV_Data_An_Cour!$P:$P,BV_Data_An_Cour!$U:$U,$B184,BV_Data_An_Cour!$V:$V,$C184,BV_Data_An_Cour!$W:$W,$L$2)</f>
        <v>-8662.58</v>
      </c>
      <c r="M184" s="373"/>
      <c r="N184" s="276">
        <f>L184-F184</f>
        <v>2657.3787216612873</v>
      </c>
      <c r="O184" s="277"/>
      <c r="P184" s="291"/>
      <c r="Q184" s="291" cm="1">
        <f t="array" ref="Q184">+SUMPRODUCT(('Réel 2024'!$A$8:$A$501=$A184)*('Réel 2024'!$C$3:$AO$3=Q$2),'Réel 2024'!$C$8:$AO$501)</f>
        <v>-15653.369999999999</v>
      </c>
      <c r="R184" s="379"/>
      <c r="S184" s="276">
        <f t="shared" ref="S184:S185" si="52">L184-Q184</f>
        <v>6990.7899999999991</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3051.2929999999997</v>
      </c>
      <c r="E185" s="381">
        <f>E172+E175+E178+E181+E184</f>
        <v>970103.61317999999</v>
      </c>
      <c r="F185" s="382">
        <f t="shared" ref="F185" si="54">F172+F175+F178+F181+F184</f>
        <v>720480.89103153883</v>
      </c>
      <c r="G185" s="383"/>
      <c r="H185" s="381"/>
      <c r="I185" s="382"/>
      <c r="J185" s="383">
        <f t="shared" ref="J185:L185" si="55">J172+J175+J178+J181+J184</f>
        <v>3435</v>
      </c>
      <c r="K185" s="381">
        <f t="shared" si="55"/>
        <v>1102010.74</v>
      </c>
      <c r="L185" s="382">
        <f t="shared" si="55"/>
        <v>819358.62</v>
      </c>
      <c r="M185" s="384">
        <f>(K185-E185)/E185</f>
        <v>0.13597220444072813</v>
      </c>
      <c r="N185" s="382">
        <f>L185-F185</f>
        <v>98877.728968461161</v>
      </c>
      <c r="O185" s="383">
        <f t="shared" ref="O185" si="56">O172+O175+O178+O181+O184</f>
        <v>3000</v>
      </c>
      <c r="P185" s="381">
        <f>P172+P175+P178+P181+P184</f>
        <v>940023.59999999974</v>
      </c>
      <c r="Q185" s="382">
        <f t="shared" ref="Q185" si="57">Q172+Q175+Q178+Q181+Q184</f>
        <v>686475.43999999959</v>
      </c>
      <c r="R185" s="264">
        <f>IF(O185=0,0,J185/O185)</f>
        <v>1.145</v>
      </c>
      <c r="S185" s="382">
        <f t="shared" si="52"/>
        <v>132883.1800000004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317.93197610980002</v>
      </c>
      <c r="F186" s="388">
        <f>F185/E185</f>
        <v>0.74268447333146426</v>
      </c>
      <c r="G186" s="389"/>
      <c r="H186" s="609"/>
      <c r="I186" s="265"/>
      <c r="J186" s="389"/>
      <c r="K186" s="609">
        <f>IF(J185=0,0,K185/J185)</f>
        <v>320.81826491994178</v>
      </c>
      <c r="L186" s="265">
        <f>IF(L185=0,0,L185/K185)</f>
        <v>0.74351237266526093</v>
      </c>
      <c r="M186" s="389"/>
      <c r="N186" s="388">
        <f>N185/F185</f>
        <v>0.13723851693956005</v>
      </c>
      <c r="O186" s="389"/>
      <c r="P186" s="609">
        <f>IF(O185=0,0,P185/O185)</f>
        <v>313.3411999999999</v>
      </c>
      <c r="Q186" s="265">
        <f>Q185/P185</f>
        <v>0.73027468672063101</v>
      </c>
      <c r="R186" s="389"/>
      <c r="S186" s="265">
        <f>IF(Q185=0,0,(S185/Q185))</f>
        <v>0.19357310146449008</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60037.883999999998</v>
      </c>
      <c r="F188" s="291" cm="1">
        <f t="array" ref="F188">+SUMPRODUCT(('Budget original'!$A$8:$A$501=$A188)*('Budget original'!$C$3:$AO$3=F$2),'Budget original'!$C$8:$AO$501)</f>
        <v>10566.667583999999</v>
      </c>
      <c r="G188" s="277"/>
      <c r="H188" s="291"/>
      <c r="I188" s="291"/>
      <c r="J188" s="277"/>
      <c r="K188" s="254">
        <f>-SUMIFS(BV_Data_An_Cour!$P:$P,BV_Data_An_Cour!$X:$X,"Oui",BV_Data_An_Cour!$U:$U,$B188,BV_Data_An_Cour!$V:$V,$C188)</f>
        <v>65049.67</v>
      </c>
      <c r="L188" s="256">
        <f>-SUMIFS(BV_Data_An_Cour!$P:$P,BV_Data_An_Cour!$U:$U,$B188,BV_Data_An_Cour!$V:$V,$C188,BV_Data_An_Cour!$W:$W,$L$2)</f>
        <v>11450.440000000002</v>
      </c>
      <c r="M188" s="292">
        <f>IF(E188=0,0,(K188-E188)/E188)</f>
        <v>8.3477059251455307E-2</v>
      </c>
      <c r="N188" s="276">
        <f>L188-F188</f>
        <v>883.77241600000343</v>
      </c>
      <c r="O188" s="277"/>
      <c r="P188" s="254" cm="1">
        <f t="array" ref="P188">+SUMPRODUCT(('Réel 2024'!$A$8:$A$501=$A188)*('Réel 2024'!$C$3:$AO$3=P$2),'Réel 2024'!$C$8:$AO$501)</f>
        <v>60884.929999999993</v>
      </c>
      <c r="Q188" s="256" cm="1">
        <f t="array" ref="Q188">+SUMPRODUCT(('Réel 2024'!$A$8:$A$501=$A188)*('Réel 2024'!$C$3:$AO$3=Q$2),'Réel 2024'!$C$8:$AO$501)</f>
        <v>8437.1999999999716</v>
      </c>
      <c r="R188" s="292">
        <f>IF(O188=0,0,J188/O188)</f>
        <v>0</v>
      </c>
      <c r="S188" s="276">
        <f>L188-Q188</f>
        <v>3013.2400000000307</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0.17599999999999999</v>
      </c>
      <c r="G189" s="253"/>
      <c r="H189" s="349"/>
      <c r="I189" s="362"/>
      <c r="J189" s="373"/>
      <c r="K189" s="372"/>
      <c r="L189" s="362">
        <f>IF(L188=0,0,L188/K188)</f>
        <v>0.17602610435994528</v>
      </c>
      <c r="M189" s="373"/>
      <c r="N189" s="374"/>
      <c r="O189" s="373"/>
      <c r="P189" s="372"/>
      <c r="Q189" s="362">
        <f>IFERROR(Q188/P188,0)</f>
        <v>0.13857616326404534</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47060</v>
      </c>
      <c r="F191" s="291" cm="1">
        <f t="array" ref="F191">+SUMPRODUCT(('Budget original'!$A$8:$A$501=$A191)*('Budget original'!$C$3:$AO$3=F$2),'Budget original'!$C$8:$AO$501)</f>
        <v>32942</v>
      </c>
      <c r="G191" s="253"/>
      <c r="H191" s="291"/>
      <c r="I191" s="291"/>
      <c r="J191" s="373"/>
      <c r="K191" s="254">
        <f>-SUMIFS(BV_Data_An_Cour!$P:$P,BV_Data_An_Cour!$X:$X,"Oui",BV_Data_An_Cour!$U:$U,$B191,BV_Data_An_Cour!$V:$V,$C191)</f>
        <v>32992.35</v>
      </c>
      <c r="L191" s="256">
        <f>-SUMIFS(BV_Data_An_Cour!$P:$P,BV_Data_An_Cour!$U:$U,$B191,BV_Data_An_Cour!$V:$V,$C191,BV_Data_An_Cour!$W:$W,$L$2)</f>
        <v>24219.729999999996</v>
      </c>
      <c r="M191" s="373"/>
      <c r="N191" s="374"/>
      <c r="O191" s="373"/>
      <c r="P191" s="254" cm="1">
        <f t="array" ref="P191">+SUMPRODUCT(('Réel 2024'!$A$8:$A$501=$A191)*('Réel 2024'!$C$3:$AO$3=P$2),'Réel 2024'!$C$8:$AO$501)</f>
        <v>25517.449999999997</v>
      </c>
      <c r="Q191" s="254" cm="1">
        <f t="array" ref="Q191">+SUMPRODUCT(('Réel 2024'!$A$8:$A$501=$A191)*('Réel 2024'!$C$3:$AO$3=Q$2),'Réel 2024'!$C$8:$AO$501)</f>
        <v>19521.32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0.7341013901707516</v>
      </c>
      <c r="M192" s="373"/>
      <c r="N192" s="374"/>
      <c r="O192" s="373"/>
      <c r="P192" s="372"/>
      <c r="Q192" s="362">
        <f>IF(Q191=0,0,Q191/P191)</f>
        <v>0.76501844815998477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1077201.4971799999</v>
      </c>
      <c r="F194" s="281">
        <f t="shared" si="58"/>
        <v>763989.55861553887</v>
      </c>
      <c r="G194" s="282"/>
      <c r="H194" s="279"/>
      <c r="I194" s="281"/>
      <c r="J194" s="282"/>
      <c r="K194" s="279">
        <f t="shared" ref="K194:L194" si="59">K185+K188+K191</f>
        <v>1200052.76</v>
      </c>
      <c r="L194" s="281">
        <f t="shared" si="59"/>
        <v>855028.79</v>
      </c>
      <c r="M194" s="399">
        <f>L195-F195</f>
        <v>3.2571507351281115E-3</v>
      </c>
      <c r="N194" s="281">
        <f>L194-F194</f>
        <v>91039.231384461164</v>
      </c>
      <c r="O194" s="282"/>
      <c r="P194" s="279">
        <f t="shared" ref="P194" si="60">P185+P188+P191</f>
        <v>1026425.9799999997</v>
      </c>
      <c r="Q194" s="281">
        <f>Q185+Q188+Q191</f>
        <v>714433.9599999995</v>
      </c>
      <c r="R194" s="399">
        <f>L195-Q195</f>
        <v>1.645225569416997E-2</v>
      </c>
      <c r="S194" s="281">
        <f>L194-Q194</f>
        <v>140594.83000000054</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0.70923551500400162</v>
      </c>
      <c r="G195" s="283"/>
      <c r="H195" s="284"/>
      <c r="I195" s="287"/>
      <c r="J195" s="283"/>
      <c r="K195" s="284"/>
      <c r="L195" s="287">
        <f>L194/K194</f>
        <v>0.71249266573912973</v>
      </c>
      <c r="M195" s="286"/>
      <c r="N195" s="287">
        <f>N194/F194</f>
        <v>0.11916292619160608</v>
      </c>
      <c r="O195" s="283"/>
      <c r="P195" s="284"/>
      <c r="Q195" s="287">
        <f>Q194/P194</f>
        <v>0.69604041004495976</v>
      </c>
      <c r="R195" s="286"/>
      <c r="S195" s="287">
        <f>L194/S194</f>
        <v>6.0815094694449057</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65681.01201923078</v>
      </c>
      <c r="G198" s="253"/>
      <c r="H198" s="41"/>
      <c r="I198" s="254"/>
      <c r="J198" s="253"/>
      <c r="K198" s="41"/>
      <c r="L198" s="256">
        <f>SUMIFS(BV_Data_An_Cour!$P:$P,BV_Data_An_Cour!$U:$U,$B198,BV_Data_An_Cour!$V:$V,$C198,BV_Data_An_Cour!$W:$W,$L$2)</f>
        <v>58980.33</v>
      </c>
      <c r="M198" s="253"/>
      <c r="N198" s="276">
        <f t="shared" ref="N198:N229" si="61">L198-F198</f>
        <v>-6700.6820192307787</v>
      </c>
      <c r="O198" s="253"/>
      <c r="P198" s="41"/>
      <c r="Q198" s="256" cm="1">
        <f t="array" ref="Q198">+SUMPRODUCT(('Réel 2024'!$A$8:$A$501=$A198)*('Réel 2024'!$C$3:$AO$3=Q$2),'Réel 2024'!$C$8:$AO$501)</f>
        <v>55364.03</v>
      </c>
      <c r="R198" s="253"/>
      <c r="S198" s="256">
        <f t="shared" ref="S198:S229" si="62">L198-Q198</f>
        <v>3616.3000000000029</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35491.701938461541</v>
      </c>
      <c r="G199" s="298"/>
      <c r="H199" s="41"/>
      <c r="I199" s="248"/>
      <c r="J199" s="253"/>
      <c r="K199" s="41"/>
      <c r="L199" s="256">
        <f>SUMIFS(BV_Data_An_Cour!$P:$P,BV_Data_An_Cour!$U:$U,$B199,BV_Data_An_Cour!$V:$V,$C199,BV_Data_An_Cour!$W:$W,$L$2)</f>
        <v>34116.269999999997</v>
      </c>
      <c r="M199" s="253"/>
      <c r="N199" s="276">
        <f t="shared" si="61"/>
        <v>-1375.4319384615446</v>
      </c>
      <c r="O199" s="253"/>
      <c r="P199" s="41"/>
      <c r="Q199" s="256" cm="1">
        <f t="array" ref="Q199">+SUMPRODUCT(('Réel 2024'!$A$8:$A$501=$A199)*('Réel 2024'!$C$3:$AO$3=Q$2),'Réel 2024'!$C$8:$AO$501)</f>
        <v>30526.18</v>
      </c>
      <c r="R199" s="253"/>
      <c r="S199" s="276">
        <f t="shared" si="62"/>
        <v>3590.0899999999965</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66588.051923076913</v>
      </c>
      <c r="G200" s="316"/>
      <c r="H200" s="315"/>
      <c r="I200" s="254"/>
      <c r="J200" s="241"/>
      <c r="K200" s="315"/>
      <c r="L200" s="272">
        <f>SUMIFS(BV_Data_An_Cour!$P:$P,BV_Data_An_Cour!$U:$U,$B200,BV_Data_An_Cour!$V:$V,$C200,BV_Data_An_Cour!$W:$W,$L$2)</f>
        <v>71158.89</v>
      </c>
      <c r="M200" s="241"/>
      <c r="N200" s="317">
        <f t="shared" si="61"/>
        <v>4570.8380769230862</v>
      </c>
      <c r="O200" s="241"/>
      <c r="P200" s="315"/>
      <c r="Q200" s="272" cm="1">
        <f t="array" ref="Q200">+SUMPRODUCT(('Réel 2024'!$A$8:$A$501=$A200)*('Réel 2024'!$C$3:$AO$3=Q$2),'Réel 2024'!$C$8:$AO$501)</f>
        <v>61730.05</v>
      </c>
      <c r="R200" s="241"/>
      <c r="S200" s="317">
        <f t="shared" si="62"/>
        <v>9428.8399999999965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108651.07050215385</v>
      </c>
      <c r="G201" s="298"/>
      <c r="H201" s="41"/>
      <c r="I201" s="254"/>
      <c r="J201" s="253"/>
      <c r="K201" s="41"/>
      <c r="L201" s="256">
        <f>SUMIFS(BV_Data_An_Cour!$P:$P,BV_Data_An_Cour!$U:$U,$B201,BV_Data_An_Cour!$V:$V,$C201,BV_Data_An_Cour!$W:$W,$L$2)</f>
        <v>71869.789999999994</v>
      </c>
      <c r="M201" s="253"/>
      <c r="N201" s="276">
        <f t="shared" si="61"/>
        <v>-36781.280502153852</v>
      </c>
      <c r="O201" s="253"/>
      <c r="P201" s="41"/>
      <c r="Q201" s="256" cm="1">
        <f t="array" ref="Q201">+SUMPRODUCT(('Réel 2024'!$A$8:$A$501=$A201)*('Réel 2024'!$C$3:$AO$3=Q$2),'Réel 2024'!$C$8:$AO$501)</f>
        <v>108091</v>
      </c>
      <c r="R201" s="253"/>
      <c r="S201" s="276">
        <f t="shared" si="62"/>
        <v>-36221.210000000006</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61263.878725042901</v>
      </c>
      <c r="G205" s="298"/>
      <c r="H205" s="41"/>
      <c r="I205" s="254"/>
      <c r="J205" s="253"/>
      <c r="K205" s="41"/>
      <c r="L205" s="256">
        <f>SUMIFS(BV_Data_An_Cour!$P:$P,BV_Data_An_Cour!$U:$U,$B205,BV_Data_An_Cour!$V:$V,$C205,BV_Data_An_Cour!$W:$W,$L$2)</f>
        <v>60263.58</v>
      </c>
      <c r="M205" s="253"/>
      <c r="N205" s="276">
        <f t="shared" si="61"/>
        <v>-1000.2987250428996</v>
      </c>
      <c r="O205" s="253"/>
      <c r="P205" s="41"/>
      <c r="Q205" s="256" cm="1">
        <f t="array" ref="Q205">+SUMPRODUCT(('Réel 2024'!$A$8:$A$501=$A205)*('Réel 2024'!$C$3:$AO$3=Q$2),'Réel 2024'!$C$8:$AO$501)</f>
        <v>63697.27</v>
      </c>
      <c r="R205" s="253"/>
      <c r="S205" s="276">
        <f t="shared" si="62"/>
        <v>-3433.6899999999951</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74488.240211946439</v>
      </c>
      <c r="G206" s="316"/>
      <c r="H206" s="315"/>
      <c r="I206" s="272"/>
      <c r="J206" s="241"/>
      <c r="K206" s="315"/>
      <c r="L206" s="272">
        <f>SUMIFS(BV_Data_An_Cour!$P:$P,BV_Data_An_Cour!$U:$U,$B206,BV_Data_An_Cour!$V:$V,$C206,BV_Data_An_Cour!$W:$W,$L$2)</f>
        <v>74000.84</v>
      </c>
      <c r="M206" s="241"/>
      <c r="N206" s="317">
        <f t="shared" si="61"/>
        <v>-487.40021194644214</v>
      </c>
      <c r="O206" s="241"/>
      <c r="P206" s="315"/>
      <c r="Q206" s="272" cm="1">
        <f t="array" ref="Q206">+SUMPRODUCT(('Réel 2024'!$A$8:$A$501=$A206)*('Réel 2024'!$C$3:$AO$3=Q$2),'Réel 2024'!$C$8:$AO$501)</f>
        <v>87449.38</v>
      </c>
      <c r="R206" s="241"/>
      <c r="S206" s="317">
        <f t="shared" si="62"/>
        <v>-13448.540000000008</v>
      </c>
      <c r="T206" s="41"/>
      <c r="V206" s="254">
        <f>L206-Print_Mois!L206</f>
        <v>51085.08</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38377.636804850663</v>
      </c>
      <c r="G207" s="298"/>
      <c r="H207" s="41"/>
      <c r="I207" s="254"/>
      <c r="J207" s="253"/>
      <c r="K207" s="41"/>
      <c r="L207" s="256">
        <f>SUMIFS(BV_Data_An_Cour!$P:$P,BV_Data_An_Cour!$U:$U,$B207,BV_Data_An_Cour!$V:$V,$C207,BV_Data_An_Cour!$W:$W,$L$2)</f>
        <v>38606.620000000003</v>
      </c>
      <c r="M207" s="253"/>
      <c r="N207" s="276">
        <f t="shared" si="61"/>
        <v>228.98319514933974</v>
      </c>
      <c r="O207" s="253"/>
      <c r="P207" s="41"/>
      <c r="Q207" s="256" cm="1">
        <f t="array" ref="Q207">+SUMPRODUCT(('Réel 2024'!$A$8:$A$501=$A207)*('Réel 2024'!$C$3:$AO$3=Q$2),'Réel 2024'!$C$8:$AO$501)</f>
        <v>45686.229999999996</v>
      </c>
      <c r="R207" s="253"/>
      <c r="S207" s="276">
        <f t="shared" si="62"/>
        <v>-7079.6099999999933</v>
      </c>
      <c r="T207" s="41"/>
      <c r="V207" s="254">
        <f>L207-Print_Mois!L207</f>
        <v>26698.120000000003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16732.865554857533</v>
      </c>
      <c r="G208" s="298"/>
      <c r="H208" s="41"/>
      <c r="I208" s="254"/>
      <c r="J208" s="253"/>
      <c r="K208" s="41"/>
      <c r="L208" s="256">
        <f>SUMIFS(BV_Data_An_Cour!$P:$P,BV_Data_An_Cour!$U:$U,$B208,BV_Data_An_Cour!$V:$V,$C208,BV_Data_An_Cour!$W:$W,$L$2)</f>
        <v>16379.44</v>
      </c>
      <c r="M208" s="253"/>
      <c r="N208" s="276">
        <f t="shared" si="61"/>
        <v>-353.42555485753292</v>
      </c>
      <c r="O208" s="253"/>
      <c r="P208" s="41"/>
      <c r="Q208" s="256" cm="1">
        <f t="array" ref="Q208">+SUMPRODUCT(('Réel 2024'!$A$8:$A$501=$A208)*('Réel 2024'!$C$3:$AO$3=Q$2),'Réel 2024'!$C$8:$AO$501)</f>
        <v>15936</v>
      </c>
      <c r="R208" s="253"/>
      <c r="S208" s="276">
        <f t="shared" si="62"/>
        <v>443.44000000000051</v>
      </c>
      <c r="T208" s="41"/>
      <c r="V208" s="254">
        <f>L208-Print_Mois!L208</f>
        <v>11850.34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0.61162414120736208</v>
      </c>
      <c r="F210" s="307">
        <f>+SUM(F198:F209)</f>
        <v>467274.45767962059</v>
      </c>
      <c r="G210" s="308"/>
      <c r="H210" s="306"/>
      <c r="I210" s="307"/>
      <c r="J210" s="308" t="s">
        <v>175</v>
      </c>
      <c r="K210" s="306">
        <f>L210/L$194</f>
        <v>0.49749875673777011</v>
      </c>
      <c r="L210" s="307">
        <f>+SUM(L198:L209)</f>
        <v>425375.75999999995</v>
      </c>
      <c r="M210" s="355"/>
      <c r="N210" s="320">
        <f t="shared" si="61"/>
        <v>-41898.697679620644</v>
      </c>
      <c r="O210" s="308" t="s">
        <v>175</v>
      </c>
      <c r="P210" s="306">
        <f>Q210/Q$194</f>
        <v>0.65573610190646636</v>
      </c>
      <c r="Q210" s="307">
        <f>+SUM(Q198:Q209)</f>
        <v>468480.14</v>
      </c>
      <c r="R210" s="355"/>
      <c r="S210" s="320">
        <f t="shared" si="62"/>
        <v>-43104.380000000063</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46219.16756337769</v>
      </c>
      <c r="G211" s="298"/>
      <c r="H211" s="41"/>
      <c r="I211" s="254"/>
      <c r="J211" s="253"/>
      <c r="K211" s="41"/>
      <c r="L211" s="256">
        <f>SUMIFS(BV_Data_An_Cour!$P:$P,BV_Data_An_Cour!$U:$U,$B211,BV_Data_An_Cour!$V:$V,$C211,BV_Data_An_Cour!$W:$W,$L$2)</f>
        <v>60804.46</v>
      </c>
      <c r="M211" s="253"/>
      <c r="N211" s="276">
        <f t="shared" si="61"/>
        <v>14585.292436622309</v>
      </c>
      <c r="O211" s="253"/>
      <c r="P211" s="41"/>
      <c r="Q211" s="256" cm="1">
        <f t="array" ref="Q211">+SUMPRODUCT(('Réel 2024'!$A$8:$A$501=$A211)*('Réel 2024'!$C$3:$AO$3=Q$2),'Réel 2024'!$C$8:$AO$501)</f>
        <v>47849.66</v>
      </c>
      <c r="R211" s="253"/>
      <c r="S211" s="276">
        <f t="shared" si="62"/>
        <v>12954.799999999996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13688.709613294837</v>
      </c>
      <c r="G212" s="298"/>
      <c r="H212" s="41"/>
      <c r="I212" s="254"/>
      <c r="J212" s="253"/>
      <c r="K212" s="41"/>
      <c r="L212" s="610">
        <f>SUMIFS(BV_Data_An_Cour!$P:$P,BV_Data_An_Cour!$U:$U,$B212,BV_Data_An_Cour!$V:$V,$C212,BV_Data_An_Cour!$W:$W,$L$2)</f>
        <v>13877.94</v>
      </c>
      <c r="M212" s="253"/>
      <c r="N212" s="276">
        <f t="shared" si="61"/>
        <v>189.23038670516326</v>
      </c>
      <c r="O212" s="253"/>
      <c r="P212" s="41"/>
      <c r="Q212" s="256" cm="1">
        <f t="array" ref="Q212">+SUMPRODUCT(('Réel 2024'!$A$8:$A$501=$A212)*('Réel 2024'!$C$3:$AO$3=Q$2),'Réel 2024'!$C$8:$AO$501)</f>
        <v>7961.48</v>
      </c>
      <c r="R212" s="253"/>
      <c r="S212" s="276">
        <f t="shared" si="62"/>
        <v>5916.4600000000009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52334.957422222222</v>
      </c>
      <c r="G213" s="300"/>
      <c r="H213" s="318"/>
      <c r="I213" s="248"/>
      <c r="J213" s="246"/>
      <c r="K213" s="318"/>
      <c r="L213" s="256">
        <f>SUMIFS(BV_Data_An_Cour!$P:$P,BV_Data_An_Cour!$U:$U,$B213,BV_Data_An_Cour!$V:$V,$C213,BV_Data_An_Cour!$W:$W,$L$2)</f>
        <v>37646.5</v>
      </c>
      <c r="M213" s="246"/>
      <c r="N213" s="296">
        <f t="shared" si="61"/>
        <v>-14688.457422222222</v>
      </c>
      <c r="O213" s="246"/>
      <c r="P213" s="318"/>
      <c r="Q213" s="256" cm="1">
        <f t="array" ref="Q213">+SUMPRODUCT(('Réel 2024'!$A$8:$A$501=$A213)*('Réel 2024'!$C$3:$AO$3=Q$2),'Réel 2024'!$C$8:$AO$501)</f>
        <v>41862.089999999997</v>
      </c>
      <c r="R213" s="246"/>
      <c r="S213" s="296">
        <f t="shared" si="62"/>
        <v>-4215.5899999999965</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19133.264549546664</v>
      </c>
      <c r="G214" s="298"/>
      <c r="H214" s="41"/>
      <c r="I214" s="254"/>
      <c r="J214" s="253"/>
      <c r="K214" s="41"/>
      <c r="L214" s="272">
        <f>SUMIFS(BV_Data_An_Cour!$P:$P,BV_Data_An_Cour!$U:$U,$B214,BV_Data_An_Cour!$V:$V,$C214,BV_Data_An_Cour!$W:$W,$L$2)</f>
        <v>19710.759999999998</v>
      </c>
      <c r="M214" s="253"/>
      <c r="N214" s="276">
        <f t="shared" si="61"/>
        <v>577.49545045333434</v>
      </c>
      <c r="O214" s="253"/>
      <c r="P214" s="41"/>
      <c r="Q214" s="272" cm="1">
        <f t="array" ref="Q214">+SUMPRODUCT(('Réel 2024'!$A$8:$A$501=$A214)*('Réel 2024'!$C$3:$AO$3=Q$2),'Réel 2024'!$C$8:$AO$501)</f>
        <v>19614.580000000002</v>
      </c>
      <c r="R214" s="253"/>
      <c r="S214" s="276">
        <f t="shared" si="62"/>
        <v>96.179999999996653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4203.5007223747616</v>
      </c>
      <c r="G215" s="298"/>
      <c r="H215" s="41"/>
      <c r="I215" s="254"/>
      <c r="J215" s="253"/>
      <c r="K215" s="41"/>
      <c r="L215" s="256">
        <f>SUMIFS(BV_Data_An_Cour!$P:$P,BV_Data_An_Cour!$U:$U,$B215,BV_Data_An_Cour!$V:$V,$C215,BV_Data_An_Cour!$W:$W,$L$2)</f>
        <v>5094.6400000000003</v>
      </c>
      <c r="M215" s="253"/>
      <c r="N215" s="276">
        <f t="shared" si="61"/>
        <v>891.13927762523872</v>
      </c>
      <c r="O215" s="253"/>
      <c r="P215" s="41"/>
      <c r="Q215" s="256" cm="1">
        <f t="array" ref="Q215">+SUMPRODUCT(('Réel 2024'!$A$8:$A$501=$A215)*('Réel 2024'!$C$3:$AO$3=Q$2),'Réel 2024'!$C$8:$AO$501)</f>
        <v>3804.19</v>
      </c>
      <c r="R215" s="253"/>
      <c r="S215" s="276">
        <f t="shared" si="62"/>
        <v>1290.4500000000003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48512.927153401484</v>
      </c>
      <c r="G216" s="300"/>
      <c r="H216" s="318"/>
      <c r="I216" s="248"/>
      <c r="J216" s="246"/>
      <c r="K216" s="318"/>
      <c r="L216" s="256">
        <f>SUMIFS(BV_Data_An_Cour!$P:$P,BV_Data_An_Cour!$U:$U,$B216,BV_Data_An_Cour!$V:$V,$C216,BV_Data_An_Cour!$W:$W,$L$2)</f>
        <v>61619.13</v>
      </c>
      <c r="M216" s="246"/>
      <c r="N216" s="296">
        <f t="shared" si="61"/>
        <v>13106.202846598513</v>
      </c>
      <c r="O216" s="246"/>
      <c r="P216" s="318"/>
      <c r="Q216" s="256" cm="1">
        <f t="array" ref="Q216">+SUMPRODUCT(('Réel 2024'!$A$8:$A$501=$A216)*('Réel 2024'!$C$3:$AO$3=Q$2),'Réel 2024'!$C$8:$AO$501)</f>
        <v>41554.639999999999</v>
      </c>
      <c r="R216" s="246"/>
      <c r="S216" s="296">
        <f t="shared" si="62"/>
        <v>20064.489999999998</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19079.681688888893</v>
      </c>
      <c r="G218" s="298"/>
      <c r="H218" s="41"/>
      <c r="I218" s="254"/>
      <c r="J218" s="253"/>
      <c r="K218" s="41"/>
      <c r="L218" s="256">
        <f>SUMIFS(BV_Data_An_Cour!$P:$P,BV_Data_An_Cour!$U:$U,$B218,BV_Data_An_Cour!$V:$V,$C218,BV_Data_An_Cour!$W:$W,$L$2)</f>
        <v>21012.58</v>
      </c>
      <c r="M218" s="253"/>
      <c r="N218" s="276">
        <f t="shared" si="61"/>
        <v>1932.8983111111083</v>
      </c>
      <c r="O218" s="253"/>
      <c r="P218" s="41"/>
      <c r="Q218" s="256" cm="1">
        <f t="array" ref="Q218">+SUMPRODUCT(('Réel 2024'!$A$8:$A$501=$A218)*('Réel 2024'!$C$3:$AO$3=Q$2),'Réel 2024'!$C$8:$AO$501)</f>
        <v>20741.79</v>
      </c>
      <c r="R218" s="253"/>
      <c r="S218" s="276">
        <f t="shared" si="62"/>
        <v>270.79000000000087</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4881.8616271456685</v>
      </c>
      <c r="G219" s="298"/>
      <c r="H219" s="41"/>
      <c r="I219" s="254"/>
      <c r="J219" s="253"/>
      <c r="K219" s="41"/>
      <c r="L219" s="256">
        <f>SUMIFS(BV_Data_An_Cour!$P:$P,BV_Data_An_Cour!$U:$U,$B219,BV_Data_An_Cour!$V:$V,$C219,BV_Data_An_Cour!$W:$W,$L$2)</f>
        <v>2488.15</v>
      </c>
      <c r="M219" s="253"/>
      <c r="N219" s="276">
        <f t="shared" si="61"/>
        <v>-2393.7116271456684</v>
      </c>
      <c r="O219" s="253"/>
      <c r="P219" s="41"/>
      <c r="Q219" s="256" cm="1">
        <f t="array" ref="Q219">+SUMPRODUCT(('Réel 2024'!$A$8:$A$501=$A219)*('Réel 2024'!$C$3:$AO$3=Q$2),'Réel 2024'!$C$8:$AO$501)</f>
        <v>3865.85</v>
      </c>
      <c r="R219" s="253"/>
      <c r="S219" s="276">
        <f t="shared" si="62"/>
        <v>-1377.6999999999998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3332.2165990073604</v>
      </c>
      <c r="G220" s="298"/>
      <c r="H220" s="41"/>
      <c r="I220" s="254"/>
      <c r="J220" s="253"/>
      <c r="K220" s="41"/>
      <c r="L220" s="256">
        <f>SUMIFS(BV_Data_An_Cour!$P:$P,BV_Data_An_Cour!$U:$U,$B220,BV_Data_An_Cour!$V:$V,$C220,BV_Data_An_Cour!$W:$W,$L$2)</f>
        <v>2278.6999999999998</v>
      </c>
      <c r="M220" s="253"/>
      <c r="N220" s="276">
        <f t="shared" si="61"/>
        <v>-1053.5165990073606</v>
      </c>
      <c r="O220" s="253"/>
      <c r="P220" s="41"/>
      <c r="Q220" s="256" cm="1">
        <f t="array" ref="Q220">+SUMPRODUCT(('Réel 2024'!$A$8:$A$501=$A220)*('Réel 2024'!$C$3:$AO$3=Q$2),'Réel 2024'!$C$8:$AO$501)</f>
        <v>1984.5500000000002</v>
      </c>
      <c r="R220" s="253"/>
      <c r="S220" s="276">
        <f t="shared" si="62"/>
        <v>294.14999999999964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716.81800675394686</v>
      </c>
      <c r="G221" s="298"/>
      <c r="H221" s="41"/>
      <c r="I221" s="254"/>
      <c r="J221" s="253"/>
      <c r="K221" s="41"/>
      <c r="L221" s="256">
        <f>SUMIFS(BV_Data_An_Cour!$P:$P,BV_Data_An_Cour!$U:$U,$B221,BV_Data_An_Cour!$V:$V,$C221,BV_Data_An_Cour!$W:$W,$L$2)</f>
        <v>886.79</v>
      </c>
      <c r="M221" s="253"/>
      <c r="N221" s="276">
        <f t="shared" si="61"/>
        <v>169.9719932460531</v>
      </c>
      <c r="O221" s="253"/>
      <c r="P221" s="41"/>
      <c r="Q221" s="256" cm="1">
        <f t="array" ref="Q221">+SUMPRODUCT(('Réel 2024'!$A$8:$A$501=$A221)*('Réel 2024'!$C$3:$AO$3=Q$2),'Réel 2024'!$C$8:$AO$501)</f>
        <v>665.6099999999999</v>
      </c>
      <c r="R221" s="253"/>
      <c r="S221" s="276">
        <f t="shared" si="62"/>
        <v>221.18000000000006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371.16228510525326</v>
      </c>
      <c r="G222" s="298"/>
      <c r="H222" s="41"/>
      <c r="I222" s="254"/>
      <c r="J222" s="253"/>
      <c r="K222" s="41"/>
      <c r="L222" s="256">
        <f>SUMIFS(BV_Data_An_Cour!$P:$P,BV_Data_An_Cour!$U:$U,$B222,BV_Data_An_Cour!$V:$V,$C222,BV_Data_An_Cour!$W:$W,$L$2)</f>
        <v>1923.61</v>
      </c>
      <c r="M222" s="253"/>
      <c r="N222" s="276">
        <f t="shared" si="61"/>
        <v>1552.4477148947467</v>
      </c>
      <c r="O222" s="253"/>
      <c r="P222" s="41"/>
      <c r="Q222" s="256" cm="1">
        <f t="array" ref="Q222">+SUMPRODUCT(('Réel 2024'!$A$8:$A$501=$A222)*('Réel 2024'!$C$3:$AO$3=Q$2),'Réel 2024'!$C$8:$AO$501)</f>
        <v>583.45999999999992</v>
      </c>
      <c r="R222" s="253"/>
      <c r="S222" s="276">
        <f t="shared" si="62"/>
        <v>1340.15</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609.80380750381335</v>
      </c>
      <c r="G223" s="298"/>
      <c r="H223" s="41"/>
      <c r="I223" s="254"/>
      <c r="J223" s="253"/>
      <c r="K223" s="41"/>
      <c r="L223" s="256">
        <f>SUMIFS(BV_Data_An_Cour!$P:$P,BV_Data_An_Cour!$U:$U,$B223,BV_Data_An_Cour!$V:$V,$C223,BV_Data_An_Cour!$W:$W,$L$2)</f>
        <v>264.69</v>
      </c>
      <c r="M223" s="253"/>
      <c r="N223" s="276">
        <f t="shared" si="61"/>
        <v>-345.11380750381335</v>
      </c>
      <c r="O223" s="253"/>
      <c r="P223" s="41"/>
      <c r="Q223" s="256" cm="1">
        <f t="array" ref="Q223">+SUMPRODUCT(('Réel 2024'!$A$8:$A$501=$A223)*('Réel 2024'!$C$3:$AO$3=Q$2),'Réel 2024'!$C$8:$AO$501)</f>
        <v>575.12</v>
      </c>
      <c r="R223" s="253"/>
      <c r="S223" s="276">
        <f t="shared" si="62"/>
        <v>-310.43</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12266.053595409945</v>
      </c>
      <c r="G224" s="298"/>
      <c r="H224" s="41"/>
      <c r="I224" s="254"/>
      <c r="J224" s="253"/>
      <c r="K224" s="41"/>
      <c r="L224" s="256">
        <f>SUMIFS(BV_Data_An_Cour!$P:$P,BV_Data_An_Cour!$U:$U,$B224,BV_Data_An_Cour!$V:$V,$C224,BV_Data_An_Cour!$W:$W,$L$2)</f>
        <v>3737.13</v>
      </c>
      <c r="M224" s="253"/>
      <c r="N224" s="276">
        <f t="shared" si="61"/>
        <v>-8528.9235954099458</v>
      </c>
      <c r="O224" s="253"/>
      <c r="P224" s="41"/>
      <c r="Q224" s="256" cm="1">
        <f t="array" ref="Q224">+SUMPRODUCT(('Réel 2024'!$A$8:$A$501=$A224)*('Réel 2024'!$C$3:$AO$3=Q$2),'Réel 2024'!$C$8:$AO$501)</f>
        <v>11428.2</v>
      </c>
      <c r="R224" s="253"/>
      <c r="S224" s="276">
        <f t="shared" si="62"/>
        <v>-7691.0700000000006</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6329.2766237818232</v>
      </c>
      <c r="G225" s="298"/>
      <c r="H225" s="41"/>
      <c r="I225" s="254"/>
      <c r="J225" s="253"/>
      <c r="K225" s="41"/>
      <c r="L225" s="256">
        <f>SUMIFS(BV_Data_An_Cour!$P:$P,BV_Data_An_Cour!$U:$U,$B225,BV_Data_An_Cour!$V:$V,$C225,BV_Data_An_Cour!$W:$W,L$2)</f>
        <v>6648.3</v>
      </c>
      <c r="M225" s="253"/>
      <c r="N225" s="276">
        <f t="shared" si="61"/>
        <v>319.02337621817696</v>
      </c>
      <c r="O225" s="253"/>
      <c r="P225" s="41"/>
      <c r="Q225" s="256" cm="1">
        <f t="array" ref="Q225">+SUMPRODUCT(('Réel 2024'!$A$8:$A$501=$A225)*('Réel 2024'!$C$3:$AO$3=Q$2),'Réel 2024'!$C$8:$AO$501)</f>
        <v>6508.5999999999995</v>
      </c>
      <c r="R225" s="253"/>
      <c r="S225" s="276">
        <f t="shared" si="62"/>
        <v>139.70000000000073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0.3032494340336947</v>
      </c>
      <c r="F229" s="307">
        <f>+SUM(F211:F228)</f>
        <v>231679.4012578144</v>
      </c>
      <c r="G229" s="308"/>
      <c r="H229" s="306"/>
      <c r="I229" s="307"/>
      <c r="J229" s="308" t="s">
        <v>175</v>
      </c>
      <c r="K229" s="306">
        <f>L229/L$194</f>
        <v>0.27834545781785897</v>
      </c>
      <c r="L229" s="307">
        <f>+SUM(L211:L228)</f>
        <v>237993.38</v>
      </c>
      <c r="M229" s="311"/>
      <c r="N229" s="307">
        <f t="shared" si="61"/>
        <v>6313.9787421856017</v>
      </c>
      <c r="O229" s="308" t="s">
        <v>175</v>
      </c>
      <c r="P229" s="306">
        <f>Q229/Q$194</f>
        <v>0.29253903327887737</v>
      </c>
      <c r="Q229" s="307">
        <f>+SUM(Q211:Q228)</f>
        <v>208999.82</v>
      </c>
      <c r="R229" s="311"/>
      <c r="S229" s="307">
        <f t="shared" si="62"/>
        <v>28993.559999999998</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0.91487357524105684</v>
      </c>
      <c r="F231" s="307">
        <f>F210+F229</f>
        <v>698953.85893743497</v>
      </c>
      <c r="G231" s="308"/>
      <c r="H231" s="306"/>
      <c r="I231" s="307"/>
      <c r="J231" s="308" t="s">
        <v>119</v>
      </c>
      <c r="K231" s="306">
        <f>L231/L$194</f>
        <v>0.77584421455562902</v>
      </c>
      <c r="L231" s="307">
        <f>L210+L229</f>
        <v>663369.1399999999</v>
      </c>
      <c r="M231" s="311"/>
      <c r="N231" s="320">
        <f>L231-F231</f>
        <v>-35584.718937435071</v>
      </c>
      <c r="O231" s="308" t="s">
        <v>119</v>
      </c>
      <c r="P231" s="306">
        <f>Q231/Q$194</f>
        <v>0.94827513518534368</v>
      </c>
      <c r="Q231" s="307">
        <f>Q210+Q229</f>
        <v>677479.96</v>
      </c>
      <c r="R231" s="311"/>
      <c r="S231" s="320">
        <f>L231-Q231</f>
        <v>-14110.820000000065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65035.699678103905</v>
      </c>
      <c r="G233" s="361"/>
      <c r="H233" s="333"/>
      <c r="I233" s="335"/>
      <c r="J233" s="332"/>
      <c r="K233" s="334"/>
      <c r="L233" s="335">
        <f>L194-L231</f>
        <v>191659.65000000014</v>
      </c>
      <c r="M233" s="332"/>
      <c r="N233" s="335">
        <f>L233-F233</f>
        <v>126623.95032189623</v>
      </c>
      <c r="O233" s="332"/>
      <c r="P233" s="334"/>
      <c r="Q233" s="335">
        <f>Q194-Q231</f>
        <v>36953.999999999534</v>
      </c>
      <c r="R233" s="332"/>
      <c r="S233" s="335">
        <f>L233-Q233</f>
        <v>154705.65000000061</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Avril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18" t="s">
        <v>343</v>
      </c>
      <c r="E238" s="1219"/>
      <c r="F238" s="1220"/>
      <c r="G238" s="1221"/>
      <c r="H238" s="1219"/>
      <c r="I238" s="1220"/>
      <c r="J238" s="1221" t="s">
        <v>344</v>
      </c>
      <c r="K238" s="1219"/>
      <c r="L238" s="1220"/>
      <c r="M238" s="1221" t="s">
        <v>3310</v>
      </c>
      <c r="N238" s="1220"/>
      <c r="O238" s="1218" t="s">
        <v>345</v>
      </c>
      <c r="P238" s="1219"/>
      <c r="Q238" s="1220"/>
      <c r="R238" s="1222" t="s">
        <v>3312</v>
      </c>
      <c r="S238" s="122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186000</v>
      </c>
      <c r="F241" s="291" cm="1">
        <f t="array" ref="F241">+SUMPRODUCT(('Budget original'!$A$8:$A$501=$A241)*('Budget original'!$C$3:$AO$3=F$2),'Budget original'!$C$8:$AO$501)</f>
        <v>40920</v>
      </c>
      <c r="G241" s="322"/>
      <c r="H241" s="291"/>
      <c r="I241" s="291"/>
      <c r="J241" s="277">
        <f>-SUMIFS(BV_Data_An_Cour!$P:$P,BV_Data_An_Cour!$U:$U,$B241,BV_Data_An_Cour!$V:$V,$C241,BV_Data_An_Cour!$W:$W,J$2)</f>
        <v>38</v>
      </c>
      <c r="K241" s="254">
        <f>-SUMIFS(BV_Data_An_Cour!$P:$P,BV_Data_An_Cour!$X:$X,"Oui",BV_Data_An_Cour!$U:$U,$B241,BV_Data_An_Cour!$V:$V,$C241)</f>
        <v>68874.069999999992</v>
      </c>
      <c r="L241" s="256">
        <f>-SUMIFS(BV_Data_An_Cour!$P:$P,BV_Data_An_Cour!$U:$U,$B241,BV_Data_An_Cour!$V:$V,$C241,BV_Data_An_Cour!$W:$W,$L$2)</f>
        <v>14243.889999999992</v>
      </c>
      <c r="M241" s="292">
        <f>IFERROR((K241-E241)/E241,0)</f>
        <v>-0.6297093010752689</v>
      </c>
      <c r="N241" s="276">
        <f>L241-F241</f>
        <v>-26676.110000000008</v>
      </c>
      <c r="O241" s="277" cm="1">
        <f t="array" ref="O241">+SUMPRODUCT(('Réel 2024'!$A$8:$A$501=$A241)*('Réel 2024'!$C$3:$AO$3=O$2),'Réel 2024'!$C$8:$AO$501)</f>
        <v>115</v>
      </c>
      <c r="P241" s="254" cm="1">
        <f t="array" ref="P241">+SUMPRODUCT(('Réel 2024'!$A$8:$A$501=$A241)*('Réel 2024'!$C$3:$AO$3=P$2),'Réel 2024'!$C$8:$AO$501)</f>
        <v>267835.24</v>
      </c>
      <c r="Q241" s="256" cm="1">
        <f t="array" ref="Q241">+SUMPRODUCT(('Réel 2024'!$A$8:$A$501=$A241)*('Réel 2024'!$C$3:$AO$3=Q$2),'Réel 2024'!$C$8:$AO$501)</f>
        <v>49214.019999999902</v>
      </c>
      <c r="R241" s="292">
        <f>IF(O241=0,0,J241/O241)</f>
        <v>0.33043478260869563</v>
      </c>
      <c r="S241" s="276">
        <f>L241-Q241</f>
        <v>-34970.12999999991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0.20681063279692916</v>
      </c>
      <c r="M242" s="292"/>
      <c r="N242" s="276">
        <f>IFERROR(N241/M241,0)</f>
        <v>42362.578978028185</v>
      </c>
      <c r="O242" s="277"/>
      <c r="P242" s="41"/>
      <c r="Q242" s="362">
        <f>IFERROR(Q241/P241,0)</f>
        <v>0.18374736647798812</v>
      </c>
      <c r="R242" s="277"/>
      <c r="S242" s="276">
        <f>IFERROR(S241/R241,0)</f>
        <v>-105830.65657894711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186000</v>
      </c>
      <c r="F250" s="281">
        <f t="shared" si="64"/>
        <v>40920</v>
      </c>
      <c r="G250" s="282"/>
      <c r="H250" s="279"/>
      <c r="I250" s="281"/>
      <c r="J250" s="282"/>
      <c r="K250" s="279">
        <f t="shared" ref="K250:L250" si="65">K244+K247+K241</f>
        <v>68874.069999999992</v>
      </c>
      <c r="L250" s="281">
        <f t="shared" si="65"/>
        <v>14243.889999999992</v>
      </c>
      <c r="M250" s="399">
        <f>L251-F251</f>
        <v>-1.3189367203070845E-2</v>
      </c>
      <c r="N250" s="281">
        <f>L250-F250</f>
        <v>-26676.110000000008</v>
      </c>
      <c r="O250" s="282"/>
      <c r="P250" s="279">
        <f t="shared" ref="P250:Q250" si="66">P244+P247+P241</f>
        <v>267835.24</v>
      </c>
      <c r="Q250" s="281">
        <f t="shared" si="66"/>
        <v>49214.019999999902</v>
      </c>
      <c r="R250" s="399">
        <f>L251-Q251</f>
        <v>2.3063266318941039E-2</v>
      </c>
      <c r="S250" s="281">
        <f>L250-Q250</f>
        <v>-34970.12999999991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0.20681063279692916</v>
      </c>
      <c r="M251" s="286"/>
      <c r="N251" s="287">
        <f>N250/F250</f>
        <v>-0.65190884652981451</v>
      </c>
      <c r="O251" s="283"/>
      <c r="P251" s="284"/>
      <c r="Q251" s="287">
        <f>Q250/P250</f>
        <v>0.18374736647798812</v>
      </c>
      <c r="R251" s="286"/>
      <c r="S251" s="287">
        <f>IF(Q250=0,0,(S250/Q250))</f>
        <v>-0.71057251571808155</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1263.6312500000001</v>
      </c>
      <c r="G254" s="253"/>
      <c r="H254" s="41"/>
      <c r="I254" s="254"/>
      <c r="J254" s="253"/>
      <c r="K254" s="41"/>
      <c r="L254" s="256">
        <f>SUMIFS(BV_Data_An_Cour!$P:$P,BV_Data_An_Cour!$U:$U,$B254,BV_Data_An_Cour!$V:$V,$C254,BV_Data_An_Cour!$W:$W,$L$2)</f>
        <v>3607.52</v>
      </c>
      <c r="M254" s="253"/>
      <c r="N254" s="276">
        <f t="shared" ref="N254:N284" si="67">L254-F254</f>
        <v>2343.8887500000001</v>
      </c>
      <c r="O254" s="253"/>
      <c r="P254" s="41"/>
      <c r="Q254" s="256" cm="1">
        <f t="array" ref="Q254">+SUMPRODUCT(('Réel 2024'!$A$8:$A$501=$A254)*('Réel 2024'!$C$3:$AO$3=Q$2),'Réel 2024'!$C$8:$AO$501)</f>
        <v>3607.52</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20470.794615384613</v>
      </c>
      <c r="G255" s="298"/>
      <c r="H255" s="41"/>
      <c r="I255" s="248"/>
      <c r="J255" s="253"/>
      <c r="K255" s="41"/>
      <c r="L255" s="256">
        <f>SUMIFS(BV_Data_An_Cour!$P:$P,BV_Data_An_Cour!$U:$U,$B255,BV_Data_An_Cour!$V:$V,$C255,BV_Data_An_Cour!$W:$W,$L$2)</f>
        <v>15385.94</v>
      </c>
      <c r="M255" s="253"/>
      <c r="N255" s="276">
        <f t="shared" si="67"/>
        <v>-5084.8546153846128</v>
      </c>
      <c r="O255" s="253"/>
      <c r="P255" s="41"/>
      <c r="Q255" s="256" cm="1">
        <f t="array" ref="Q255">+SUMPRODUCT(('Réel 2024'!$A$8:$A$501=$A255)*('Réel 2024'!$C$3:$AO$3=Q$2),'Réel 2024'!$C$8:$AO$501)</f>
        <v>10244.460000000001</v>
      </c>
      <c r="R255" s="253"/>
      <c r="S255" s="276">
        <f t="shared" si="68"/>
        <v>5141.4799999999996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74.505769230769232</v>
      </c>
      <c r="G256" s="316"/>
      <c r="H256" s="315"/>
      <c r="I256" s="254"/>
      <c r="J256" s="241"/>
      <c r="K256" s="315"/>
      <c r="L256" s="272">
        <f>SUMIFS(BV_Data_An_Cour!$P:$P,BV_Data_An_Cour!$U:$U,$B256,BV_Data_An_Cour!$V:$V,$C256,BV_Data_An_Cour!$W:$W,$L$2)</f>
        <v>0.32</v>
      </c>
      <c r="M256" s="241"/>
      <c r="N256" s="317">
        <f t="shared" si="67"/>
        <v>-74.185769230769239</v>
      </c>
      <c r="O256" s="241"/>
      <c r="P256" s="315"/>
      <c r="Q256" s="272" cm="1">
        <f t="array" ref="Q256">+SUMPRODUCT(('Réel 2024'!$A$8:$A$501=$A256)*('Réel 2024'!$C$3:$AO$3=Q$2),'Réel 2024'!$C$8:$AO$501)</f>
        <v>0.37</v>
      </c>
      <c r="R256" s="241"/>
      <c r="S256" s="317">
        <f t="shared" si="68"/>
        <v>-4.9999999999999989E-2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2619.1913607211532</v>
      </c>
      <c r="G261" s="298"/>
      <c r="H261" s="41"/>
      <c r="I261" s="248"/>
      <c r="J261" s="253"/>
      <c r="K261" s="41"/>
      <c r="L261" s="256">
        <f>SUMIFS(BV_Data_An_Cour!$P:$P,BV_Data_An_Cour!$U:$U,$B261,BV_Data_An_Cour!$V:$V,$C261,BV_Data_An_Cour!$W:$W,$L$2)</f>
        <v>1551.37</v>
      </c>
      <c r="M261" s="253"/>
      <c r="N261" s="276">
        <f t="shared" si="67"/>
        <v>-1067.8213607211533</v>
      </c>
      <c r="O261" s="253"/>
      <c r="P261" s="41"/>
      <c r="Q261" s="256" cm="1">
        <f t="array" ref="Q261">+SUMPRODUCT(('Réel 2024'!$A$8:$A$501=$A261)*('Réel 2024'!$C$3:$AO$3=Q$2),'Réel 2024'!$C$8:$AO$501)</f>
        <v>1981.9</v>
      </c>
      <c r="R261" s="253"/>
      <c r="S261" s="276">
        <f t="shared" si="68"/>
        <v>-430.5300000000002</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3184.5674694230765</v>
      </c>
      <c r="G262" s="316"/>
      <c r="H262" s="315"/>
      <c r="I262" s="254"/>
      <c r="J262" s="241"/>
      <c r="K262" s="315"/>
      <c r="L262" s="272">
        <f>SUMIFS(BV_Data_An_Cour!$P:$P,BV_Data_An_Cour!$U:$U,$B262,BV_Data_An_Cour!$V:$V,$C262,BV_Data_An_Cour!$W:$W,$L$2)</f>
        <v>5633.97</v>
      </c>
      <c r="M262" s="241"/>
      <c r="N262" s="317">
        <f t="shared" si="67"/>
        <v>2449.4025305769237</v>
      </c>
      <c r="O262" s="241"/>
      <c r="P262" s="315"/>
      <c r="Q262" s="272" cm="1">
        <f t="array" ref="Q262">+SUMPRODUCT(('Réel 2024'!$A$8:$A$501=$A262)*('Réel 2024'!$C$3:$AO$3=Q$2),'Réel 2024'!$C$8:$AO$501)</f>
        <v>5085.7199999999993</v>
      </c>
      <c r="R262" s="241"/>
      <c r="S262" s="317">
        <f t="shared" si="68"/>
        <v>548.25000000000091</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1640.7445440288457</v>
      </c>
      <c r="G263" s="298"/>
      <c r="H263" s="41"/>
      <c r="I263" s="254"/>
      <c r="J263" s="253"/>
      <c r="K263" s="41"/>
      <c r="L263" s="256">
        <f>SUMIFS(BV_Data_An_Cour!$P:$P,BV_Data_An_Cour!$U:$U,$B263,BV_Data_An_Cour!$V:$V,$C263,BV_Data_An_Cour!$W:$W,$L$2)</f>
        <v>1658.99</v>
      </c>
      <c r="M263" s="253"/>
      <c r="N263" s="276">
        <f t="shared" si="67"/>
        <v>18.245455971154342</v>
      </c>
      <c r="O263" s="253"/>
      <c r="P263" s="41"/>
      <c r="Q263" s="256" cm="1">
        <f t="array" ref="Q263">+SUMPRODUCT(('Réel 2024'!$A$8:$A$501=$A263)*('Réel 2024'!$C$3:$AO$3=Q$2),'Réel 2024'!$C$8:$AO$501)</f>
        <v>1672.8899999999999</v>
      </c>
      <c r="R263" s="253"/>
      <c r="S263" s="276">
        <f t="shared" si="68"/>
        <v>-13.899999999999864</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715.37385182692287</v>
      </c>
      <c r="G264" s="298"/>
      <c r="H264" s="41"/>
      <c r="I264" s="254"/>
      <c r="J264" s="253"/>
      <c r="K264" s="41"/>
      <c r="L264" s="256">
        <f>SUMIFS(BV_Data_An_Cour!$P:$P,BV_Data_An_Cour!$U:$U,$B264,BV_Data_An_Cour!$V:$V,$C264,BV_Data_An_Cour!$W:$W,$L$2)</f>
        <v>1055.8</v>
      </c>
      <c r="M264" s="253"/>
      <c r="N264" s="276">
        <f t="shared" si="67"/>
        <v>340.42614817307708</v>
      </c>
      <c r="O264" s="253"/>
      <c r="P264" s="41"/>
      <c r="Q264" s="256" cm="1">
        <f t="array" ref="Q264">+SUMPRODUCT(('Réel 2024'!$A$8:$A$501=$A264)*('Réel 2024'!$C$3:$AO$3=Q$2),'Réel 2024'!$C$8:$AO$501)</f>
        <v>593.3900000000001</v>
      </c>
      <c r="R264" s="253"/>
      <c r="S264" s="276">
        <f t="shared" si="68"/>
        <v>462.40999999999985</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29968.808860615383</v>
      </c>
      <c r="G266" s="308"/>
      <c r="H266" s="306"/>
      <c r="I266" s="307"/>
      <c r="J266" s="308" t="s">
        <v>119</v>
      </c>
      <c r="K266" s="306">
        <f>IF(L244=0,0,L266/L$244)</f>
        <v>0</v>
      </c>
      <c r="L266" s="307">
        <f>+SUM(L254:L265)</f>
        <v>28893.91</v>
      </c>
      <c r="M266" s="355"/>
      <c r="N266" s="320">
        <f t="shared" si="67"/>
        <v>-1074.8988606153835</v>
      </c>
      <c r="O266" s="308" t="s">
        <v>119</v>
      </c>
      <c r="P266" s="306" t="e">
        <f>Q266/Q$244</f>
        <v>#DIV/0!</v>
      </c>
      <c r="Q266" s="307">
        <f>+SUM(Q254:Q265)</f>
        <v>23186.25</v>
      </c>
      <c r="R266" s="355"/>
      <c r="S266" s="320">
        <f t="shared" si="68"/>
        <v>5707.66</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193.33333333333334</v>
      </c>
      <c r="G267" s="298"/>
      <c r="H267" s="41"/>
      <c r="I267" s="254"/>
      <c r="J267" s="253"/>
      <c r="K267" s="41"/>
      <c r="L267" s="256">
        <f>SUMIFS(BV_Data_An_Cour!$P:$P,BV_Data_An_Cour!$U:$U,$B267,BV_Data_An_Cour!$V:$V,$C267,BV_Data_An_Cour!$W:$W,$L$2)</f>
        <v>99.75</v>
      </c>
      <c r="M267" s="253"/>
      <c r="N267" s="276">
        <f t="shared" si="67"/>
        <v>-93.583333333333343</v>
      </c>
      <c r="O267" s="253"/>
      <c r="P267" s="41"/>
      <c r="Q267" s="256" cm="1">
        <f t="array" ref="Q267">+SUMPRODUCT(('Réel 2024'!$A$8:$A$501=$A267)*('Réel 2024'!$C$3:$AO$3=Q$2),'Réel 2024'!$C$8:$AO$501)</f>
        <v>128</v>
      </c>
      <c r="R267" s="253"/>
      <c r="S267" s="276">
        <f t="shared" si="68"/>
        <v>-28.25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2246.7119251222844</v>
      </c>
      <c r="G268" s="298"/>
      <c r="H268" s="41"/>
      <c r="I268" s="254"/>
      <c r="J268" s="253"/>
      <c r="K268" s="41"/>
      <c r="L268" s="256">
        <f>SUMIFS(BV_Data_An_Cour!$P:$P,BV_Data_An_Cour!$U:$U,$B268,BV_Data_An_Cour!$V:$V,$C268,BV_Data_An_Cour!$W:$W,$L$2)</f>
        <v>12326.72</v>
      </c>
      <c r="M268" s="253"/>
      <c r="N268" s="276">
        <f t="shared" si="67"/>
        <v>10080.008074877715</v>
      </c>
      <c r="O268" s="253"/>
      <c r="P268" s="41"/>
      <c r="Q268" s="256" cm="1">
        <f t="array" ref="Q268">+SUMPRODUCT(('Réel 2024'!$A$8:$A$501=$A268)*('Réel 2024'!$C$3:$AO$3=Q$2),'Réel 2024'!$C$8:$AO$501)</f>
        <v>1173.0899999999999</v>
      </c>
      <c r="R268" s="253"/>
      <c r="S268" s="276">
        <f t="shared" si="68"/>
        <v>11153.63</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498.01440000000002</v>
      </c>
      <c r="G269" s="300"/>
      <c r="H269" s="318"/>
      <c r="I269" s="248"/>
      <c r="J269" s="246"/>
      <c r="K269" s="318"/>
      <c r="L269" s="256">
        <f>SUMIFS(BV_Data_An_Cour!$P:$P,BV_Data_An_Cour!$U:$U,$B269,BV_Data_An_Cour!$V:$V,$C269,BV_Data_An_Cour!$W:$W,$L$2)</f>
        <v>651.22</v>
      </c>
      <c r="M269" s="246"/>
      <c r="N269" s="296">
        <f t="shared" si="67"/>
        <v>153.2056</v>
      </c>
      <c r="O269" s="246"/>
      <c r="P269" s="318"/>
      <c r="Q269" s="256" cm="1">
        <f t="array" ref="Q269">+SUMPRODUCT(('Réel 2024'!$A$8:$A$501=$A269)*('Réel 2024'!$C$3:$AO$3=Q$2),'Réel 2024'!$C$8:$AO$501)</f>
        <v>651.22</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5801.7075449511103</v>
      </c>
      <c r="G270" s="298"/>
      <c r="H270" s="41"/>
      <c r="I270" s="254"/>
      <c r="J270" s="253"/>
      <c r="K270" s="41"/>
      <c r="L270" s="272">
        <f>SUMIFS(BV_Data_An_Cour!$P:$P,BV_Data_An_Cour!$U:$U,$B270,BV_Data_An_Cour!$V:$V,$C270,BV_Data_An_Cour!$W:$W,$L$2)</f>
        <v>6441.19</v>
      </c>
      <c r="M270" s="253"/>
      <c r="N270" s="276">
        <f t="shared" si="67"/>
        <v>639.48245504888928</v>
      </c>
      <c r="O270" s="253"/>
      <c r="P270" s="41"/>
      <c r="Q270" s="272" cm="1">
        <f t="array" ref="Q270">+SUMPRODUCT(('Réel 2024'!$A$8:$A$501=$A270)*('Réel 2024'!$C$3:$AO$3=Q$2),'Réel 2024'!$C$8:$AO$501)</f>
        <v>6063.34</v>
      </c>
      <c r="R270" s="253"/>
      <c r="S270" s="276">
        <f t="shared" si="68"/>
        <v>377.84999999999945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856.15295351432803</v>
      </c>
      <c r="G271" s="298"/>
      <c r="H271" s="41"/>
      <c r="I271" s="254"/>
      <c r="J271" s="253"/>
      <c r="K271" s="41"/>
      <c r="L271" s="256">
        <f>SUMIFS(BV_Data_An_Cour!$P:$P,BV_Data_An_Cour!$U:$U,$B271,BV_Data_An_Cour!$V:$V,$C271,BV_Data_An_Cour!$W:$W,$L$2)</f>
        <v>973.61</v>
      </c>
      <c r="M271" s="253"/>
      <c r="N271" s="276">
        <f t="shared" si="67"/>
        <v>117.45704648567198</v>
      </c>
      <c r="O271" s="253"/>
      <c r="P271" s="41"/>
      <c r="Q271" s="256" cm="1">
        <f t="array" ref="Q271">+SUMPRODUCT(('Réel 2024'!$A$8:$A$501=$A271)*('Réel 2024'!$C$3:$AO$3=Q$2),'Réel 2024'!$C$8:$AO$501)</f>
        <v>849.32</v>
      </c>
      <c r="R271" s="253"/>
      <c r="S271" s="276">
        <f t="shared" si="68"/>
        <v>124.28999999999996</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2748.5869774099228</v>
      </c>
      <c r="G272" s="300"/>
      <c r="H272" s="318"/>
      <c r="I272" s="248"/>
      <c r="J272" s="246"/>
      <c r="K272" s="318"/>
      <c r="L272" s="256">
        <f>SUMIFS(BV_Data_An_Cour!$P:$P,BV_Data_An_Cour!$U:$U,$B272,BV_Data_An_Cour!$V:$V,$C272,BV_Data_An_Cour!$W:$W,$L$2)</f>
        <v>3816.39</v>
      </c>
      <c r="M272" s="246"/>
      <c r="N272" s="296">
        <f t="shared" si="67"/>
        <v>1067.803022590077</v>
      </c>
      <c r="O272" s="246"/>
      <c r="P272" s="318"/>
      <c r="Q272" s="248" cm="1">
        <f t="array" ref="Q272">+SUMPRODUCT(('Réel 2024'!$A$8:$A$501=$A272)*('Réel 2024'!$C$3:$AO$3=Q$2),'Réel 2024'!$C$8:$AO$501)</f>
        <v>2659.38</v>
      </c>
      <c r="R272" s="246"/>
      <c r="S272" s="296">
        <f t="shared" si="68"/>
        <v>1157.0099999999998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183.80613333333335</v>
      </c>
      <c r="G274" s="298"/>
      <c r="H274" s="41"/>
      <c r="I274" s="254"/>
      <c r="J274" s="253"/>
      <c r="K274" s="41"/>
      <c r="L274" s="256">
        <f>SUMIFS(BV_Data_An_Cour!$P:$P,BV_Data_An_Cour!$U:$U,$B274,BV_Data_An_Cour!$V:$V,$C274,BV_Data_An_Cour!$W:$W,$L$2)</f>
        <v>0</v>
      </c>
      <c r="M274" s="253"/>
      <c r="N274" s="276">
        <f t="shared" si="67"/>
        <v>-183.80613333333335</v>
      </c>
      <c r="O274" s="253"/>
      <c r="P274" s="41"/>
      <c r="Q274" s="256" cm="1">
        <f t="array" ref="Q274">+SUMPRODUCT(('Réel 2024'!$A$8:$A$501=$A274)*('Réel 2024'!$C$3:$AO$3=Q$2),'Réel 2024'!$C$8:$AO$501)</f>
        <v>7.93</v>
      </c>
      <c r="R274" s="253"/>
      <c r="S274" s="276">
        <f t="shared" si="68"/>
        <v>-7.93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113.33333333333333</v>
      </c>
      <c r="G275" s="298"/>
      <c r="H275" s="41"/>
      <c r="I275" s="254"/>
      <c r="J275" s="253"/>
      <c r="K275" s="41"/>
      <c r="L275" s="256">
        <f>SUMIFS(BV_Data_An_Cour!$P:$P,BV_Data_An_Cour!$U:$U,$B275,BV_Data_An_Cour!$V:$V,$C275,BV_Data_An_Cour!$W:$W,$L$2)</f>
        <v>0</v>
      </c>
      <c r="M275" s="253"/>
      <c r="N275" s="276">
        <f t="shared" si="67"/>
        <v>-113.33333333333333</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584.94758821047981</v>
      </c>
      <c r="G276" s="298"/>
      <c r="H276" s="41"/>
      <c r="I276" s="254"/>
      <c r="J276" s="253"/>
      <c r="K276" s="41"/>
      <c r="L276" s="256">
        <f>SUMIFS(BV_Data_An_Cour!$P:$P,BV_Data_An_Cour!$U:$U,$B276,BV_Data_An_Cour!$V:$V,$C276,BV_Data_An_Cour!$W:$W,$L$2)</f>
        <v>394.84</v>
      </c>
      <c r="M276" s="253"/>
      <c r="N276" s="276">
        <f t="shared" si="67"/>
        <v>-190.10758821047983</v>
      </c>
      <c r="O276" s="253"/>
      <c r="P276" s="41"/>
      <c r="Q276" s="256" cm="1">
        <f t="array" ref="Q276">+SUMPRODUCT(('Réel 2024'!$A$8:$A$501=$A276)*('Réel 2024'!$C$3:$AO$3=Q$2),'Réel 2024'!$C$8:$AO$501)</f>
        <v>508.4</v>
      </c>
      <c r="R276" s="253"/>
      <c r="S276" s="276">
        <f t="shared" si="68"/>
        <v>-113.56</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129.47590130323445</v>
      </c>
      <c r="G277" s="298"/>
      <c r="H277" s="41"/>
      <c r="I277" s="254"/>
      <c r="J277" s="253"/>
      <c r="K277" s="41"/>
      <c r="L277" s="256">
        <f>SUMIFS(BV_Data_An_Cour!$P:$P,BV_Data_An_Cour!$U:$U,$B277,BV_Data_An_Cour!$V:$V,$C277,BV_Data_An_Cour!$W:$W,$L$2)</f>
        <v>121.35</v>
      </c>
      <c r="M277" s="253"/>
      <c r="N277" s="276">
        <f t="shared" si="67"/>
        <v>-8.1259013032344569</v>
      </c>
      <c r="O277" s="253"/>
      <c r="P277" s="41"/>
      <c r="Q277" s="256" cm="1">
        <f t="array" ref="Q277">+SUMPRODUCT(('Réel 2024'!$A$8:$A$501=$A277)*('Réel 2024'!$C$3:$AO$3=Q$2),'Réel 2024'!$C$8:$AO$501)</f>
        <v>113.41999999999999</v>
      </c>
      <c r="R277" s="253"/>
      <c r="S277" s="276">
        <f t="shared" si="68"/>
        <v>7.9300000000000068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89.968395322365566</v>
      </c>
      <c r="G278" s="298"/>
      <c r="H278" s="41"/>
      <c r="I278" s="254"/>
      <c r="J278" s="253"/>
      <c r="K278" s="41"/>
      <c r="L278" s="256">
        <f>SUMIFS(BV_Data_An_Cour!$P:$P,BV_Data_An_Cour!$U:$U,$B278,BV_Data_An_Cour!$V:$V,$C278,BV_Data_An_Cour!$W:$W,$L$2)</f>
        <v>374.23</v>
      </c>
      <c r="M278" s="253"/>
      <c r="N278" s="276">
        <f t="shared" si="67"/>
        <v>284.26160467763447</v>
      </c>
      <c r="O278" s="253"/>
      <c r="P278" s="41"/>
      <c r="Q278" s="256" cm="1">
        <f t="array" ref="Q278">+SUMPRODUCT(('Réel 2024'!$A$8:$A$501=$A278)*('Réel 2024'!$C$3:$AO$3=Q$2),'Réel 2024'!$C$8:$AO$501)</f>
        <v>146.59</v>
      </c>
      <c r="R278" s="253"/>
      <c r="S278" s="276">
        <f t="shared" si="68"/>
        <v>227.64000000000001</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411.62027002194554</v>
      </c>
      <c r="G279" s="298"/>
      <c r="H279" s="41"/>
      <c r="I279" s="254"/>
      <c r="J279" s="253"/>
      <c r="K279" s="41"/>
      <c r="L279" s="256">
        <f>SUMIFS(BV_Data_An_Cour!$P:$P,BV_Data_An_Cour!$U:$U,$B279,BV_Data_An_Cour!$V:$V,$C279,BV_Data_An_Cour!$W:$W,$L$2)</f>
        <v>77.22</v>
      </c>
      <c r="M279" s="253"/>
      <c r="N279" s="276">
        <f t="shared" si="67"/>
        <v>-334.40027002194552</v>
      </c>
      <c r="O279" s="253"/>
      <c r="P279" s="41"/>
      <c r="Q279" s="256" cm="1">
        <f t="array" ref="Q279">+SUMPRODUCT(('Réel 2024'!$A$8:$A$501=$A279)*('Réel 2024'!$C$3:$AO$3=Q$2),'Réel 2024'!$C$8:$AO$501)</f>
        <v>167.77999999999997</v>
      </c>
      <c r="R279" s="253"/>
      <c r="S279" s="276">
        <f t="shared" si="68"/>
        <v>-90.559999999999974</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701.99480714793026</v>
      </c>
      <c r="G280" s="298"/>
      <c r="H280" s="41"/>
      <c r="I280" s="254"/>
      <c r="J280" s="253"/>
      <c r="K280" s="41"/>
      <c r="L280" s="256">
        <f>SUMIFS(BV_Data_An_Cour!$P:$P,BV_Data_An_Cour!$U:$U,$B280,BV_Data_An_Cour!$V:$V,$C280,BV_Data_An_Cour!$W:$W,$L$2)</f>
        <v>259.99</v>
      </c>
      <c r="M280" s="253"/>
      <c r="N280" s="276">
        <f t="shared" si="67"/>
        <v>-442.00480714793025</v>
      </c>
      <c r="O280" s="253"/>
      <c r="P280" s="41"/>
      <c r="Q280" s="256" cm="1">
        <f t="array" ref="Q280">+SUMPRODUCT(('Réel 2024'!$A$8:$A$501=$A280)*('Réel 2024'!$C$3:$AO$3=Q$2),'Réel 2024'!$C$8:$AO$501)</f>
        <v>190.82</v>
      </c>
      <c r="R280" s="253"/>
      <c r="S280" s="276">
        <f t="shared" si="68"/>
        <v>69.170000000000016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690.18596409936413</v>
      </c>
      <c r="G281" s="298"/>
      <c r="H281" s="41"/>
      <c r="I281" s="254"/>
      <c r="J281" s="253"/>
      <c r="K281" s="41"/>
      <c r="L281" s="256">
        <f>SUMIFS(BV_Data_An_Cour!$P:$P,BV_Data_An_Cour!$U:$U,$B281,BV_Data_An_Cour!$V:$V,$C281,BV_Data_An_Cour!$W:$W,L$2)</f>
        <v>738.72</v>
      </c>
      <c r="M281" s="253"/>
      <c r="N281" s="276">
        <f t="shared" si="67"/>
        <v>48.534035900635899</v>
      </c>
      <c r="O281" s="253"/>
      <c r="P281" s="41"/>
      <c r="Q281" s="256" cm="1">
        <f t="array" ref="Q281">+SUMPRODUCT(('Réel 2024'!$A$8:$A$501=$A281)*('Réel 2024'!$C$3:$AO$3=Q$2),'Réel 2024'!$C$8:$AO$501)</f>
        <v>723.21</v>
      </c>
      <c r="R281" s="253"/>
      <c r="S281" s="276">
        <f t="shared" si="68"/>
        <v>15.509999999999991</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0.37267447524689556</v>
      </c>
      <c r="F285" s="307">
        <f>+SUM(F267:F284)</f>
        <v>15249.839527102966</v>
      </c>
      <c r="G285" s="308"/>
      <c r="H285" s="306"/>
      <c r="I285" s="307"/>
      <c r="J285" s="308" t="s">
        <v>119</v>
      </c>
      <c r="K285" s="306">
        <f>IF(L262=0,0,L285/L$241)</f>
        <v>1.8446667307877282</v>
      </c>
      <c r="L285" s="307">
        <f>+SUM(L267:L284)</f>
        <v>26275.23</v>
      </c>
      <c r="M285" s="311"/>
      <c r="N285" s="307">
        <f>+SUM(N267:N284)</f>
        <v>11025.39047289703</v>
      </c>
      <c r="O285" s="308" t="s">
        <v>119</v>
      </c>
      <c r="P285" s="306">
        <f>IF(Q250=0,0,Q285/Q$250)</f>
        <v>0.27192454507882158</v>
      </c>
      <c r="Q285" s="307">
        <f>+SUM(Q267:Q284)</f>
        <v>13382.5</v>
      </c>
      <c r="R285" s="311"/>
      <c r="S285" s="307">
        <f t="shared" si="68"/>
        <v>12892.73</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1.1050500583508882</v>
      </c>
      <c r="F287" s="307">
        <f>F266+F285</f>
        <v>45218.648387718349</v>
      </c>
      <c r="G287" s="308"/>
      <c r="H287" s="306"/>
      <c r="I287" s="307"/>
      <c r="J287" s="308" t="s">
        <v>119</v>
      </c>
      <c r="K287" s="306" t="e">
        <f>IF(L264=0,0,L287/L$244)</f>
        <v>#DIV/0!</v>
      </c>
      <c r="L287" s="307">
        <f>L266+L285</f>
        <v>55169.14</v>
      </c>
      <c r="M287" s="311"/>
      <c r="N287" s="320">
        <f>L287-F287</f>
        <v>9950.4916122816503</v>
      </c>
      <c r="O287" s="308" t="s">
        <v>119</v>
      </c>
      <c r="P287" s="306">
        <f>IF(Q250=0,0,Q287/Q$250)</f>
        <v>0.74305553580057215</v>
      </c>
      <c r="Q287" s="307">
        <f>Q266+Q285</f>
        <v>36568.75</v>
      </c>
      <c r="R287" s="311"/>
      <c r="S287" s="320">
        <f>L287-Q287</f>
        <v>18600.39</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-4298.6483877183491</v>
      </c>
      <c r="G289" s="361"/>
      <c r="H289" s="333"/>
      <c r="I289" s="335"/>
      <c r="J289" s="332"/>
      <c r="K289" s="334"/>
      <c r="L289" s="335">
        <f>L250-L287</f>
        <v>-40925.250000000007</v>
      </c>
      <c r="M289" s="332"/>
      <c r="N289" s="335">
        <f>L289-F289</f>
        <v>-36626.601612281658</v>
      </c>
      <c r="O289" s="332"/>
      <c r="P289" s="334"/>
      <c r="Q289" s="335">
        <f>Q250-Q287</f>
        <v>12645.269999999902</v>
      </c>
      <c r="R289" s="332"/>
      <c r="S289" s="335">
        <f>L289-Q289</f>
        <v>-53570.519999999909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Avril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18" t="s">
        <v>343</v>
      </c>
      <c r="E293" s="1219"/>
      <c r="F293" s="1220"/>
      <c r="G293" s="1221"/>
      <c r="H293" s="1219"/>
      <c r="I293" s="1220"/>
      <c r="J293" s="1221" t="s">
        <v>344</v>
      </c>
      <c r="K293" s="1219"/>
      <c r="L293" s="1220"/>
      <c r="M293" s="1221" t="s">
        <v>3310</v>
      </c>
      <c r="N293" s="1220"/>
      <c r="O293" s="1218" t="s">
        <v>345</v>
      </c>
      <c r="P293" s="1219"/>
      <c r="Q293" s="1220"/>
      <c r="R293" s="1222" t="s">
        <v>3312</v>
      </c>
      <c r="S293" s="122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316286.63757600001</v>
      </c>
      <c r="E295" s="353">
        <f t="shared" ref="E295:E303" si="70">IF(D295=0,0,F295/D295)</f>
        <v>0.35699999999999998</v>
      </c>
      <c r="F295" s="276" cm="1">
        <f t="array" ref="F295">+SUMPRODUCT(('Budget original'!$A$8:$A$501=$A295)*('Budget original'!$C$3:$AO$3=F$2),'Budget original'!$C$8:$AO$501)</f>
        <v>112914.32961463199</v>
      </c>
      <c r="G295" s="291"/>
      <c r="H295" s="353"/>
      <c r="I295" s="276"/>
      <c r="J295" s="254">
        <f>-SUMIFS(BV_Data_An_Cour!$P:$P,BV_Data_An_Cour!$X:$X,"Oui",BV_Data_An_Cour!$U:$U,$B295,BV_Data_An_Cour!$V:$V,$C295)</f>
        <v>283896.93</v>
      </c>
      <c r="K295" s="353">
        <f t="shared" ref="K295:K304" si="71">IF(J295&lt;=0,0,L295/J295)</f>
        <v>0.31235166931886155</v>
      </c>
      <c r="L295" s="256">
        <f>-SUMIFS(BV_Data_An_Cour!$P:$P,BV_Data_An_Cour!$U:$U,$B295,BV_Data_An_Cour!$V:$V,$C295,BV_Data_An_Cour!$W:$W,$L$2)</f>
        <v>88675.679999999978</v>
      </c>
      <c r="M295" s="292">
        <f t="shared" ref="M295:M301" si="72">(+J295-D295)/D295</f>
        <v>-0.10240618391036878</v>
      </c>
      <c r="N295" s="276">
        <f t="shared" ref="N295:N304" si="73">L295-F295</f>
        <v>-24238.649614632013</v>
      </c>
      <c r="O295" s="254" cm="1">
        <f t="array" ref="O295">+SUMPRODUCT(('Réel 2024'!$A$8:$A$501=$A295)*('Réel 2024'!$C$3:$AO$3=O$2),'Réel 2024'!$C$8:$AO$501)</f>
        <v>287635.39999999997</v>
      </c>
      <c r="P295" s="353">
        <f t="shared" ref="P295:P303" si="74">IF(O295=0,0,Q295/O295)</f>
        <v>0.36874560641701204</v>
      </c>
      <c r="Q295" s="256" cm="1">
        <f t="array" ref="Q295">+SUMPRODUCT(('Réel 2024'!$A$8:$A$501=$A295)*('Réel 2024'!$C$3:$AO$3=Q$2),'Réel 2024'!$C$8:$AO$501)</f>
        <v>106064.2899999998</v>
      </c>
      <c r="R295" s="292">
        <f t="shared" ref="R295:R304" si="75">IF(O295=0,0,(J295-O295)/O295)</f>
        <v>-1.2997252772085677E-2</v>
      </c>
      <c r="S295" s="276">
        <f t="shared" ref="S295:S304" si="76">L295-Q295</f>
        <v>-17388.609999999826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111600</v>
      </c>
      <c r="E296" s="353">
        <f t="shared" si="70"/>
        <v>0.24800000000000003</v>
      </c>
      <c r="F296" s="276" cm="1">
        <f t="array" ref="F296">+SUMPRODUCT(('Budget original'!$A$8:$A$501=$A296)*('Budget original'!$C$3:$AO$3=F$2),'Budget original'!$C$8:$AO$501)</f>
        <v>27676.800000000003</v>
      </c>
      <c r="G296" s="291"/>
      <c r="H296" s="353"/>
      <c r="I296" s="276"/>
      <c r="J296" s="254">
        <f>-SUMIFS(BV_Data_An_Cour!$P:$P,BV_Data_An_Cour!$X:$X,"Oui",BV_Data_An_Cour!$U:$U,$B296,BV_Data_An_Cour!$V:$V,$C296)</f>
        <v>23619.920000000002</v>
      </c>
      <c r="K296" s="353">
        <f t="shared" si="71"/>
        <v>0.23753848446565445</v>
      </c>
      <c r="L296" s="256">
        <f>-SUMIFS(BV_Data_An_Cour!$P:$P,BV_Data_An_Cour!$U:$U,$B296,BV_Data_An_Cour!$V:$V,$C296,BV_Data_An_Cour!$W:$W,$L$2)</f>
        <v>5610.6400000000012</v>
      </c>
      <c r="M296" s="292">
        <f t="shared" si="72"/>
        <v>-0.78835197132616486</v>
      </c>
      <c r="N296" s="276">
        <f t="shared" si="73"/>
        <v>-22066.160000000003</v>
      </c>
      <c r="O296" s="254" cm="1">
        <f t="array" ref="O296">+SUMPRODUCT(('Réel 2024'!$A$8:$A$501=$A296)*('Réel 2024'!$C$3:$AO$3=O$2),'Réel 2024'!$C$8:$AO$501)</f>
        <v>163972.5199999999</v>
      </c>
      <c r="P296" s="353">
        <f t="shared" si="74"/>
        <v>0.24872118816006433</v>
      </c>
      <c r="Q296" s="256" cm="1">
        <f t="array" ref="Q296">+SUMPRODUCT(('Réel 2024'!$A$8:$A$501=$A296)*('Réel 2024'!$C$3:$AO$3=Q$2),'Réel 2024'!$C$8:$AO$501)</f>
        <v>40783.439999999886</v>
      </c>
      <c r="R296" s="292">
        <f t="shared" si="75"/>
        <v>-0.8559519607309809</v>
      </c>
      <c r="S296" s="276">
        <f t="shared" si="76"/>
        <v>-35172.799999999886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135092.26499999998</v>
      </c>
      <c r="E297" s="353">
        <f t="shared" si="70"/>
        <v>0.23700000000000002</v>
      </c>
      <c r="F297" s="276" cm="1">
        <f t="array" ref="F297">+SUMPRODUCT(('Budget original'!$A$8:$A$501=$A297)*('Budget original'!$C$3:$AO$3=F$2),'Budget original'!$C$8:$AO$501)</f>
        <v>32016.866804999998</v>
      </c>
      <c r="G297" s="291"/>
      <c r="H297" s="353"/>
      <c r="I297" s="276"/>
      <c r="J297" s="254">
        <f>-SUMIFS(BV_Data_An_Cour!$P:$P,BV_Data_An_Cour!$X:$X,"Oui",BV_Data_An_Cour!$U:$U,$B297,BV_Data_An_Cour!$V:$V,$C297)</f>
        <v>360115.6</v>
      </c>
      <c r="K297" s="353">
        <f t="shared" si="71"/>
        <v>0.23284156531958075</v>
      </c>
      <c r="L297" s="256">
        <f>-SUMIFS(BV_Data_An_Cour!$P:$P,BV_Data_An_Cour!$U:$U,$B297,BV_Data_An_Cour!$V:$V,$C297,BV_Data_An_Cour!$W:$W,$L$2)</f>
        <v>83849.88</v>
      </c>
      <c r="M297" s="292">
        <f t="shared" si="72"/>
        <v>1.665701104352644</v>
      </c>
      <c r="N297" s="276">
        <f t="shared" si="73"/>
        <v>51833.013195000007</v>
      </c>
      <c r="O297" s="254" cm="1">
        <f t="array" ref="O297">+SUMPRODUCT(('Réel 2024'!$A$8:$A$501=$A297)*('Réel 2024'!$C$3:$AO$3=O$2),'Réel 2024'!$C$8:$AO$501)</f>
        <v>118614.72</v>
      </c>
      <c r="P297" s="353">
        <f t="shared" si="74"/>
        <v>0.23659845928060186</v>
      </c>
      <c r="Q297" s="256" cm="1">
        <f t="array" ref="Q297">+SUMPRODUCT(('Réel 2024'!$A$8:$A$501=$A297)*('Réel 2024'!$C$3:$AO$3=Q$2),'Réel 2024'!$C$8:$AO$501)</f>
        <v>28064.05999999999</v>
      </c>
      <c r="R297" s="292">
        <f t="shared" si="75"/>
        <v>2.0360110448349071</v>
      </c>
      <c r="S297" s="276">
        <f t="shared" si="76"/>
        <v>55785.820000000014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205486.95089999997</v>
      </c>
      <c r="E298" s="353">
        <f t="shared" si="70"/>
        <v>0.29399999999999998</v>
      </c>
      <c r="F298" s="276" cm="1">
        <f t="array" ref="F298">+SUMPRODUCT(('Budget original'!$A$8:$A$501=$A298)*('Budget original'!$C$3:$AO$3=F$2),'Budget original'!$C$8:$AO$501)</f>
        <v>60413.163564599985</v>
      </c>
      <c r="G298" s="291"/>
      <c r="H298" s="353"/>
      <c r="I298" s="276"/>
      <c r="J298" s="254">
        <f>-SUMIFS(BV_Data_An_Cour!$P:$P,BV_Data_An_Cour!$X:$X,"Oui",BV_Data_An_Cour!$U:$U,$B298,BV_Data_An_Cour!$V:$V,$C298)</f>
        <v>243069.57</v>
      </c>
      <c r="K298" s="353">
        <f t="shared" si="71"/>
        <v>0.28018998840537712</v>
      </c>
      <c r="L298" s="256">
        <f>-SUMIFS(BV_Data_An_Cour!$P:$P,BV_Data_An_Cour!$U:$U,$B298,BV_Data_An_Cour!$V:$V,$C298,BV_Data_An_Cour!$W:$W,$L$2)</f>
        <v>68105.66</v>
      </c>
      <c r="M298" s="292">
        <f t="shared" si="72"/>
        <v>0.18289540496559115</v>
      </c>
      <c r="N298" s="276">
        <f t="shared" si="73"/>
        <v>7692.4964354000185</v>
      </c>
      <c r="O298" s="254" cm="1">
        <f t="array" ref="O298">+SUMPRODUCT(('Réel 2024'!$A$8:$A$501=$A298)*('Réel 2024'!$C$3:$AO$3=O$2),'Réel 2024'!$C$8:$AO$501)</f>
        <v>206424.65</v>
      </c>
      <c r="P298" s="353">
        <f t="shared" si="74"/>
        <v>0.26477583951335171</v>
      </c>
      <c r="Q298" s="256" cm="1">
        <f t="array" ref="Q298">+SUMPRODUCT(('Réel 2024'!$A$8:$A$501=$A298)*('Réel 2024'!$C$3:$AO$3=Q$2),'Réel 2024'!$C$8:$AO$501)</f>
        <v>54656.259999999798</v>
      </c>
      <c r="R298" s="292">
        <f t="shared" si="75"/>
        <v>0.17752201590265509</v>
      </c>
      <c r="S298" s="276">
        <f t="shared" si="76"/>
        <v>13449.400000000205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69458.017999999996</v>
      </c>
      <c r="E299" s="353">
        <f t="shared" si="70"/>
        <v>0.27700000000000002</v>
      </c>
      <c r="F299" s="276" cm="1">
        <f t="array" ref="F299">+SUMPRODUCT(('Budget original'!$A$8:$A$501=$A299)*('Budget original'!$C$3:$AO$3=F$2),'Budget original'!$C$8:$AO$501)</f>
        <v>19239.870986000002</v>
      </c>
      <c r="G299" s="291"/>
      <c r="H299" s="353"/>
      <c r="I299" s="276"/>
      <c r="J299" s="254">
        <f>-SUMIFS(BV_Data_An_Cour!$P:$P,BV_Data_An_Cour!$X:$X,"Oui",BV_Data_An_Cour!$U:$U,$B299,BV_Data_An_Cour!$V:$V,$C299)</f>
        <v>62977.86</v>
      </c>
      <c r="K299" s="353">
        <f t="shared" si="71"/>
        <v>0.2998672866940858</v>
      </c>
      <c r="L299" s="256">
        <f>-SUMIFS(BV_Data_An_Cour!$P:$P,BV_Data_An_Cour!$U:$U,$B299,BV_Data_An_Cour!$V:$V,$C299,BV_Data_An_Cour!$W:$W,$L$2)</f>
        <v>18885</v>
      </c>
      <c r="M299" s="292">
        <f t="shared" si="72"/>
        <v>-9.3296039630730548E-2</v>
      </c>
      <c r="N299" s="276">
        <f t="shared" si="73"/>
        <v>-354.87098600000172</v>
      </c>
      <c r="O299" s="254" cm="1">
        <f t="array" ref="O299">+SUMPRODUCT(('Réel 2024'!$A$8:$A$501=$A299)*('Réel 2024'!$C$3:$AO$3=O$2),'Réel 2024'!$C$8:$AO$501)</f>
        <v>65129.600000000006</v>
      </c>
      <c r="P299" s="353">
        <f t="shared" si="74"/>
        <v>0.3040915344175304</v>
      </c>
      <c r="Q299" s="256" cm="1">
        <f t="array" ref="Q299">+SUMPRODUCT(('Réel 2024'!$A$8:$A$501=$A299)*('Réel 2024'!$C$3:$AO$3=Q$2),'Réel 2024'!$C$8:$AO$501)</f>
        <v>19805.35999999999</v>
      </c>
      <c r="R299" s="292">
        <f t="shared" si="75"/>
        <v>-3.3037819977398984E-2</v>
      </c>
      <c r="S299" s="276">
        <f t="shared" si="76"/>
        <v>-920.35999999998967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647341.30799999996</v>
      </c>
      <c r="E300" s="353">
        <f t="shared" si="70"/>
        <v>0.13500000000000001</v>
      </c>
      <c r="F300" s="276" cm="1">
        <f t="array" ref="F300">+SUMPRODUCT(('Budget original'!$A$8:$A$501=$A300)*('Budget original'!$C$3:$AO$3=F$2),'Budget original'!$C$8:$AO$501)</f>
        <v>87391.076580000008</v>
      </c>
      <c r="G300" s="291"/>
      <c r="H300" s="353"/>
      <c r="I300" s="276"/>
      <c r="J300" s="254">
        <f>-SUMIFS(BV_Data_An_Cour!$P:$P,BV_Data_An_Cour!$X:$X,"Oui",BV_Data_An_Cour!$U:$U,$B300,BV_Data_An_Cour!$V:$V,$C300)</f>
        <v>801606.44</v>
      </c>
      <c r="K300" s="353">
        <f t="shared" si="71"/>
        <v>0.13730500967532142</v>
      </c>
      <c r="L300" s="256">
        <f>-SUMIFS(BV_Data_An_Cour!$P:$P,BV_Data_An_Cour!$U:$U,$B300,BV_Data_An_Cour!$V:$V,$C300,BV_Data_An_Cour!$W:$W,$L$2)</f>
        <v>110064.57999999994</v>
      </c>
      <c r="M300" s="292">
        <f t="shared" si="72"/>
        <v>0.23830571306597353</v>
      </c>
      <c r="N300" s="276">
        <f t="shared" si="73"/>
        <v>22673.503419999935</v>
      </c>
      <c r="O300" s="254" cm="1">
        <f t="array" ref="O300">+SUMPRODUCT(('Réel 2024'!$A$8:$A$501=$A300)*('Réel 2024'!$C$3:$AO$3=O$2),'Réel 2024'!$C$8:$AO$501)</f>
        <v>604610.61</v>
      </c>
      <c r="P300" s="353">
        <f t="shared" si="74"/>
        <v>0.14417274285014547</v>
      </c>
      <c r="Q300" s="256" cm="1">
        <f t="array" ref="Q300">+SUMPRODUCT(('Réel 2024'!$A$8:$A$501=$A300)*('Réel 2024'!$C$3:$AO$3=Q$2),'Réel 2024'!$C$8:$AO$501)</f>
        <v>87168.369999999588</v>
      </c>
      <c r="R300" s="292">
        <f t="shared" si="75"/>
        <v>0.3258226480676546</v>
      </c>
      <c r="S300" s="276">
        <f t="shared" si="76"/>
        <v>22896.210000000356</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38079.471167410898</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25296.600000000002</v>
      </c>
      <c r="M302" s="292"/>
      <c r="N302" s="276">
        <f t="shared" si="73"/>
        <v>-12782.871167410896</v>
      </c>
      <c r="O302" s="254" cm="1">
        <f t="array" ref="O302">+SUMPRODUCT(('Réel 2024'!$A$8:$A$501=$A302)*('Réel 2024'!$C$3:$AO$3=O$2),'Réel 2024'!$C$8:$AO$501)</f>
        <v>0</v>
      </c>
      <c r="P302" s="353">
        <f t="shared" si="74"/>
        <v>0</v>
      </c>
      <c r="Q302" s="256" cm="1">
        <f t="array" ref="Q302">+SUMPRODUCT(('Réel 2024'!$A$8:$A$501=$A302)*('Réel 2024'!$C$3:$AO$3=Q$2),'Réel 2024'!$C$8:$AO$501)</f>
        <v>58807.62999999999</v>
      </c>
      <c r="R302" s="292">
        <f t="shared" si="75"/>
        <v>0</v>
      </c>
      <c r="S302" s="276">
        <f t="shared" si="76"/>
        <v>-33511.029999999984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1485265.1794759999</v>
      </c>
      <c r="E304" s="407">
        <f>IF(D304&lt;=0,0,F304/D304)</f>
        <v>0.2543192851601801</v>
      </c>
      <c r="F304" s="392">
        <f t="shared" ref="F304" si="77">SUM(F295:F303)</f>
        <v>377731.57871764287</v>
      </c>
      <c r="G304" s="390"/>
      <c r="H304" s="407"/>
      <c r="I304" s="392"/>
      <c r="J304" s="390">
        <f t="shared" ref="J304" si="78">SUM(J295:J303)</f>
        <v>1775286.3199999998</v>
      </c>
      <c r="K304" s="407">
        <f t="shared" si="71"/>
        <v>0.22559067542411973</v>
      </c>
      <c r="L304" s="392">
        <f>SUM(L295:L303)</f>
        <v>400488.03999999992</v>
      </c>
      <c r="M304" s="408">
        <f>(+J304-D304)/D304</f>
        <v>0.19526556235992762</v>
      </c>
      <c r="N304" s="392">
        <f t="shared" si="73"/>
        <v>22756.46128235705</v>
      </c>
      <c r="O304" s="390">
        <f>SUM(O295:O303)</f>
        <v>1446387.5</v>
      </c>
      <c r="P304" s="407">
        <f>IF(O304&lt;=0,0,Q304/O304)</f>
        <v>0.27333574854594572</v>
      </c>
      <c r="Q304" s="392">
        <f t="shared" ref="Q304" si="79">SUM(Q295:Q303)</f>
        <v>395349.4099999991</v>
      </c>
      <c r="R304" s="408">
        <f t="shared" si="75"/>
        <v>0.22739329536517691</v>
      </c>
      <c r="S304" s="392">
        <f t="shared" si="76"/>
        <v>5138.6300000008196</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6.0245059096231061E-2</v>
      </c>
      <c r="O305" s="253"/>
      <c r="P305" s="41"/>
      <c r="Q305" s="263"/>
      <c r="R305" s="253"/>
      <c r="S305" s="265">
        <f>IF(Q304=0,0,S304/Q304)</f>
        <v>1.2997692345110194E-2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161103.88</v>
      </c>
      <c r="E307" s="353">
        <f t="shared" ref="E307:E308" si="80">IF(D307=0,0,F307/D307)</f>
        <v>0.17100000000000001</v>
      </c>
      <c r="F307" s="317" cm="1">
        <f t="array" ref="F307">+SUMPRODUCT(('Budget original'!$A$8:$A$501=$A307)*('Budget original'!$C$3:$AO$3=F$2),'Budget original'!$C$8:$AO$501)</f>
        <v>27548.763480000001</v>
      </c>
      <c r="G307" s="291"/>
      <c r="H307" s="353"/>
      <c r="I307" s="317"/>
      <c r="J307" s="254">
        <f>-SUMIFS(BV_Data_An_Cour!$P:$P,BV_Data_An_Cour!$X:$X,"Oui",BV_Data_An_Cour!$U:$U,$B307,BV_Data_An_Cour!$V:$V,$C307)</f>
        <v>173922.41999999998</v>
      </c>
      <c r="K307" s="353">
        <f t="shared" ref="K307:K309" si="81">IF(J307&lt;=0,0,L307/J307)</f>
        <v>0.15970143469714815</v>
      </c>
      <c r="L307" s="256">
        <f>-SUMIFS(BV_Data_An_Cour!$P:$P,BV_Data_An_Cour!$U:$U,$B307,BV_Data_An_Cour!$V:$V,$C307,BV_Data_An_Cour!$W:$W,$L$2)</f>
        <v>27775.659999999971</v>
      </c>
      <c r="M307" s="292">
        <f>(+J307-D307)/D307</f>
        <v>7.9566922907132825E-2</v>
      </c>
      <c r="N307" s="276">
        <f>L307-F307</f>
        <v>226.89651999996931</v>
      </c>
      <c r="O307" s="254" cm="1">
        <f t="array" ref="O307">+SUMPRODUCT(('Réel 2024'!$A$8:$A$501=$A307)*('Réel 2024'!$C$3:$AO$3=O$2),'Réel 2024'!$C$8:$AO$501)</f>
        <v>162368.21</v>
      </c>
      <c r="P307" s="353">
        <f t="shared" ref="P307:P308" si="82">IF(O307=0,0,Q307/O307)</f>
        <v>0.16103632601480289</v>
      </c>
      <c r="Q307" s="256" cm="1">
        <f t="array" ref="Q307">+SUMPRODUCT(('Réel 2024'!$A$8:$A$501=$A307)*('Réel 2024'!$C$3:$AO$3=Q$2),'Réel 2024'!$C$8:$AO$501)</f>
        <v>26147.179999999978</v>
      </c>
      <c r="R307" s="292">
        <f t="shared" ref="R307:R309" si="83">IF(O307=0,0,(J307-O307)/O307)</f>
        <v>7.1160543064433562E-2</v>
      </c>
      <c r="S307" s="276">
        <f t="shared" ref="S307:S309" si="84">L307-Q307</f>
        <v>1628.4799999999923</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85052.734720167413</v>
      </c>
      <c r="E308" s="353">
        <f t="shared" si="80"/>
        <v>0.25600000000000001</v>
      </c>
      <c r="F308" s="296" cm="1">
        <f t="array" ref="F308">+SUMPRODUCT(('Budget original'!$A$8:$A$501=$A308)*('Budget original'!$C$3:$AO$3=F$2),'Budget original'!$C$8:$AO$501)</f>
        <v>21773.500088362856</v>
      </c>
      <c r="G308" s="291"/>
      <c r="H308" s="353"/>
      <c r="I308" s="296"/>
      <c r="J308" s="254">
        <f>-SUMIFS(BV_Data_An_Cour!$P:$P,BV_Data_An_Cour!$X:$X,"Oui",BV_Data_An_Cour!$U:$U,$B308,BV_Data_An_Cour!$V:$V,$C308)</f>
        <v>76723.53</v>
      </c>
      <c r="K308" s="353">
        <f t="shared" si="81"/>
        <v>0.25799621054974919</v>
      </c>
      <c r="L308" s="256">
        <f>-SUMIFS(BV_Data_An_Cour!$P:$P,BV_Data_An_Cour!$U:$U,$B308,BV_Data_An_Cour!$V:$V,$C308,BV_Data_An_Cour!$W:$W,$L$2)</f>
        <v>19794.379999999997</v>
      </c>
      <c r="M308" s="292">
        <f>(+J308-D308)/D308</f>
        <v>-9.7929887234918286E-2</v>
      </c>
      <c r="N308" s="276">
        <f>L308-F308</f>
        <v>-1979.120088362859</v>
      </c>
      <c r="O308" s="254" cm="1">
        <f t="array" ref="O308">+SUMPRODUCT(('Réel 2024'!$A$8:$A$501=$A308)*('Réel 2024'!$C$3:$AO$3=O$2),'Réel 2024'!$C$8:$AO$501)</f>
        <v>80375.28</v>
      </c>
      <c r="P308" s="353">
        <f t="shared" si="82"/>
        <v>0.24929343947542071</v>
      </c>
      <c r="Q308" s="256" cm="1">
        <f t="array" ref="Q308">+SUMPRODUCT(('Réel 2024'!$A$8:$A$501=$A308)*('Réel 2024'!$C$3:$AO$3=Q$2),'Réel 2024'!$C$8:$AO$501)</f>
        <v>20037.029999999992</v>
      </c>
      <c r="R308" s="292">
        <f t="shared" si="83"/>
        <v>-4.5433745300793978E-2</v>
      </c>
      <c r="S308" s="276">
        <f t="shared" si="84"/>
        <v>-242.64999999999418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1731421.7941961673</v>
      </c>
      <c r="E309" s="407">
        <f>IF(D309&lt;=0,0,F309/D309)</f>
        <v>0.24664922419107613</v>
      </c>
      <c r="F309" s="392">
        <f t="shared" ref="F309" si="85">F304+F307+F308</f>
        <v>427053.84228600573</v>
      </c>
      <c r="G309" s="393"/>
      <c r="H309" s="407"/>
      <c r="I309" s="392"/>
      <c r="J309" s="393">
        <f t="shared" ref="J309" si="86">J304+J307+J308</f>
        <v>2025932.2699999998</v>
      </c>
      <c r="K309" s="407">
        <f t="shared" si="81"/>
        <v>0.22116143102849137</v>
      </c>
      <c r="L309" s="392">
        <f>L304+L307+L308</f>
        <v>448058.0799999999</v>
      </c>
      <c r="M309" s="408">
        <f>(+J309-D309)/D309</f>
        <v>0.17009747526053434</v>
      </c>
      <c r="N309" s="392">
        <f>L309-F309</f>
        <v>21004.237713994167</v>
      </c>
      <c r="O309" s="393">
        <f>O304+O307+O308</f>
        <v>1689130.99</v>
      </c>
      <c r="P309" s="407">
        <f>IF(O309&lt;=0,0,Q309/O309)</f>
        <v>0.26139690918819686</v>
      </c>
      <c r="Q309" s="392">
        <f t="shared" ref="Q309" si="87">Q304+Q307+Q308</f>
        <v>441533.61999999906</v>
      </c>
      <c r="R309" s="408">
        <f t="shared" si="83"/>
        <v>0.19939322763831346</v>
      </c>
      <c r="S309" s="392">
        <f t="shared" si="84"/>
        <v>6524.4600000008359</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4.9184050426894992E-2</v>
      </c>
      <c r="O310" s="253"/>
      <c r="P310" s="41"/>
      <c r="Q310" s="263"/>
      <c r="R310" s="253"/>
      <c r="S310" s="265">
        <f>IF(Q309=0,0,S309/Q309)</f>
        <v>1.4776813598024199E-2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1731421.7941961673</v>
      </c>
      <c r="E314" s="410">
        <f>IF(D314&lt;=0,0,F314/D314)</f>
        <v>0.24664922419107613</v>
      </c>
      <c r="F314" s="281">
        <f t="shared" ref="F314" si="88">F309+F312</f>
        <v>427053.84228600573</v>
      </c>
      <c r="G314" s="282"/>
      <c r="H314" s="410"/>
      <c r="I314" s="281"/>
      <c r="J314" s="282">
        <f t="shared" ref="J314" si="89">J309+J312</f>
        <v>2025932.2699999998</v>
      </c>
      <c r="K314" s="410">
        <f>IF(J314&lt;=0,0,L314/J314)</f>
        <v>0.22116143102849137</v>
      </c>
      <c r="L314" s="281">
        <f>L309+L312</f>
        <v>448058.0799999999</v>
      </c>
      <c r="M314" s="411">
        <f>(+J314-D314)/D314</f>
        <v>0.17009747526053434</v>
      </c>
      <c r="N314" s="412">
        <f>L314-F314</f>
        <v>21004.237713994167</v>
      </c>
      <c r="O314" s="282">
        <f>O309+O312</f>
        <v>1689130.99</v>
      </c>
      <c r="P314" s="410">
        <f>IF(O314&lt;=0,0,Q314/O314)</f>
        <v>0.26139690918819686</v>
      </c>
      <c r="Q314" s="281">
        <f t="shared" ref="Q314" si="90">Q309+Q312</f>
        <v>441533.61999999906</v>
      </c>
      <c r="R314" s="411">
        <f>IF(O314=0,0,(J314-O314)/O314)</f>
        <v>0.19939322763831346</v>
      </c>
      <c r="S314" s="412">
        <f>L314-Q314</f>
        <v>6524.4600000008359</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4.9184050426894992E-2</v>
      </c>
      <c r="O315" s="415"/>
      <c r="P315" s="414"/>
      <c r="Q315" s="335"/>
      <c r="R315" s="416"/>
      <c r="S315" s="287">
        <f>IF(Q314=0,0,S314/Q314)</f>
        <v>1.4776813598024199E-2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28999.603846153848</v>
      </c>
      <c r="G318" s="253"/>
      <c r="H318" s="41"/>
      <c r="I318" s="254"/>
      <c r="J318" s="253"/>
      <c r="K318" s="41"/>
      <c r="L318" s="256">
        <f>SUMIFS(BV_Data_An_Cour!$P:$P,BV_Data_An_Cour!$U:$U,$B318,BV_Data_An_Cour!$V:$V,$C318,BV_Data_An_Cour!$W:$W,$L$2)</f>
        <v>34564.07</v>
      </c>
      <c r="M318" s="253"/>
      <c r="N318" s="276">
        <f t="shared" ref="N318:N348" si="91">L318-F318</f>
        <v>5564.4661538461514</v>
      </c>
      <c r="O318" s="253"/>
      <c r="P318" s="41"/>
      <c r="Q318" s="256" cm="1">
        <f t="array" ref="Q318">+SUMPRODUCT(('Réel 2024'!$A$8:$A$501=$A318)*('Réel 2024'!$C$3:$AO$3=Q$2),'Réel 2024'!$C$8:$AO$501)</f>
        <v>34721.410000000003</v>
      </c>
      <c r="R318" s="253"/>
      <c r="S318" s="256">
        <f t="shared" ref="S318:S348" si="92">L318-Q318</f>
        <v>-157.34000000000378</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111702.80252307693</v>
      </c>
      <c r="G319" s="298"/>
      <c r="H319" s="41"/>
      <c r="I319" s="248"/>
      <c r="J319" s="253"/>
      <c r="K319" s="41"/>
      <c r="L319" s="256">
        <f>SUMIFS(BV_Data_An_Cour!$P:$P,BV_Data_An_Cour!$U:$U,$B319,BV_Data_An_Cour!$V:$V,$C319,BV_Data_An_Cour!$W:$W,$L$2)</f>
        <v>103266.74</v>
      </c>
      <c r="M319" s="253"/>
      <c r="N319" s="276">
        <f t="shared" si="91"/>
        <v>-8436.0625230769219</v>
      </c>
      <c r="O319" s="253"/>
      <c r="P319" s="41"/>
      <c r="Q319" s="256" cm="1">
        <f t="array" ref="Q319">+SUMPRODUCT(('Réel 2024'!$A$8:$A$501=$A319)*('Réel 2024'!$C$3:$AO$3=Q$2),'Réel 2024'!$C$8:$AO$501)</f>
        <v>95166.52</v>
      </c>
      <c r="R319" s="253"/>
      <c r="S319" s="276">
        <f t="shared" si="92"/>
        <v>8100.2200000000012</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596.04615384615386</v>
      </c>
      <c r="G320" s="316"/>
      <c r="H320" s="315"/>
      <c r="I320" s="254"/>
      <c r="J320" s="241"/>
      <c r="K320" s="315"/>
      <c r="L320" s="272">
        <f>SUMIFS(BV_Data_An_Cour!$P:$P,BV_Data_An_Cour!$U:$U,$B320,BV_Data_An_Cour!$V:$V,$C320,BV_Data_An_Cour!$W:$W,$L$2)</f>
        <v>455.68</v>
      </c>
      <c r="M320" s="241"/>
      <c r="N320" s="317">
        <f t="shared" si="91"/>
        <v>-140.36615384615385</v>
      </c>
      <c r="O320" s="241"/>
      <c r="P320" s="315"/>
      <c r="Q320" s="272" cm="1">
        <f t="array" ref="Q320">+SUMPRODUCT(('Réel 2024'!$A$8:$A$501=$A320)*('Réel 2024'!$C$3:$AO$3=Q$2),'Réel 2024'!$C$8:$AO$501)</f>
        <v>7098.0700000000006</v>
      </c>
      <c r="R320" s="241"/>
      <c r="S320" s="317">
        <f t="shared" si="92"/>
        <v>-6642.39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17423.113322907691</v>
      </c>
      <c r="G325" s="298"/>
      <c r="H325" s="41"/>
      <c r="I325" s="248"/>
      <c r="J325" s="253"/>
      <c r="K325" s="41"/>
      <c r="L325" s="256">
        <f>SUMIFS(BV_Data_An_Cour!$P:$P,BV_Data_An_Cour!$U:$U,$B325,BV_Data_An_Cour!$V:$V,$C325,BV_Data_An_Cour!$W:$W,$L$2)</f>
        <v>16574.98</v>
      </c>
      <c r="M325" s="253"/>
      <c r="N325" s="276">
        <f t="shared" si="91"/>
        <v>-848.13332290769176</v>
      </c>
      <c r="O325" s="253"/>
      <c r="P325" s="41"/>
      <c r="Q325" s="256" cm="1">
        <f t="array" ref="Q325">+SUMPRODUCT(('Réel 2024'!$A$8:$A$501=$A325)*('Réel 2024'!$C$3:$AO$3=Q$2),'Réel 2024'!$C$8:$AO$501)</f>
        <v>15906.68</v>
      </c>
      <c r="R325" s="253"/>
      <c r="S325" s="276">
        <f t="shared" si="92"/>
        <v>668.29999999999927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21184.049678953848</v>
      </c>
      <c r="G326" s="316"/>
      <c r="H326" s="315"/>
      <c r="I326" s="254"/>
      <c r="J326" s="241"/>
      <c r="K326" s="315"/>
      <c r="L326" s="272">
        <f>SUMIFS(BV_Data_An_Cour!$P:$P,BV_Data_An_Cour!$U:$U,$B326,BV_Data_An_Cour!$V:$V,$C326,BV_Data_An_Cour!$W:$W,$L$2)</f>
        <v>27274.5</v>
      </c>
      <c r="M326" s="241"/>
      <c r="N326" s="317">
        <f t="shared" si="91"/>
        <v>6090.4503210461517</v>
      </c>
      <c r="O326" s="241"/>
      <c r="P326" s="315"/>
      <c r="Q326" s="272" cm="1">
        <f t="array" ref="Q326">+SUMPRODUCT(('Réel 2024'!$A$8:$A$501=$A326)*('Réel 2024'!$C$3:$AO$3=Q$2),'Réel 2024'!$C$8:$AO$501)</f>
        <v>32141.45</v>
      </c>
      <c r="R326" s="241"/>
      <c r="S326" s="317">
        <f t="shared" si="92"/>
        <v>-4866.9500000000007</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10914.390812852307</v>
      </c>
      <c r="G327" s="298"/>
      <c r="H327" s="41"/>
      <c r="I327" s="254"/>
      <c r="J327" s="253"/>
      <c r="K327" s="41"/>
      <c r="L327" s="256">
        <f>SUMIFS(BV_Data_An_Cour!$P:$P,BV_Data_An_Cour!$U:$U,$B327,BV_Data_An_Cour!$V:$V,$C327,BV_Data_An_Cour!$W:$W,$L$2)</f>
        <v>6918.96</v>
      </c>
      <c r="M327" s="253"/>
      <c r="N327" s="276">
        <f t="shared" si="91"/>
        <v>-3995.4308128523071</v>
      </c>
      <c r="O327" s="253"/>
      <c r="P327" s="41"/>
      <c r="Q327" s="256" cm="1">
        <f t="array" ref="Q327">+SUMPRODUCT(('Réel 2024'!$A$8:$A$501=$A327)*('Réel 2024'!$C$3:$AO$3=Q$2),'Réel 2024'!$C$8:$AO$501)</f>
        <v>5399.7699999999995</v>
      </c>
      <c r="R327" s="253"/>
      <c r="S327" s="276">
        <f t="shared" si="92"/>
        <v>1519.1900000000005</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4758.7357974461529</v>
      </c>
      <c r="G328" s="298"/>
      <c r="H328" s="41"/>
      <c r="I328" s="254"/>
      <c r="J328" s="253"/>
      <c r="K328" s="41"/>
      <c r="L328" s="256">
        <f>SUMIFS(BV_Data_An_Cour!$P:$P,BV_Data_An_Cour!$U:$U,$B328,BV_Data_An_Cour!$V:$V,$C328,BV_Data_An_Cour!$W:$W,$L$2)</f>
        <v>5537.73</v>
      </c>
      <c r="M328" s="253"/>
      <c r="N328" s="276">
        <f t="shared" si="91"/>
        <v>778.99420255384666</v>
      </c>
      <c r="O328" s="253"/>
      <c r="P328" s="41"/>
      <c r="Q328" s="256" cm="1">
        <f t="array" ref="Q328">+SUMPRODUCT(('Réel 2024'!$A$8:$A$501=$A328)*('Réel 2024'!$C$3:$AO$3=Q$2),'Réel 2024'!$C$8:$AO$501)</f>
        <v>4241.72</v>
      </c>
      <c r="R328" s="253"/>
      <c r="S328" s="276">
        <f t="shared" si="92"/>
        <v>1296.0099999999993</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0.45797209337424555</v>
      </c>
      <c r="F330" s="307">
        <f>+SUM(F318:F329)</f>
        <v>195578.74213523694</v>
      </c>
      <c r="G330" s="308"/>
      <c r="H330" s="306"/>
      <c r="I330" s="307"/>
      <c r="J330" s="308" t="s">
        <v>119</v>
      </c>
      <c r="K330" s="306">
        <f>L330/L$314</f>
        <v>0.43430231187885293</v>
      </c>
      <c r="L330" s="307">
        <f>+SUM(L318:L329)</f>
        <v>194592.66</v>
      </c>
      <c r="M330" s="355"/>
      <c r="N330" s="320">
        <f t="shared" si="91"/>
        <v>-986.08213523693848</v>
      </c>
      <c r="O330" s="308" t="s">
        <v>119</v>
      </c>
      <c r="P330" s="306">
        <f>Q330/Q$314</f>
        <v>0.44090780674866936</v>
      </c>
      <c r="Q330" s="307">
        <f>+SUM(Q318:Q329)</f>
        <v>194675.62</v>
      </c>
      <c r="R330" s="355"/>
      <c r="S330" s="320">
        <f t="shared" si="92"/>
        <v>-82.959999999991851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18489.91755451362</v>
      </c>
      <c r="G331" s="298"/>
      <c r="H331" s="41"/>
      <c r="I331" s="254"/>
      <c r="J331" s="253"/>
      <c r="K331" s="41"/>
      <c r="L331" s="256">
        <f>SUMIFS(BV_Data_An_Cour!$P:$P,BV_Data_An_Cour!$U:$U,$B331,BV_Data_An_Cour!$V:$V,$C331,BV_Data_An_Cour!$W:$W,$L$2)</f>
        <v>27993.360000000001</v>
      </c>
      <c r="M331" s="253"/>
      <c r="N331" s="276">
        <f t="shared" si="91"/>
        <v>9503.4424454863802</v>
      </c>
      <c r="O331" s="253"/>
      <c r="P331" s="41"/>
      <c r="Q331" s="256" cm="1">
        <f t="array" ref="Q331">+SUMPRODUCT(('Réel 2024'!$A$8:$A$501=$A331)*('Réel 2024'!$C$3:$AO$3=Q$2),'Réel 2024'!$C$8:$AO$501)</f>
        <v>19030.909999999996</v>
      </c>
      <c r="R331" s="253"/>
      <c r="S331" s="276">
        <f t="shared" si="92"/>
        <v>8962.4500000000044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2246.1031128057093</v>
      </c>
      <c r="G332" s="298"/>
      <c r="H332" s="41"/>
      <c r="I332" s="254"/>
      <c r="J332" s="253"/>
      <c r="K332" s="41"/>
      <c r="L332" s="256">
        <f>SUMIFS(BV_Data_An_Cour!$P:$P,BV_Data_An_Cour!$U:$U,$B332,BV_Data_An_Cour!$V:$V,$C332,BV_Data_An_Cour!$W:$W,$L$2)</f>
        <v>7259.53</v>
      </c>
      <c r="M332" s="253"/>
      <c r="N332" s="276">
        <f t="shared" si="91"/>
        <v>5013.4268871942904</v>
      </c>
      <c r="O332" s="253"/>
      <c r="P332" s="41"/>
      <c r="Q332" s="256" cm="1">
        <f t="array" ref="Q332">+SUMPRODUCT(('Réel 2024'!$A$8:$A$501=$A332)*('Réel 2024'!$C$3:$AO$3=Q$2),'Réel 2024'!$C$8:$AO$501)</f>
        <v>-3613.35</v>
      </c>
      <c r="R332" s="253"/>
      <c r="S332" s="276">
        <f t="shared" si="92"/>
        <v>10872.88</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5057.281955555557</v>
      </c>
      <c r="G333" s="300"/>
      <c r="H333" s="318"/>
      <c r="I333" s="248"/>
      <c r="J333" s="246"/>
      <c r="K333" s="318"/>
      <c r="L333" s="256">
        <f>SUMIFS(BV_Data_An_Cour!$P:$P,BV_Data_An_Cour!$U:$U,$B333,BV_Data_An_Cour!$V:$V,$C333,BV_Data_An_Cour!$W:$W,$L$2)</f>
        <v>4866.1499999999996</v>
      </c>
      <c r="M333" s="246"/>
      <c r="N333" s="296">
        <f t="shared" si="91"/>
        <v>-191.1319555555574</v>
      </c>
      <c r="O333" s="246"/>
      <c r="P333" s="318"/>
      <c r="Q333" s="256" cm="1">
        <f t="array" ref="Q333">+SUMPRODUCT(('Réel 2024'!$A$8:$A$501=$A333)*('Réel 2024'!$C$3:$AO$3=Q$2),'Réel 2024'!$C$8:$AO$501)</f>
        <v>5080.8500000000004</v>
      </c>
      <c r="R333" s="246"/>
      <c r="S333" s="296">
        <f t="shared" si="92"/>
        <v>-214.70000000000073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17798.626955777781</v>
      </c>
      <c r="G334" s="298"/>
      <c r="H334" s="41"/>
      <c r="I334" s="254"/>
      <c r="J334" s="253"/>
      <c r="K334" s="41"/>
      <c r="L334" s="272">
        <f>SUMIFS(BV_Data_An_Cour!$P:$P,BV_Data_An_Cour!$U:$U,$B334,BV_Data_An_Cour!$V:$V,$C334,BV_Data_An_Cour!$W:$W,$L$2)</f>
        <v>26109.4</v>
      </c>
      <c r="M334" s="253"/>
      <c r="N334" s="276">
        <f t="shared" si="91"/>
        <v>8310.7730442222201</v>
      </c>
      <c r="O334" s="253"/>
      <c r="P334" s="41"/>
      <c r="Q334" s="272" cm="1">
        <f t="array" ref="Q334">+SUMPRODUCT(('Réel 2024'!$A$8:$A$501=$A334)*('Réel 2024'!$C$3:$AO$3=Q$2),'Réel 2024'!$C$8:$AO$501)</f>
        <v>18093.5</v>
      </c>
      <c r="R334" s="253"/>
      <c r="S334" s="276">
        <f t="shared" si="92"/>
        <v>8015.9000000000015</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3273.1058755072359</v>
      </c>
      <c r="G335" s="298"/>
      <c r="H335" s="41"/>
      <c r="I335" s="254"/>
      <c r="J335" s="253"/>
      <c r="K335" s="41"/>
      <c r="L335" s="256">
        <f>SUMIFS(BV_Data_An_Cour!$P:$P,BV_Data_An_Cour!$U:$U,$B335,BV_Data_An_Cour!$V:$V,$C335,BV_Data_An_Cour!$W:$W,$L$2)</f>
        <v>3477.31</v>
      </c>
      <c r="M335" s="253"/>
      <c r="N335" s="276">
        <f t="shared" si="91"/>
        <v>204.20412449276409</v>
      </c>
      <c r="O335" s="253"/>
      <c r="P335" s="41"/>
      <c r="Q335" s="256" cm="1">
        <f t="array" ref="Q335">+SUMPRODUCT(('Réel 2024'!$A$8:$A$501=$A335)*('Réel 2024'!$C$3:$AO$3=Q$2),'Réel 2024'!$C$8:$AO$501)</f>
        <v>3473.35</v>
      </c>
      <c r="R335" s="253"/>
      <c r="S335" s="276">
        <f t="shared" si="92"/>
        <v>3.9600000000000364</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49952.343509060971</v>
      </c>
      <c r="G336" s="300"/>
      <c r="H336" s="318"/>
      <c r="I336" s="248"/>
      <c r="J336" s="246"/>
      <c r="K336" s="318"/>
      <c r="L336" s="248">
        <f>SUMIFS(BV_Data_An_Cour!$P:$P,BV_Data_An_Cour!$U:$U,$B336,BV_Data_An_Cour!$V:$V,$C336,BV_Data_An_Cour!$W:$W,$L$2)</f>
        <v>56618.41</v>
      </c>
      <c r="M336" s="246"/>
      <c r="N336" s="296">
        <f t="shared" si="91"/>
        <v>6666.0664909390325</v>
      </c>
      <c r="O336" s="246"/>
      <c r="P336" s="318"/>
      <c r="Q336" s="248" cm="1">
        <f t="array" ref="Q336">+SUMPRODUCT(('Réel 2024'!$A$8:$A$501=$A336)*('Réel 2024'!$C$3:$AO$3=Q$2),'Réel 2024'!$C$8:$AO$501)</f>
        <v>52574.65</v>
      </c>
      <c r="R336" s="246"/>
      <c r="S336" s="296">
        <f t="shared" si="92"/>
        <v>4043.760000000002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1022.7013333333333</v>
      </c>
      <c r="G338" s="298"/>
      <c r="H338" s="41"/>
      <c r="I338" s="254"/>
      <c r="J338" s="253"/>
      <c r="K338" s="41"/>
      <c r="L338" s="256">
        <f>SUMIFS(BV_Data_An_Cour!$P:$P,BV_Data_An_Cour!$U:$U,$B338,BV_Data_An_Cour!$V:$V,$C338,BV_Data_An_Cour!$W:$W,$L$2)</f>
        <v>0</v>
      </c>
      <c r="M338" s="253"/>
      <c r="N338" s="276">
        <f t="shared" si="91"/>
        <v>-1022.7013333333333</v>
      </c>
      <c r="O338" s="253"/>
      <c r="P338" s="41"/>
      <c r="Q338" s="256" cm="1">
        <f t="array" ref="Q338">+SUMPRODUCT(('Réel 2024'!$A$8:$A$501=$A338)*('Réel 2024'!$C$3:$AO$3=Q$2),'Réel 2024'!$C$8:$AO$501)</f>
        <v>1577.01</v>
      </c>
      <c r="R338" s="253"/>
      <c r="S338" s="276">
        <f t="shared" si="92"/>
        <v>-1577.01</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113.33333333333333</v>
      </c>
      <c r="G339" s="298"/>
      <c r="H339" s="41"/>
      <c r="I339" s="254"/>
      <c r="J339" s="253"/>
      <c r="K339" s="41"/>
      <c r="L339" s="256">
        <f>SUMIFS(BV_Data_An_Cour!$P:$P,BV_Data_An_Cour!$U:$U,$B339,BV_Data_An_Cour!$V:$V,$C339,BV_Data_An_Cour!$W:$W,$L$2)</f>
        <v>361.45</v>
      </c>
      <c r="M339" s="253"/>
      <c r="N339" s="276">
        <f t="shared" si="91"/>
        <v>248.11666666666667</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2865.6361864659998</v>
      </c>
      <c r="G340" s="298"/>
      <c r="H340" s="41"/>
      <c r="I340" s="254"/>
      <c r="J340" s="253"/>
      <c r="K340" s="41"/>
      <c r="L340" s="256">
        <f>SUMIFS(BV_Data_An_Cour!$P:$P,BV_Data_An_Cour!$U:$U,$B340,BV_Data_An_Cour!$V:$V,$C340,BV_Data_An_Cour!$W:$W,$L$2)</f>
        <v>1409.96</v>
      </c>
      <c r="M340" s="253"/>
      <c r="N340" s="276">
        <f t="shared" si="91"/>
        <v>-1455.6761864659998</v>
      </c>
      <c r="O340" s="253"/>
      <c r="P340" s="41"/>
      <c r="Q340" s="256" cm="1">
        <f t="array" ref="Q340">+SUMPRODUCT(('Réel 2024'!$A$8:$A$501=$A340)*('Réel 2024'!$C$3:$AO$3=Q$2),'Réel 2024'!$C$8:$AO$501)</f>
        <v>1815.5700000000002</v>
      </c>
      <c r="R340" s="253"/>
      <c r="S340" s="276">
        <f t="shared" si="92"/>
        <v>-405.61000000000013</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462.16297436869451</v>
      </c>
      <c r="G341" s="298"/>
      <c r="H341" s="41"/>
      <c r="I341" s="254"/>
      <c r="J341" s="253"/>
      <c r="K341" s="41"/>
      <c r="L341" s="256">
        <f>SUMIFS(BV_Data_An_Cour!$P:$P,BV_Data_An_Cour!$U:$U,$B341,BV_Data_An_Cour!$V:$V,$C341,BV_Data_An_Cour!$W:$W,$L$2)</f>
        <v>433.41</v>
      </c>
      <c r="M341" s="253"/>
      <c r="N341" s="276">
        <f t="shared" si="91"/>
        <v>-28.752974368694481</v>
      </c>
      <c r="O341" s="253"/>
      <c r="P341" s="41"/>
      <c r="Q341" s="256" cm="1">
        <f t="array" ref="Q341">+SUMPRODUCT(('Réel 2024'!$A$8:$A$501=$A341)*('Réel 2024'!$C$3:$AO$3=Q$2),'Réel 2024'!$C$8:$AO$501)</f>
        <v>404.71000000000004</v>
      </c>
      <c r="R341" s="253"/>
      <c r="S341" s="276">
        <f t="shared" si="92"/>
        <v>28.699999999999989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-124.44138984869448</v>
      </c>
      <c r="G342" s="298"/>
      <c r="H342" s="41"/>
      <c r="I342" s="254"/>
      <c r="J342" s="253"/>
      <c r="K342" s="41"/>
      <c r="L342" s="256">
        <f>SUMIFS(BV_Data_An_Cour!$P:$P,BV_Data_An_Cour!$U:$U,$B342,BV_Data_An_Cour!$V:$V,$C342,BV_Data_An_Cour!$W:$W,$L$2)</f>
        <v>-963.77</v>
      </c>
      <c r="M342" s="253"/>
      <c r="N342" s="276">
        <f t="shared" si="91"/>
        <v>-839.3286101513055</v>
      </c>
      <c r="O342" s="253"/>
      <c r="P342" s="41"/>
      <c r="Q342" s="256" cm="1">
        <f t="array" ref="Q342">+SUMPRODUCT(('Réel 2024'!$A$8:$A$501=$A342)*('Réel 2024'!$C$3:$AO$3=Q$2),'Réel 2024'!$C$8:$AO$501)</f>
        <v>-395.19</v>
      </c>
      <c r="R342" s="253"/>
      <c r="S342" s="276">
        <f t="shared" si="92"/>
        <v>-568.57999999999993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626.04470664980579</v>
      </c>
      <c r="G343" s="298"/>
      <c r="H343" s="41"/>
      <c r="I343" s="254"/>
      <c r="J343" s="253"/>
      <c r="K343" s="41"/>
      <c r="L343" s="256">
        <f>SUMIFS(BV_Data_An_Cour!$P:$P,BV_Data_An_Cour!$U:$U,$B343,BV_Data_An_Cour!$V:$V,$C343,BV_Data_An_Cour!$W:$W,$L$2)</f>
        <v>275.70999999999998</v>
      </c>
      <c r="M343" s="253"/>
      <c r="N343" s="276">
        <f t="shared" si="91"/>
        <v>-350.33470664980581</v>
      </c>
      <c r="O343" s="253"/>
      <c r="P343" s="41"/>
      <c r="Q343" s="256" cm="1">
        <f t="array" ref="Q343">+SUMPRODUCT(('Réel 2024'!$A$8:$A$501=$A343)*('Réel 2024'!$C$3:$AO$3=Q$2),'Réel 2024'!$C$8:$AO$501)</f>
        <v>599.08000000000004</v>
      </c>
      <c r="R343" s="253"/>
      <c r="S343" s="276">
        <f t="shared" si="92"/>
        <v>-323.37000000000006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1515.8172848572531</v>
      </c>
      <c r="G344" s="298"/>
      <c r="H344" s="41"/>
      <c r="I344" s="254"/>
      <c r="J344" s="253"/>
      <c r="K344" s="41"/>
      <c r="L344" s="256">
        <f>SUMIFS(BV_Data_An_Cour!$P:$P,BV_Data_An_Cour!$U:$U,$B344,BV_Data_An_Cour!$V:$V,$C344,BV_Data_An_Cour!$W:$W,$L$2)</f>
        <v>928.54</v>
      </c>
      <c r="M344" s="253"/>
      <c r="N344" s="276">
        <f t="shared" si="91"/>
        <v>-587.27728485725311</v>
      </c>
      <c r="O344" s="253"/>
      <c r="P344" s="41"/>
      <c r="Q344" s="256" cm="1">
        <f t="array" ref="Q344">+SUMPRODUCT(('Réel 2024'!$A$8:$A$501=$A344)*('Réel 2024'!$C$3:$AO$3=Q$2),'Réel 2024'!$C$8:$AO$501)</f>
        <v>681.5</v>
      </c>
      <c r="R344" s="253"/>
      <c r="S344" s="276">
        <f t="shared" si="92"/>
        <v>247.03999999999996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5334.3430736926402</v>
      </c>
      <c r="G345" s="298"/>
      <c r="H345" s="41"/>
      <c r="I345" s="254"/>
      <c r="J345" s="253"/>
      <c r="K345" s="41"/>
      <c r="L345" s="256">
        <f>SUMIFS(BV_Data_An_Cour!$P:$P,BV_Data_An_Cour!$U:$U,$B345,BV_Data_An_Cour!$V:$V,$C345,BV_Data_An_Cour!$W:$W,L$2)</f>
        <v>5920.54</v>
      </c>
      <c r="M345" s="253"/>
      <c r="N345" s="276">
        <f t="shared" si="91"/>
        <v>586.19692630735972</v>
      </c>
      <c r="O345" s="253"/>
      <c r="P345" s="41"/>
      <c r="Q345" s="256" cm="1">
        <f t="array" ref="Q345">+SUMPRODUCT(('Réel 2024'!$A$8:$A$501=$A345)*('Réel 2024'!$C$3:$AO$3=Q$2),'Réel 2024'!$C$8:$AO$501)</f>
        <v>5785.3899999999994</v>
      </c>
      <c r="R345" s="253"/>
      <c r="S345" s="276">
        <f t="shared" si="92"/>
        <v>135.15000000000055</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0.25437770536043963</v>
      </c>
      <c r="F349" s="307">
        <f>+SUM(F331:F348)</f>
        <v>108632.97646607323</v>
      </c>
      <c r="G349" s="308"/>
      <c r="H349" s="306"/>
      <c r="I349" s="307"/>
      <c r="J349" s="308" t="s">
        <v>119</v>
      </c>
      <c r="K349" s="306">
        <f>L349/L$314</f>
        <v>0.30060834970323497</v>
      </c>
      <c r="L349" s="307">
        <f>+SUM(L331:L348)</f>
        <v>134690</v>
      </c>
      <c r="M349" s="311"/>
      <c r="N349" s="307">
        <f>+SUM(N331:N348)</f>
        <v>26057.023533926764</v>
      </c>
      <c r="O349" s="308" t="s">
        <v>119</v>
      </c>
      <c r="P349" s="306">
        <f>Q349/Q$314</f>
        <v>0.23805204233371907</v>
      </c>
      <c r="Q349" s="307">
        <f>+SUM(Q331:Q348)</f>
        <v>105107.98000000001</v>
      </c>
      <c r="R349" s="311"/>
      <c r="S349" s="307">
        <f>+SUM(S331:S348)</f>
        <v>29582.020000000008</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0.71234979873468518</v>
      </c>
      <c r="F351" s="307">
        <f>F330+F349</f>
        <v>304211.71860131016</v>
      </c>
      <c r="G351" s="308"/>
      <c r="H351" s="306"/>
      <c r="I351" s="307"/>
      <c r="J351" s="308" t="s">
        <v>119</v>
      </c>
      <c r="K351" s="306">
        <f>L351/L$314</f>
        <v>0.73491066158208795</v>
      </c>
      <c r="L351" s="307">
        <f>L330+L349</f>
        <v>329282.66000000003</v>
      </c>
      <c r="M351" s="311"/>
      <c r="N351" s="320">
        <f>L351-F351</f>
        <v>25070.941398689873</v>
      </c>
      <c r="O351" s="308" t="s">
        <v>119</v>
      </c>
      <c r="P351" s="306">
        <f>Q351/Q$314</f>
        <v>0.67895984908238838</v>
      </c>
      <c r="Q351" s="307">
        <f>Q330+Q349</f>
        <v>299783.59999999998</v>
      </c>
      <c r="R351" s="311"/>
      <c r="S351" s="320">
        <f>L351-Q351</f>
        <v>29499.060000000056</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122842.12368469557</v>
      </c>
      <c r="G353" s="361"/>
      <c r="H353" s="333"/>
      <c r="I353" s="335"/>
      <c r="J353" s="332"/>
      <c r="K353" s="334"/>
      <c r="L353" s="335">
        <f>L314-L351</f>
        <v>118775.41999999987</v>
      </c>
      <c r="M353" s="332"/>
      <c r="N353" s="335">
        <f>L353-F353</f>
        <v>-4066.7036846957053</v>
      </c>
      <c r="O353" s="332"/>
      <c r="P353" s="334"/>
      <c r="Q353" s="335">
        <f>Q314-Q351</f>
        <v>141750.01999999909</v>
      </c>
      <c r="R353" s="332"/>
      <c r="S353" s="335">
        <f>L353-Q353</f>
        <v>-22974.59999999922</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Avril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18" t="s">
        <v>343</v>
      </c>
      <c r="E358" s="1219"/>
      <c r="F358" s="1220"/>
      <c r="G358" s="1221"/>
      <c r="H358" s="1219"/>
      <c r="I358" s="1220"/>
      <c r="J358" s="1221" t="s">
        <v>344</v>
      </c>
      <c r="K358" s="1219"/>
      <c r="L358" s="1220"/>
      <c r="M358" s="1221"/>
      <c r="N358" s="1220"/>
      <c r="O358" s="1221" t="s">
        <v>345</v>
      </c>
      <c r="P358" s="1219"/>
      <c r="Q358" s="1220"/>
      <c r="R358" s="1221" t="s">
        <v>346</v>
      </c>
      <c r="S358" s="1220"/>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Avril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24" t="s">
        <v>600</v>
      </c>
      <c r="Y404" s="1216"/>
      <c r="Z404" s="1225"/>
      <c r="AA404" s="1215"/>
      <c r="AB404" s="1216"/>
      <c r="AC404" s="1225"/>
      <c r="AD404" s="1215" t="s">
        <v>344</v>
      </c>
      <c r="AE404" s="1216"/>
      <c r="AF404" s="1225"/>
      <c r="AG404" s="1215" t="s">
        <v>3310</v>
      </c>
      <c r="AH404" s="1216"/>
      <c r="AI404" s="1225"/>
      <c r="AJ404" s="1215" t="s">
        <v>601</v>
      </c>
      <c r="AK404" s="1216"/>
      <c r="AL404" s="1216"/>
      <c r="AM404" s="1215" t="s">
        <v>602</v>
      </c>
      <c r="AN404" s="1216"/>
      <c r="AO404" s="121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19982795.638702102</v>
      </c>
      <c r="AA406" s="440"/>
      <c r="AB406" s="440"/>
      <c r="AC406" s="441"/>
      <c r="AD406" s="442"/>
      <c r="AE406" s="443"/>
      <c r="AF406" s="443">
        <f>L5+L93+K194+K250+J314+J362</f>
        <v>17330729.380000003</v>
      </c>
      <c r="AG406" s="442"/>
      <c r="AH406" s="443"/>
      <c r="AI406" s="444"/>
      <c r="AJ406" s="442"/>
      <c r="AK406" s="443"/>
      <c r="AL406" s="443">
        <f>Q5+Q93+P194+P250+O314+O362</f>
        <v>22110244.639999986</v>
      </c>
      <c r="AM406" s="445"/>
      <c r="AN406" s="443"/>
      <c r="AO406" s="446"/>
      <c r="AP406" s="38"/>
      <c r="AQ406" s="445">
        <v>54204064.640000001</v>
      </c>
      <c r="AR406" s="620">
        <f t="shared" ref="AR406:AR407" si="99">AF406-AQ406</f>
        <v>-36873335.259999998</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2395735.6288756197</v>
      </c>
      <c r="AA407" s="448"/>
      <c r="AB407" s="448"/>
      <c r="AC407" s="449"/>
      <c r="AD407" s="475">
        <f>AF407/AF$406</f>
        <v>0.13490910328899269</v>
      </c>
      <c r="AE407" s="451"/>
      <c r="AF407" s="451">
        <f>L27+L108+L194+L250+L314+L362</f>
        <v>2338073.1600000006</v>
      </c>
      <c r="AG407" s="450"/>
      <c r="AH407" s="451">
        <f>AF407-Z407</f>
        <v>-57662.468875619117</v>
      </c>
      <c r="AI407" s="452">
        <f>AH407/Z407</f>
        <v>-2.4068794645209494E-2</v>
      </c>
      <c r="AJ407" s="475">
        <f>+AL407/AL406</f>
        <v>0.10459583499208167</v>
      </c>
      <c r="AK407" s="451"/>
      <c r="AL407" s="451">
        <f>Q27+Q108+Q194+Q250+Q314+Q362</f>
        <v>2312639.4999999967</v>
      </c>
      <c r="AM407" s="453"/>
      <c r="AN407" s="451">
        <f>AF407-AL407</f>
        <v>25433.660000003874</v>
      </c>
      <c r="AO407" s="454">
        <f>IF(AL407=0,0,AN407/AL407)</f>
        <v>1.0997676032085377E-2</v>
      </c>
      <c r="AP407" s="94"/>
      <c r="AQ407" s="453">
        <v>7795760.1900000032</v>
      </c>
      <c r="AR407" s="621">
        <f t="shared" si="99"/>
        <v>-5457687.0300000031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714.94464529515551</v>
      </c>
      <c r="Z409" s="457">
        <f t="shared" ref="Z409:Z418" si="101">+SUMIF($C:$C,$V409,F:F)</f>
        <v>226637.45255856431</v>
      </c>
      <c r="AA409" s="456"/>
      <c r="AB409" s="464"/>
      <c r="AC409" s="457"/>
      <c r="AD409" s="465"/>
      <c r="AE409" s="464">
        <f t="shared" ref="AE409:AE414" si="102">IF(AF409=0,0,AF409/(J$13+J$97))</f>
        <v>632.66150349650354</v>
      </c>
      <c r="AF409" s="457">
        <f t="shared" ref="AF409:AF418" si="103">+SUMIF($C:$C,$V409,L:L)</f>
        <v>180941.19</v>
      </c>
      <c r="AG409" s="458">
        <f t="shared" ref="AG409:AG418" si="104">AE409-Y409</f>
        <v>-82.283141798651968</v>
      </c>
      <c r="AH409" s="459">
        <f t="shared" ref="AH409:AH418" si="105">AF409-Z409</f>
        <v>-45696.262558564311</v>
      </c>
      <c r="AI409" s="460">
        <f t="shared" ref="AI409:AI418" si="106">IF(Z409=0,0,AH409/Z409)</f>
        <v>-0.20162714521668107</v>
      </c>
      <c r="AJ409" s="465"/>
      <c r="AK409" s="459">
        <f t="shared" ref="AK409:AK418" si="107">AL409/(O$13+O$97)</f>
        <v>712.5516863905325</v>
      </c>
      <c r="AL409" s="457">
        <f t="shared" ref="AL409:AL415" si="108">+SUMIF($C:$C,$V409,Q:Q)</f>
        <v>240842.47</v>
      </c>
      <c r="AM409" s="461">
        <f t="shared" ref="AM409:AM418" si="109">AE409-Y409</f>
        <v>-82.283141798651968</v>
      </c>
      <c r="AN409" s="459">
        <f t="shared" ref="AN409:AN431" si="110">AF409-AL409</f>
        <v>-59901.279999999999</v>
      </c>
      <c r="AO409" s="466">
        <f t="shared" ref="AO409:AO431" si="111">IF(AL409=0,0,AN409/AL409)</f>
        <v>-0.24871560236033122</v>
      </c>
      <c r="AP409" s="94"/>
      <c r="AQ409" s="622">
        <v>778277.40999999992</v>
      </c>
      <c r="AR409" s="512">
        <f t="shared" ref="AR409:AR466" si="112">AF409-AQ409</f>
        <v>-597336.22</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383.9116719242902</v>
      </c>
      <c r="Z410" s="441">
        <f t="shared" si="101"/>
        <v>121700</v>
      </c>
      <c r="AA410" s="440"/>
      <c r="AB410" s="468"/>
      <c r="AC410" s="441"/>
      <c r="AD410" s="469"/>
      <c r="AE410" s="468">
        <f t="shared" si="102"/>
        <v>353.20569930069928</v>
      </c>
      <c r="AF410" s="441">
        <f t="shared" si="103"/>
        <v>101016.82999999999</v>
      </c>
      <c r="AG410" s="442">
        <f t="shared" si="104"/>
        <v>-30.705972623590924</v>
      </c>
      <c r="AH410" s="443">
        <f t="shared" si="105"/>
        <v>-20683.170000000013</v>
      </c>
      <c r="AI410" s="470">
        <f t="shared" si="106"/>
        <v>-0.1699520953163518</v>
      </c>
      <c r="AJ410" s="469"/>
      <c r="AK410" s="443">
        <f t="shared" si="107"/>
        <v>308.395473372781</v>
      </c>
      <c r="AL410" s="441">
        <f t="shared" si="108"/>
        <v>104237.66999999998</v>
      </c>
      <c r="AM410" s="445">
        <f t="shared" si="109"/>
        <v>-30.705972623590924</v>
      </c>
      <c r="AN410" s="443">
        <f t="shared" si="110"/>
        <v>-3220.8399999999965</v>
      </c>
      <c r="AO410" s="446">
        <f t="shared" si="111"/>
        <v>-3.0899002251297415E-2</v>
      </c>
      <c r="AP410" s="94"/>
      <c r="AQ410" s="623">
        <v>469053.9</v>
      </c>
      <c r="AR410" s="620">
        <f t="shared" si="112"/>
        <v>-368037.07000000007</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84.924290220820183</v>
      </c>
      <c r="Z411" s="457">
        <f t="shared" si="101"/>
        <v>26921</v>
      </c>
      <c r="AA411" s="456"/>
      <c r="AB411" s="464"/>
      <c r="AC411" s="457"/>
      <c r="AD411" s="465"/>
      <c r="AE411" s="464">
        <f t="shared" si="102"/>
        <v>44.936783216783226</v>
      </c>
      <c r="AF411" s="457">
        <f t="shared" si="103"/>
        <v>12851.920000000002</v>
      </c>
      <c r="AG411" s="458">
        <f t="shared" si="104"/>
        <v>-39.987507004036956</v>
      </c>
      <c r="AH411" s="459">
        <f t="shared" si="105"/>
        <v>-14069.079999999998</v>
      </c>
      <c r="AI411" s="460">
        <f t="shared" si="106"/>
        <v>-0.52260614390252957</v>
      </c>
      <c r="AJ411" s="465"/>
      <c r="AK411" s="459">
        <f t="shared" si="107"/>
        <v>89.46174556213019</v>
      </c>
      <c r="AL411" s="457">
        <f t="shared" si="108"/>
        <v>30238.070000000003</v>
      </c>
      <c r="AM411" s="461">
        <f t="shared" si="109"/>
        <v>-39.987507004036956</v>
      </c>
      <c r="AN411" s="459">
        <f t="shared" si="110"/>
        <v>-17386.150000000001</v>
      </c>
      <c r="AO411" s="466">
        <f t="shared" si="111"/>
        <v>-0.57497551927090584</v>
      </c>
      <c r="AP411" s="94"/>
      <c r="AQ411" s="622">
        <v>56454.65</v>
      </c>
      <c r="AR411" s="512">
        <f t="shared" si="112"/>
        <v>-43602.729999999996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21.6403785488959</v>
      </c>
      <c r="Z412" s="457">
        <f t="shared" si="101"/>
        <v>6860</v>
      </c>
      <c r="AA412" s="456"/>
      <c r="AB412" s="464"/>
      <c r="AC412" s="457"/>
      <c r="AD412" s="465"/>
      <c r="AE412" s="464">
        <f t="shared" si="102"/>
        <v>18.984405594405594</v>
      </c>
      <c r="AF412" s="457">
        <f t="shared" si="103"/>
        <v>5429.54</v>
      </c>
      <c r="AG412" s="458">
        <f t="shared" si="104"/>
        <v>-2.6559729544903057</v>
      </c>
      <c r="AH412" s="459">
        <f t="shared" si="105"/>
        <v>-1430.46</v>
      </c>
      <c r="AI412" s="460">
        <f t="shared" si="106"/>
        <v>-0.20852186588921284</v>
      </c>
      <c r="AJ412" s="465"/>
      <c r="AK412" s="459">
        <f t="shared" si="107"/>
        <v>22.328609467455621</v>
      </c>
      <c r="AL412" s="457">
        <f t="shared" si="108"/>
        <v>7547.07</v>
      </c>
      <c r="AM412" s="461">
        <f t="shared" si="109"/>
        <v>-2.6559729544903057</v>
      </c>
      <c r="AN412" s="459">
        <f t="shared" si="110"/>
        <v>-2117.5299999999997</v>
      </c>
      <c r="AO412" s="466">
        <f t="shared" si="111"/>
        <v>-0.2805764356233611</v>
      </c>
      <c r="AP412" s="94"/>
      <c r="AQ412" s="622">
        <v>3117.25</v>
      </c>
      <c r="AR412" s="512">
        <f t="shared" si="112"/>
        <v>2312.29</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137.95031545741324</v>
      </c>
      <c r="Z413" s="441">
        <f t="shared" si="101"/>
        <v>43730.25</v>
      </c>
      <c r="AA413" s="440"/>
      <c r="AB413" s="468"/>
      <c r="AC413" s="441"/>
      <c r="AD413" s="469"/>
      <c r="AE413" s="468">
        <f t="shared" si="102"/>
        <v>153.44073426573428</v>
      </c>
      <c r="AF413" s="441">
        <f t="shared" si="103"/>
        <v>43884.05</v>
      </c>
      <c r="AG413" s="442">
        <f t="shared" si="104"/>
        <v>15.490418808321039</v>
      </c>
      <c r="AH413" s="443">
        <f t="shared" si="105"/>
        <v>153.80000000000291</v>
      </c>
      <c r="AI413" s="470">
        <f t="shared" si="106"/>
        <v>3.5170162530514439E-3</v>
      </c>
      <c r="AJ413" s="469"/>
      <c r="AK413" s="443">
        <f t="shared" si="107"/>
        <v>136.40887573964497</v>
      </c>
      <c r="AL413" s="441">
        <f t="shared" si="108"/>
        <v>46106.200000000004</v>
      </c>
      <c r="AM413" s="445">
        <f t="shared" si="109"/>
        <v>15.490418808321039</v>
      </c>
      <c r="AN413" s="443">
        <f t="shared" si="110"/>
        <v>-2222.1500000000015</v>
      </c>
      <c r="AO413" s="446">
        <f t="shared" si="111"/>
        <v>-4.8196338019615613E-2</v>
      </c>
      <c r="AP413" s="94"/>
      <c r="AQ413" s="623">
        <v>111419.39000000001</v>
      </c>
      <c r="AR413" s="620">
        <f t="shared" si="112"/>
        <v>-67535.340000000011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271.53312302839117</v>
      </c>
      <c r="Z414" s="457">
        <f t="shared" si="101"/>
        <v>86076</v>
      </c>
      <c r="AA414" s="460"/>
      <c r="AB414" s="464"/>
      <c r="AC414" s="457"/>
      <c r="AD414" s="465"/>
      <c r="AE414" s="464">
        <f t="shared" si="102"/>
        <v>326.0339160839161</v>
      </c>
      <c r="AF414" s="457">
        <f t="shared" si="103"/>
        <v>93245.7</v>
      </c>
      <c r="AG414" s="458">
        <f t="shared" si="104"/>
        <v>54.500793055524923</v>
      </c>
      <c r="AH414" s="459">
        <f t="shared" si="105"/>
        <v>7169.6999999999971</v>
      </c>
      <c r="AI414" s="460">
        <f t="shared" si="106"/>
        <v>8.3294995120591075E-2</v>
      </c>
      <c r="AJ414" s="465"/>
      <c r="AK414" s="459">
        <f t="shared" si="107"/>
        <v>220.51186390532538</v>
      </c>
      <c r="AL414" s="457">
        <f t="shared" si="108"/>
        <v>74533.00999999998</v>
      </c>
      <c r="AM414" s="461">
        <f t="shared" si="109"/>
        <v>54.500793055524923</v>
      </c>
      <c r="AN414" s="459">
        <f t="shared" si="110"/>
        <v>18712.690000000017</v>
      </c>
      <c r="AO414" s="466">
        <f t="shared" si="111"/>
        <v>0.25106580292410063</v>
      </c>
      <c r="AP414" s="94"/>
      <c r="AQ414" s="622">
        <v>186022.03999999998</v>
      </c>
      <c r="AR414" s="512">
        <f t="shared" si="112"/>
        <v>-92776.339999999982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536.67435704194725</v>
      </c>
      <c r="Z415" s="457">
        <f t="shared" si="101"/>
        <v>170125.77118229726</v>
      </c>
      <c r="AA415" s="456"/>
      <c r="AB415" s="464"/>
      <c r="AC415" s="457"/>
      <c r="AD415" s="465"/>
      <c r="AE415" s="464">
        <f t="shared" ref="AE415:AE418" si="113">IF(AF415=0,0,AF415/(J$13+J$13))</f>
        <v>178.01197297297298</v>
      </c>
      <c r="AF415" s="457">
        <f t="shared" si="103"/>
        <v>65864.430000000008</v>
      </c>
      <c r="AG415" s="458">
        <f t="shared" si="104"/>
        <v>-358.66238406897423</v>
      </c>
      <c r="AH415" s="459">
        <f t="shared" si="105"/>
        <v>-104261.34118229726</v>
      </c>
      <c r="AI415" s="460">
        <f t="shared" si="106"/>
        <v>-0.61284860287614296</v>
      </c>
      <c r="AJ415" s="465"/>
      <c r="AK415" s="459">
        <f t="shared" si="107"/>
        <v>456.66044378698228</v>
      </c>
      <c r="AL415" s="457">
        <f t="shared" si="108"/>
        <v>154351.23000000001</v>
      </c>
      <c r="AM415" s="461">
        <f t="shared" si="109"/>
        <v>-358.66238406897423</v>
      </c>
      <c r="AN415" s="459">
        <f t="shared" si="110"/>
        <v>-88486.8</v>
      </c>
      <c r="AO415" s="466">
        <f t="shared" si="111"/>
        <v>-0.57328211767408654</v>
      </c>
      <c r="AP415" s="94"/>
      <c r="AQ415" s="622">
        <v>67811.08</v>
      </c>
      <c r="AR415" s="512">
        <f t="shared" si="112"/>
        <v>-1946.6499999999942</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0.28469354695073984</v>
      </c>
      <c r="Y419" s="472"/>
      <c r="Z419" s="474">
        <f>SUM(Z409:Z418)</f>
        <v>682050.47374086152</v>
      </c>
      <c r="AA419" s="473"/>
      <c r="AB419" s="472"/>
      <c r="AC419" s="474"/>
      <c r="AD419" s="475">
        <f>AF419/AF$407</f>
        <v>0.21523435134938201</v>
      </c>
      <c r="AE419" s="472"/>
      <c r="AF419" s="474">
        <f>SUM(AF409:AF418)</f>
        <v>503233.66</v>
      </c>
      <c r="AG419" s="476"/>
      <c r="AH419" s="477">
        <f t="shared" ref="AH419:AH451" si="114">AF419-Z419</f>
        <v>-178816.81374086154</v>
      </c>
      <c r="AI419" s="473">
        <f>AH419/Z419</f>
        <v>-0.26217533837356627</v>
      </c>
      <c r="AJ419" s="475">
        <f>IF($AL$407=0,0,AL419/$AL$407)</f>
        <v>0.28446098927221508</v>
      </c>
      <c r="AK419" s="472"/>
      <c r="AL419" s="474">
        <f>SUM(AL409:AL418)</f>
        <v>657855.72</v>
      </c>
      <c r="AM419" s="478"/>
      <c r="AN419" s="477">
        <f t="shared" si="110"/>
        <v>-154622.06</v>
      </c>
      <c r="AO419" s="454">
        <f t="shared" si="111"/>
        <v>-0.23503947035681319</v>
      </c>
      <c r="AP419" s="94"/>
      <c r="AQ419" s="624">
        <v>1672155.7200000002</v>
      </c>
      <c r="AR419" s="625">
        <f t="shared" si="112"/>
        <v>-1168922.0600000003</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60787.269230769234</v>
      </c>
      <c r="AA420" s="456"/>
      <c r="AB420" s="456"/>
      <c r="AC420" s="457"/>
      <c r="AD420" s="465"/>
      <c r="AE420" s="464"/>
      <c r="AF420" s="457">
        <f>SUMIFS(BV_Data_An_Cour!$P:$P,BV_Data_An_Cour!$V:$V,$V420)</f>
        <v>56184.999999999993</v>
      </c>
      <c r="AG420" s="458"/>
      <c r="AH420" s="459">
        <f t="shared" si="114"/>
        <v>-4602.2692307692414</v>
      </c>
      <c r="AI420" s="460">
        <f t="shared" ref="AI420:AI432" si="115">IF(Z420=0,0,AH420/Z420)</f>
        <v>-7.5711070574620745E-2</v>
      </c>
      <c r="AJ420" s="465"/>
      <c r="AK420" s="456"/>
      <c r="AL420" s="457" cm="1">
        <f t="array" ref="AL420">+SUMPRODUCT(('Réel 2024'!$A$8:$A$501=$A420)*('Réel 2024'!$C$3:$AO$3=Z$2),'Réel 2024'!$C$8:$AO$501)</f>
        <v>62683.900000000009</v>
      </c>
      <c r="AM420" s="461"/>
      <c r="AN420" s="459">
        <f t="shared" si="110"/>
        <v>-6498.900000000016</v>
      </c>
      <c r="AO420" s="466">
        <f t="shared" si="111"/>
        <v>-0.10367733979538629</v>
      </c>
      <c r="AP420" s="94"/>
      <c r="AQ420" s="622">
        <v>196581.69999999998</v>
      </c>
      <c r="AR420" s="512">
        <f t="shared" si="112"/>
        <v>-140396.69999999998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235891.57051282056</v>
      </c>
      <c r="AA421" s="456"/>
      <c r="AB421" s="456"/>
      <c r="AC421" s="457"/>
      <c r="AD421" s="465"/>
      <c r="AE421" s="464"/>
      <c r="AF421" s="457">
        <f t="shared" ref="AF421:AF432" si="117">+SUMIF($C:$C,$V421,L:L)</f>
        <v>213664.06999999998</v>
      </c>
      <c r="AG421" s="458"/>
      <c r="AH421" s="459">
        <f t="shared" si="114"/>
        <v>-22227.500512820581</v>
      </c>
      <c r="AI421" s="460">
        <f t="shared" si="115"/>
        <v>-9.4227616800798442E-2</v>
      </c>
      <c r="AJ421" s="465"/>
      <c r="AK421" s="456"/>
      <c r="AL421" s="457">
        <f t="shared" ref="AL421:AL431" si="118">+SUMIF($C:$C,$V421,Q:Q)</f>
        <v>205564.38</v>
      </c>
      <c r="AM421" s="461"/>
      <c r="AN421" s="459">
        <f t="shared" si="110"/>
        <v>8099.6899999999732</v>
      </c>
      <c r="AO421" s="466">
        <f t="shared" si="111"/>
        <v>3.9402205771252648E-2</v>
      </c>
      <c r="AP421" s="94"/>
      <c r="AQ421" s="622">
        <v>480874.87</v>
      </c>
      <c r="AR421" s="512">
        <f t="shared" si="112"/>
        <v>-267210.80000000005</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262628.02861538465</v>
      </c>
      <c r="AA422" s="440"/>
      <c r="AB422" s="440"/>
      <c r="AC422" s="441"/>
      <c r="AD422" s="469"/>
      <c r="AE422" s="468"/>
      <c r="AF422" s="441">
        <f t="shared" si="117"/>
        <v>221860.51</v>
      </c>
      <c r="AG422" s="442"/>
      <c r="AH422" s="443">
        <f t="shared" si="114"/>
        <v>-40767.518615384644</v>
      </c>
      <c r="AI422" s="470">
        <f t="shared" si="115"/>
        <v>-0.15522912322160459</v>
      </c>
      <c r="AJ422" s="469"/>
      <c r="AK422" s="440"/>
      <c r="AL422" s="441">
        <f t="shared" si="118"/>
        <v>181738.84</v>
      </c>
      <c r="AM422" s="445"/>
      <c r="AN422" s="443">
        <f t="shared" si="110"/>
        <v>40121.670000000013</v>
      </c>
      <c r="AO422" s="446">
        <f t="shared" si="111"/>
        <v>0.22076552265877791</v>
      </c>
      <c r="AP422" s="94"/>
      <c r="AQ422" s="623">
        <v>263830.23</v>
      </c>
      <c r="AR422" s="620">
        <f t="shared" si="112"/>
        <v>-41969.719999999972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82815.5</v>
      </c>
      <c r="AA423" s="456"/>
      <c r="AB423" s="456"/>
      <c r="AC423" s="457"/>
      <c r="AD423" s="465"/>
      <c r="AE423" s="464"/>
      <c r="AF423" s="457">
        <f t="shared" si="117"/>
        <v>101063.39</v>
      </c>
      <c r="AG423" s="458"/>
      <c r="AH423" s="459">
        <f t="shared" si="114"/>
        <v>18247.89</v>
      </c>
      <c r="AI423" s="460">
        <f t="shared" si="115"/>
        <v>0.22034389697580767</v>
      </c>
      <c r="AJ423" s="465"/>
      <c r="AK423" s="456"/>
      <c r="AL423" s="457">
        <f t="shared" si="118"/>
        <v>108973.54000000001</v>
      </c>
      <c r="AM423" s="461"/>
      <c r="AN423" s="459">
        <f t="shared" si="110"/>
        <v>-7910.1500000000087</v>
      </c>
      <c r="AO423" s="466">
        <f t="shared" si="111"/>
        <v>-7.2587804342228474E-2</v>
      </c>
      <c r="AP423" s="94"/>
      <c r="AQ423" s="622">
        <v>653651.56000000006</v>
      </c>
      <c r="AR423" s="512">
        <f t="shared" si="112"/>
        <v>-552588.17000000004</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108651.07050215385</v>
      </c>
      <c r="AA424" s="456"/>
      <c r="AB424" s="456"/>
      <c r="AC424" s="457"/>
      <c r="AD424" s="465"/>
      <c r="AE424" s="464"/>
      <c r="AF424" s="457">
        <f t="shared" si="117"/>
        <v>71869.789999999994</v>
      </c>
      <c r="AG424" s="458"/>
      <c r="AH424" s="459">
        <f t="shared" si="114"/>
        <v>-36781.280502153852</v>
      </c>
      <c r="AI424" s="460">
        <f t="shared" si="115"/>
        <v>-0.33852662778343007</v>
      </c>
      <c r="AJ424" s="465"/>
      <c r="AK424" s="456"/>
      <c r="AL424" s="457">
        <f t="shared" si="118"/>
        <v>108091</v>
      </c>
      <c r="AM424" s="461"/>
      <c r="AN424" s="459">
        <f t="shared" si="110"/>
        <v>-36221.210000000006</v>
      </c>
      <c r="AO424" s="466">
        <f t="shared" si="111"/>
        <v>-0.33509922195187392</v>
      </c>
      <c r="AP424" s="94"/>
      <c r="AQ424" s="622">
        <v>399727.32999999996</v>
      </c>
      <c r="AR424" s="512">
        <f t="shared" si="112"/>
        <v>-327857.53999999998</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161182.65932053752</v>
      </c>
      <c r="AA428" s="440"/>
      <c r="AB428" s="440"/>
      <c r="AC428" s="441"/>
      <c r="AD428" s="469"/>
      <c r="AE428" s="468"/>
      <c r="AF428" s="441">
        <f t="shared" si="117"/>
        <v>154426.91</v>
      </c>
      <c r="AG428" s="442"/>
      <c r="AH428" s="443">
        <f t="shared" si="114"/>
        <v>-6755.7493205375213</v>
      </c>
      <c r="AI428" s="470">
        <f t="shared" si="115"/>
        <v>-4.191362364299147E-2</v>
      </c>
      <c r="AJ428" s="469"/>
      <c r="AK428" s="440"/>
      <c r="AL428" s="441">
        <f t="shared" si="118"/>
        <v>146747.37</v>
      </c>
      <c r="AM428" s="445"/>
      <c r="AN428" s="443">
        <f t="shared" si="110"/>
        <v>7679.5400000000081</v>
      </c>
      <c r="AO428" s="446">
        <f t="shared" si="111"/>
        <v>5.233170447961015E-2</v>
      </c>
      <c r="AP428" s="94"/>
      <c r="AQ428" s="623">
        <v>484984.30000000005</v>
      </c>
      <c r="AR428" s="620">
        <f t="shared" si="112"/>
        <v>-330557.39</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195975.39194919984</v>
      </c>
      <c r="AA429" s="456"/>
      <c r="AB429" s="456"/>
      <c r="AC429" s="457"/>
      <c r="AD429" s="465"/>
      <c r="AE429" s="464"/>
      <c r="AF429" s="457">
        <f t="shared" si="117"/>
        <v>200276.82</v>
      </c>
      <c r="AG429" s="458"/>
      <c r="AH429" s="459">
        <f t="shared" si="114"/>
        <v>4301.4280508001684</v>
      </c>
      <c r="AI429" s="460">
        <f t="shared" si="115"/>
        <v>2.1948817185757547E-2</v>
      </c>
      <c r="AJ429" s="465"/>
      <c r="AK429" s="456"/>
      <c r="AL429" s="457">
        <f t="shared" si="118"/>
        <v>217956.87000000002</v>
      </c>
      <c r="AM429" s="461"/>
      <c r="AN429" s="459">
        <f t="shared" si="110"/>
        <v>-17680.050000000017</v>
      </c>
      <c r="AO429" s="466">
        <f t="shared" si="111"/>
        <v>-8.1117195342362988E-2</v>
      </c>
      <c r="AP429" s="94"/>
      <c r="AQ429" s="622">
        <v>452089.25</v>
      </c>
      <c r="AR429" s="512">
        <f t="shared" si="112"/>
        <v>-251812.43</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100969.93019991381</v>
      </c>
      <c r="AA430" s="456"/>
      <c r="AB430" s="456"/>
      <c r="AC430" s="457"/>
      <c r="AD430" s="465"/>
      <c r="AE430" s="464"/>
      <c r="AF430" s="457">
        <f t="shared" si="117"/>
        <v>93184.98000000001</v>
      </c>
      <c r="AG430" s="458"/>
      <c r="AH430" s="459">
        <f t="shared" si="114"/>
        <v>-7784.950199913801</v>
      </c>
      <c r="AI430" s="460">
        <f t="shared" si="115"/>
        <v>-7.7101669620847635E-2</v>
      </c>
      <c r="AJ430" s="465"/>
      <c r="AK430" s="456"/>
      <c r="AL430" s="457">
        <f t="shared" si="118"/>
        <v>83876.100000000006</v>
      </c>
      <c r="AM430" s="461"/>
      <c r="AN430" s="459">
        <f t="shared" si="110"/>
        <v>9308.8800000000047</v>
      </c>
      <c r="AO430" s="466">
        <f t="shared" si="111"/>
        <v>0.11098370095891445</v>
      </c>
      <c r="AP430" s="94"/>
      <c r="AQ430" s="622">
        <v>250596.99999999997</v>
      </c>
      <c r="AR430" s="512">
        <f t="shared" si="112"/>
        <v>-157412.01999999996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44023.457611776772</v>
      </c>
      <c r="AA431" s="456"/>
      <c r="AB431" s="456"/>
      <c r="AC431" s="457"/>
      <c r="AD431" s="465"/>
      <c r="AE431" s="464"/>
      <c r="AF431" s="457">
        <f t="shared" si="117"/>
        <v>39508.680000000008</v>
      </c>
      <c r="AG431" s="458"/>
      <c r="AH431" s="459">
        <f t="shared" si="114"/>
        <v>-4514.7776117767644</v>
      </c>
      <c r="AI431" s="479">
        <f t="shared" si="115"/>
        <v>-0.10255390777322794</v>
      </c>
      <c r="AJ431" s="465"/>
      <c r="AK431" s="456"/>
      <c r="AL431" s="457">
        <f t="shared" si="118"/>
        <v>36763.46</v>
      </c>
      <c r="AM431" s="461"/>
      <c r="AN431" s="459">
        <f t="shared" si="110"/>
        <v>2745.2200000000084</v>
      </c>
      <c r="AO431" s="466">
        <f t="shared" si="111"/>
        <v>7.4672514502171675E-2</v>
      </c>
      <c r="AP431" s="94"/>
      <c r="AQ431" s="622">
        <v>185602.45</v>
      </c>
      <c r="AR431" s="512">
        <f t="shared" si="112"/>
        <v>-146093.77000000002</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0.5229812767490486</v>
      </c>
      <c r="Y433" s="472"/>
      <c r="Z433" s="474">
        <f>SUM(Z420:Z432)</f>
        <v>1252924.8779425565</v>
      </c>
      <c r="AA433" s="473"/>
      <c r="AB433" s="472"/>
      <c r="AC433" s="474"/>
      <c r="AD433" s="475">
        <f>AF433/AF407</f>
        <v>0.49273058247672608</v>
      </c>
      <c r="AE433" s="480"/>
      <c r="AF433" s="474">
        <f>SUM(AF420:AF432)</f>
        <v>1152040.1499999999</v>
      </c>
      <c r="AG433" s="481"/>
      <c r="AH433" s="477">
        <f t="shared" si="114"/>
        <v>-100884.72794255661</v>
      </c>
      <c r="AI433" s="473">
        <f>AH433/Z433</f>
        <v>-8.0519374879219147E-2</v>
      </c>
      <c r="AJ433" s="475">
        <f>IF($AL$407=0,0,AL433/$AL$407)</f>
        <v>0.49830311209334682</v>
      </c>
      <c r="AK433" s="472"/>
      <c r="AL433" s="474">
        <f>SUM(AL420:AL432)</f>
        <v>1152395.46</v>
      </c>
      <c r="AM433" s="482"/>
      <c r="AN433" s="477">
        <f t="shared" ref="AN433:AN451" si="119">AF433-AL433</f>
        <v>-355.31000000005588</v>
      </c>
      <c r="AO433" s="454">
        <f t="shared" ref="AO433:AO461" si="120">IF(AL433=0,0,AN433/AL433)</f>
        <v>-3.083229779472195E-4</v>
      </c>
      <c r="AP433" s="94"/>
      <c r="AQ433" s="624">
        <v>3367938.6900000004</v>
      </c>
      <c r="AR433" s="625">
        <f t="shared" si="112"/>
        <v>-2215898.5400000005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64902.418451224643</v>
      </c>
      <c r="AA434" s="484"/>
      <c r="AB434" s="484"/>
      <c r="AC434" s="485"/>
      <c r="AD434" s="486"/>
      <c r="AE434" s="487"/>
      <c r="AF434" s="485">
        <f t="shared" ref="AF434:AF447" si="122">+SUMIF($C:$C,$V434,L:L)</f>
        <v>88897.57</v>
      </c>
      <c r="AG434" s="486"/>
      <c r="AH434" s="488">
        <f t="shared" si="114"/>
        <v>23995.151548775364</v>
      </c>
      <c r="AI434" s="489">
        <f t="shared" ref="AI434:AI451" si="123">IF(Z434=0,0,AH434/Z434)</f>
        <v>0.36971120832435789</v>
      </c>
      <c r="AJ434" s="486"/>
      <c r="AK434" s="484"/>
      <c r="AL434" s="485">
        <f t="shared" ref="AL434:AL447" si="124">+SUMIF($C:$C,$V434,Q:Q)</f>
        <v>67008.570000000007</v>
      </c>
      <c r="AM434" s="490"/>
      <c r="AN434" s="488">
        <f t="shared" si="119"/>
        <v>21889</v>
      </c>
      <c r="AO434" s="462">
        <f t="shared" si="120"/>
        <v>0.32665970934762523</v>
      </c>
      <c r="AP434" s="94"/>
      <c r="AQ434" s="628">
        <v>176878.05000000002</v>
      </c>
      <c r="AR434" s="506">
        <f t="shared" si="112"/>
        <v>-87980.48000000001</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18181.524651222833</v>
      </c>
      <c r="AA435" s="456"/>
      <c r="AB435" s="456"/>
      <c r="AC435" s="457"/>
      <c r="AD435" s="465"/>
      <c r="AE435" s="464"/>
      <c r="AF435" s="457">
        <f t="shared" si="122"/>
        <v>33464.19</v>
      </c>
      <c r="AG435" s="458"/>
      <c r="AH435" s="459">
        <f t="shared" si="114"/>
        <v>15282.665348777169</v>
      </c>
      <c r="AI435" s="460">
        <f t="shared" si="123"/>
        <v>0.84056016433964487</v>
      </c>
      <c r="AJ435" s="465"/>
      <c r="AK435" s="456"/>
      <c r="AL435" s="457">
        <f t="shared" si="124"/>
        <v>5521.2199999999993</v>
      </c>
      <c r="AM435" s="461"/>
      <c r="AN435" s="459">
        <f t="shared" si="119"/>
        <v>27942.97</v>
      </c>
      <c r="AO435" s="466">
        <f t="shared" si="120"/>
        <v>5.0610136890035182</v>
      </c>
      <c r="AP435" s="94"/>
      <c r="AQ435" s="622">
        <v>67659.239999999991</v>
      </c>
      <c r="AR435" s="512">
        <f t="shared" si="112"/>
        <v>-34195.049999999988</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98837.058666666679</v>
      </c>
      <c r="AA436" s="440"/>
      <c r="AB436" s="440"/>
      <c r="AC436" s="441"/>
      <c r="AD436" s="469"/>
      <c r="AE436" s="468"/>
      <c r="AF436" s="441">
        <f t="shared" si="122"/>
        <v>89272.049999999988</v>
      </c>
      <c r="AG436" s="442"/>
      <c r="AH436" s="443">
        <f t="shared" si="114"/>
        <v>-9565.0086666666903</v>
      </c>
      <c r="AI436" s="470">
        <f t="shared" si="123"/>
        <v>-9.6775529297418686E-2</v>
      </c>
      <c r="AJ436" s="469"/>
      <c r="AK436" s="440"/>
      <c r="AL436" s="441">
        <f t="shared" si="124"/>
        <v>83026.62</v>
      </c>
      <c r="AM436" s="445"/>
      <c r="AN436" s="443">
        <f t="shared" si="119"/>
        <v>6245.429999999993</v>
      </c>
      <c r="AO436" s="446">
        <f t="shared" si="120"/>
        <v>7.522201915482038E-2</v>
      </c>
      <c r="AP436" s="94"/>
      <c r="AQ436" s="623">
        <v>276796.59999999998</v>
      </c>
      <c r="AR436" s="620">
        <f t="shared" si="112"/>
        <v>-187524.55</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89608.320575111109</v>
      </c>
      <c r="AA437" s="456"/>
      <c r="AB437" s="456"/>
      <c r="AC437" s="457"/>
      <c r="AD437" s="465"/>
      <c r="AE437" s="464"/>
      <c r="AF437" s="457">
        <f t="shared" si="122"/>
        <v>93516.950000000012</v>
      </c>
      <c r="AG437" s="458"/>
      <c r="AH437" s="459">
        <f t="shared" si="114"/>
        <v>3908.6294248889026</v>
      </c>
      <c r="AI437" s="460">
        <f t="shared" si="123"/>
        <v>4.3619045639993081E-2</v>
      </c>
      <c r="AJ437" s="465"/>
      <c r="AK437" s="456"/>
      <c r="AL437" s="457">
        <f t="shared" si="124"/>
        <v>86572.12</v>
      </c>
      <c r="AM437" s="461"/>
      <c r="AN437" s="459">
        <f t="shared" si="119"/>
        <v>6944.8300000000163</v>
      </c>
      <c r="AO437" s="466">
        <f t="shared" si="120"/>
        <v>8.0220167878527371E-2</v>
      </c>
      <c r="AP437" s="94"/>
      <c r="AQ437" s="622">
        <v>239193.79</v>
      </c>
      <c r="AR437" s="512">
        <f t="shared" si="112"/>
        <v>-145676.84</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15622.230529944445</v>
      </c>
      <c r="AA438" s="456"/>
      <c r="AB438" s="456"/>
      <c r="AC438" s="457"/>
      <c r="AD438" s="465"/>
      <c r="AE438" s="464"/>
      <c r="AF438" s="457">
        <f t="shared" si="122"/>
        <v>17056.730000000003</v>
      </c>
      <c r="AG438" s="458"/>
      <c r="AH438" s="459">
        <f t="shared" si="114"/>
        <v>1434.499470055558</v>
      </c>
      <c r="AI438" s="460">
        <f t="shared" si="123"/>
        <v>9.1824241570749587E-2</v>
      </c>
      <c r="AJ438" s="465"/>
      <c r="AK438" s="456"/>
      <c r="AL438" s="457">
        <f t="shared" si="124"/>
        <v>15254.72</v>
      </c>
      <c r="AM438" s="461"/>
      <c r="AN438" s="459">
        <f t="shared" si="119"/>
        <v>1802.0100000000039</v>
      </c>
      <c r="AO438" s="466">
        <f t="shared" si="120"/>
        <v>0.11812802857082948</v>
      </c>
      <c r="AP438" s="94"/>
      <c r="AQ438" s="622">
        <v>42486.400000000001</v>
      </c>
      <c r="AR438" s="512">
        <f t="shared" si="112"/>
        <v>-25429.67</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135672.21839043713</v>
      </c>
      <c r="AA439" s="456"/>
      <c r="AB439" s="456"/>
      <c r="AC439" s="457"/>
      <c r="AD439" s="465"/>
      <c r="AE439" s="464"/>
      <c r="AF439" s="457">
        <f t="shared" si="122"/>
        <v>170219.13</v>
      </c>
      <c r="AG439" s="458"/>
      <c r="AH439" s="459">
        <f t="shared" si="114"/>
        <v>34546.911609562871</v>
      </c>
      <c r="AI439" s="460">
        <f t="shared" si="123"/>
        <v>0.25463511999298089</v>
      </c>
      <c r="AJ439" s="465"/>
      <c r="AK439" s="456"/>
      <c r="AL439" s="457">
        <f t="shared" si="124"/>
        <v>128965.32</v>
      </c>
      <c r="AM439" s="461"/>
      <c r="AN439" s="459">
        <f t="shared" si="119"/>
        <v>41253.81</v>
      </c>
      <c r="AO439" s="466">
        <f t="shared" si="120"/>
        <v>0.31988297319000175</v>
      </c>
      <c r="AP439" s="94"/>
      <c r="AQ439" s="622">
        <v>240398.68</v>
      </c>
      <c r="AR439" s="512">
        <f t="shared" si="112"/>
        <v>-70179.549999999988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21010.760622222228</v>
      </c>
      <c r="AA441" s="456"/>
      <c r="AB441" s="464"/>
      <c r="AC441" s="457"/>
      <c r="AD441" s="465"/>
      <c r="AE441" s="464"/>
      <c r="AF441" s="457">
        <f t="shared" si="122"/>
        <v>21625.360000000001</v>
      </c>
      <c r="AG441" s="458"/>
      <c r="AH441" s="459">
        <f t="shared" si="114"/>
        <v>614.59937777777304</v>
      </c>
      <c r="AI441" s="460">
        <f t="shared" si="123"/>
        <v>2.9251648182966602E-2</v>
      </c>
      <c r="AJ441" s="465"/>
      <c r="AK441" s="456"/>
      <c r="AL441" s="457">
        <f t="shared" si="124"/>
        <v>22806.12</v>
      </c>
      <c r="AM441" s="461"/>
      <c r="AN441" s="459">
        <f t="shared" si="119"/>
        <v>-1180.7599999999984</v>
      </c>
      <c r="AO441" s="466">
        <f t="shared" si="120"/>
        <v>-5.1773822114414836E-2</v>
      </c>
      <c r="AP441" s="94"/>
      <c r="AQ441" s="622">
        <v>30518.469999999998</v>
      </c>
      <c r="AR441" s="512">
        <f t="shared" si="112"/>
        <v>-8893.1099999999969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5335.1949604790016</v>
      </c>
      <c r="AA442" s="456"/>
      <c r="AB442" s="456"/>
      <c r="AC442" s="457"/>
      <c r="AD442" s="465"/>
      <c r="AE442" s="464"/>
      <c r="AF442" s="457">
        <f t="shared" si="122"/>
        <v>3472.6</v>
      </c>
      <c r="AG442" s="458"/>
      <c r="AH442" s="459">
        <f t="shared" si="114"/>
        <v>-1862.5949604790017</v>
      </c>
      <c r="AI442" s="479">
        <f t="shared" si="123"/>
        <v>-0.34911469482865443</v>
      </c>
      <c r="AJ442" s="465"/>
      <c r="AK442" s="456"/>
      <c r="AL442" s="457">
        <f t="shared" si="124"/>
        <v>3865.85</v>
      </c>
      <c r="AM442" s="461"/>
      <c r="AN442" s="459">
        <f t="shared" si="119"/>
        <v>-393.25</v>
      </c>
      <c r="AO442" s="466">
        <f t="shared" si="120"/>
        <v>-0.10172407103224389</v>
      </c>
      <c r="AP442" s="94"/>
      <c r="AQ442" s="622">
        <v>14808.84</v>
      </c>
      <c r="AR442" s="512">
        <f t="shared" si="112"/>
        <v>-11336.24</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11043.001541864</v>
      </c>
      <c r="AA443" s="456"/>
      <c r="AB443" s="456"/>
      <c r="AC443" s="457"/>
      <c r="AD443" s="465"/>
      <c r="AE443" s="464"/>
      <c r="AF443" s="457">
        <f t="shared" si="122"/>
        <v>6565.17</v>
      </c>
      <c r="AG443" s="458"/>
      <c r="AH443" s="459">
        <f t="shared" si="114"/>
        <v>-4477.8315418639995</v>
      </c>
      <c r="AI443" s="460">
        <f t="shared" si="123"/>
        <v>-0.40549043888915054</v>
      </c>
      <c r="AJ443" s="465"/>
      <c r="AK443" s="456"/>
      <c r="AL443" s="457">
        <f t="shared" si="124"/>
        <v>8235.7199999999993</v>
      </c>
      <c r="AM443" s="461"/>
      <c r="AN443" s="459">
        <f t="shared" si="119"/>
        <v>-1670.5499999999993</v>
      </c>
      <c r="AO443" s="466">
        <f t="shared" si="120"/>
        <v>-0.20284201017033113</v>
      </c>
      <c r="AP443" s="94"/>
      <c r="AQ443" s="622">
        <v>30323.510000000002</v>
      </c>
      <c r="AR443" s="512">
        <f t="shared" si="112"/>
        <v>-23758.340000000004</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2938.7230414747778</v>
      </c>
      <c r="AA444" s="456"/>
      <c r="AB444" s="456"/>
      <c r="AC444" s="457"/>
      <c r="AD444" s="465"/>
      <c r="AE444" s="464"/>
      <c r="AF444" s="457">
        <f t="shared" si="122"/>
        <v>3499.9399999999996</v>
      </c>
      <c r="AG444" s="458"/>
      <c r="AH444" s="459">
        <f t="shared" si="114"/>
        <v>561.2169585252218</v>
      </c>
      <c r="AI444" s="479">
        <f t="shared" si="123"/>
        <v>0.19097306912038195</v>
      </c>
      <c r="AJ444" s="465"/>
      <c r="AK444" s="456"/>
      <c r="AL444" s="457">
        <f t="shared" si="124"/>
        <v>2758.04</v>
      </c>
      <c r="AM444" s="461"/>
      <c r="AN444" s="459">
        <f t="shared" si="119"/>
        <v>741.89999999999964</v>
      </c>
      <c r="AO444" s="466">
        <f t="shared" si="120"/>
        <v>0.26899537352612712</v>
      </c>
      <c r="AP444" s="94"/>
      <c r="AQ444" s="622">
        <v>8588.4900000000016</v>
      </c>
      <c r="AR444" s="512">
        <f t="shared" si="112"/>
        <v>-5088.550000000002</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940.84624860522183</v>
      </c>
      <c r="AA445" s="456"/>
      <c r="AB445" s="456"/>
      <c r="AC445" s="457"/>
      <c r="AD445" s="465"/>
      <c r="AE445" s="464"/>
      <c r="AF445" s="457">
        <f t="shared" si="122"/>
        <v>3731.5100000000007</v>
      </c>
      <c r="AG445" s="458"/>
      <c r="AH445" s="459">
        <f t="shared" si="114"/>
        <v>2790.663751394779</v>
      </c>
      <c r="AI445" s="460">
        <f t="shared" si="123"/>
        <v>2.9661209315888324</v>
      </c>
      <c r="AJ445" s="465"/>
      <c r="AK445" s="456"/>
      <c r="AL445" s="457">
        <f t="shared" si="124"/>
        <v>1298.2899999999997</v>
      </c>
      <c r="AM445" s="461"/>
      <c r="AN445" s="459">
        <f t="shared" si="119"/>
        <v>2433.2200000000012</v>
      </c>
      <c r="AO445" s="466">
        <f t="shared" si="120"/>
        <v>1.8741729505734479</v>
      </c>
      <c r="AP445" s="94"/>
      <c r="AQ445" s="622">
        <v>3965.16</v>
      </c>
      <c r="AR445" s="512">
        <f t="shared" si="112"/>
        <v>-233.64999999999918</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2881.5567945992225</v>
      </c>
      <c r="AA446" s="456"/>
      <c r="AB446" s="464"/>
      <c r="AC446" s="457"/>
      <c r="AD446" s="465"/>
      <c r="AE446" s="464"/>
      <c r="AF446" s="457">
        <f t="shared" si="122"/>
        <v>1102.8800000000001</v>
      </c>
      <c r="AG446" s="458"/>
      <c r="AH446" s="459">
        <f t="shared" si="114"/>
        <v>-1778.6767945992224</v>
      </c>
      <c r="AI446" s="479">
        <f t="shared" si="123"/>
        <v>-0.61726244574908939</v>
      </c>
      <c r="AJ446" s="465"/>
      <c r="AK446" s="456"/>
      <c r="AL446" s="457">
        <f t="shared" si="124"/>
        <v>2396.38</v>
      </c>
      <c r="AM446" s="461"/>
      <c r="AN446" s="459">
        <f t="shared" si="119"/>
        <v>-1293.5</v>
      </c>
      <c r="AO446" s="466">
        <f t="shared" si="120"/>
        <v>-0.53977249017267714</v>
      </c>
      <c r="AP446" s="94"/>
      <c r="AQ446" s="622">
        <v>9676.7800000000007</v>
      </c>
      <c r="AR446" s="512">
        <f t="shared" si="112"/>
        <v>-8573.9000000000015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23096.548174203064</v>
      </c>
      <c r="AA447" s="456"/>
      <c r="AB447" s="464"/>
      <c r="AC447" s="457"/>
      <c r="AD447" s="465"/>
      <c r="AE447" s="464"/>
      <c r="AF447" s="457">
        <f t="shared" si="122"/>
        <v>17728.610000000004</v>
      </c>
      <c r="AG447" s="458"/>
      <c r="AH447" s="1015">
        <f t="shared" si="114"/>
        <v>-5367.93817420306</v>
      </c>
      <c r="AI447" s="460">
        <f t="shared" si="123"/>
        <v>-0.2324130053424435</v>
      </c>
      <c r="AJ447" s="465"/>
      <c r="AK447" s="456"/>
      <c r="AL447" s="457">
        <f t="shared" si="124"/>
        <v>18161.78</v>
      </c>
      <c r="AM447" s="461"/>
      <c r="AN447" s="459">
        <f t="shared" si="119"/>
        <v>-433.16999999999462</v>
      </c>
      <c r="AO447" s="466">
        <f t="shared" si="120"/>
        <v>-2.3850635785699126E-2</v>
      </c>
      <c r="AP447" s="94"/>
      <c r="AQ447" s="622">
        <v>39202.850000000006</v>
      </c>
      <c r="AR447" s="512">
        <f t="shared" si="112"/>
        <v>-21474.240000000002</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27136.73969787953</v>
      </c>
      <c r="AA448" s="456"/>
      <c r="AB448" s="464"/>
      <c r="AC448" s="457"/>
      <c r="AD448" s="465"/>
      <c r="AE448" s="464"/>
      <c r="AF448" s="441">
        <f>SUMIFS(BV_Data_An_Cour!$P:$P,BV_Data_An_Cour!$V:$V,$V448)</f>
        <v>29603.32</v>
      </c>
      <c r="AG448" s="458"/>
      <c r="AH448" s="962">
        <f t="shared" si="114"/>
        <v>2466.5803021204702</v>
      </c>
      <c r="AI448" s="460">
        <f t="shared" si="123"/>
        <v>9.0894496891725324E-2</v>
      </c>
      <c r="AJ448" s="465"/>
      <c r="AK448" s="456"/>
      <c r="AL448" s="457" cm="1">
        <f t="array" ref="AL448">+SUMPRODUCT(('Réel 2024'!$A$8:$A$501=$A448)*('Réel 2024'!$C$3:$AO$3=Z$2),'Réel 2024'!$C$8:$AO$501)</f>
        <v>28956.689999999991</v>
      </c>
      <c r="AM448" s="461"/>
      <c r="AN448" s="459">
        <f t="shared" si="119"/>
        <v>646.63000000000829</v>
      </c>
      <c r="AO448" s="466">
        <f t="shared" si="120"/>
        <v>2.2330936305220261E-2</v>
      </c>
      <c r="AP448" s="94"/>
      <c r="AQ448" s="623">
        <v>99368.799999999988</v>
      </c>
      <c r="AR448" s="620">
        <f t="shared" si="112"/>
        <v>-69765.479999999981</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0.21588656782997065</v>
      </c>
      <c r="Y452" s="472"/>
      <c r="Z452" s="474">
        <f>+SUM(Z434:Z451)</f>
        <v>517207.14234593388</v>
      </c>
      <c r="AA452" s="473"/>
      <c r="AB452" s="472"/>
      <c r="AC452" s="474"/>
      <c r="AD452" s="475">
        <f>AF452/AF407</f>
        <v>0.24796316039999353</v>
      </c>
      <c r="AE452" s="472"/>
      <c r="AF452" s="474">
        <f>+SUM(AF434:AF451)</f>
        <v>579756.00999999989</v>
      </c>
      <c r="AG452" s="481"/>
      <c r="AH452" s="1012">
        <f>+SUM(AH434:AH451)</f>
        <v>62548.867654066118</v>
      </c>
      <c r="AI452" s="473">
        <f>AH452/Z452</f>
        <v>0.12093581571661731</v>
      </c>
      <c r="AJ452" s="475">
        <f>IF($AL$407=0,0,AL452/$AL$407)</f>
        <v>0.20531839917116376</v>
      </c>
      <c r="AK452" s="473"/>
      <c r="AL452" s="474">
        <f>+SUM(AL434:AL451)</f>
        <v>474827.43999999989</v>
      </c>
      <c r="AM452" s="482"/>
      <c r="AN452" s="477">
        <f>+SUM(AN434:AN451)</f>
        <v>104928.57000000002</v>
      </c>
      <c r="AO452" s="495">
        <f t="shared" si="120"/>
        <v>0.22098253209629176</v>
      </c>
      <c r="AP452" s="94"/>
      <c r="AQ452" s="624">
        <v>1279865.6600000001</v>
      </c>
      <c r="AR452" s="625">
        <f t="shared" si="112"/>
        <v>-700109.65000000026</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144000</v>
      </c>
      <c r="AA453" s="456"/>
      <c r="AB453" s="464"/>
      <c r="AC453" s="457"/>
      <c r="AD453" s="465"/>
      <c r="AE453" s="464"/>
      <c r="AF453" s="457">
        <f>SUMIFS(BV_Data_An_Cour!$P:$P,BV_Data_An_Cour!$V:$V,$V453)</f>
        <v>144000</v>
      </c>
      <c r="AG453" s="458"/>
      <c r="AH453" s="459">
        <f t="shared" ref="AH453:AH461" si="126">AF453-Z453</f>
        <v>0</v>
      </c>
      <c r="AI453" s="460">
        <f t="shared" ref="AI453:AI461" si="127">IF(Z453=0,0,AH453/Z453)</f>
        <v>0</v>
      </c>
      <c r="AJ453" s="465"/>
      <c r="AK453" s="456"/>
      <c r="AL453" s="457" cm="1">
        <f t="array" ref="AL453">+SUMPRODUCT(('Réel 2024'!$A$8:$A$501=$A453)*('Réel 2024'!$C$3:$AO$3=Z$2),'Réel 2024'!$C$8:$AO$501)</f>
        <v>144000</v>
      </c>
      <c r="AM453" s="461"/>
      <c r="AN453" s="459">
        <f t="shared" ref="AN453:AN461" si="128">AF453-AL453</f>
        <v>0</v>
      </c>
      <c r="AO453" s="466">
        <f t="shared" si="120"/>
        <v>0</v>
      </c>
      <c r="AP453" s="94"/>
      <c r="AQ453" s="622">
        <v>312000</v>
      </c>
      <c r="AR453" s="512">
        <f t="shared" si="112"/>
        <v>-168000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21693.760000000002</v>
      </c>
      <c r="AA454" s="456"/>
      <c r="AB454" s="464"/>
      <c r="AC454" s="457"/>
      <c r="AD454" s="465"/>
      <c r="AE454" s="464"/>
      <c r="AF454" s="457">
        <f>SUMIFS(BV_Data_An_Cour!$P:$P,BV_Data_An_Cour!$V:$V,$V454)</f>
        <v>21692</v>
      </c>
      <c r="AG454" s="458"/>
      <c r="AH454" s="459">
        <f t="shared" si="126"/>
        <v>-1.7600000000020373</v>
      </c>
      <c r="AI454" s="460">
        <f t="shared" si="127"/>
        <v>-8.1129320136391167E-5</v>
      </c>
      <c r="AJ454" s="465"/>
      <c r="AK454" s="456"/>
      <c r="AL454" s="457" cm="1">
        <f t="array" ref="AL454">+SUMPRODUCT(('Réel 2024'!$A$8:$A$501=$A454)*('Réel 2024'!$C$3:$AO$3=Z$2),'Réel 2024'!$C$8:$AO$501)</f>
        <v>20708</v>
      </c>
      <c r="AM454" s="461"/>
      <c r="AN454" s="459">
        <f t="shared" si="128"/>
        <v>984</v>
      </c>
      <c r="AO454" s="466">
        <f t="shared" si="120"/>
        <v>4.7517867490824803E-2</v>
      </c>
      <c r="AP454" s="94"/>
      <c r="AQ454" s="622">
        <v>59160</v>
      </c>
      <c r="AR454" s="512">
        <f t="shared" si="112"/>
        <v>-37468</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14435.520000000002</v>
      </c>
      <c r="AA455" s="440"/>
      <c r="AB455" s="468"/>
      <c r="AC455" s="441"/>
      <c r="AD455" s="469"/>
      <c r="AE455" s="468"/>
      <c r="AF455" s="441">
        <f>SUMIFS(BV_Data_An_Cour!$P:$P,BV_Data_An_Cour!$V:$V,$V455)</f>
        <v>17036</v>
      </c>
      <c r="AG455" s="442"/>
      <c r="AH455" s="443">
        <f t="shared" si="126"/>
        <v>2600.4799999999977</v>
      </c>
      <c r="AI455" s="470">
        <f t="shared" si="127"/>
        <v>0.18014453237569533</v>
      </c>
      <c r="AJ455" s="469"/>
      <c r="AK455" s="440"/>
      <c r="AL455" s="441" cm="1">
        <f t="array" ref="AL455">+SUMPRODUCT(('Réel 2024'!$A$8:$A$501=$A455)*('Réel 2024'!$C$3:$AO$3=Z$2),'Réel 2024'!$C$8:$AO$501)</f>
        <v>13780</v>
      </c>
      <c r="AM455" s="445"/>
      <c r="AN455" s="443">
        <f t="shared" si="128"/>
        <v>3256</v>
      </c>
      <c r="AO455" s="446">
        <f t="shared" si="120"/>
        <v>0.23628447024673441</v>
      </c>
      <c r="AP455" s="94"/>
      <c r="AQ455" s="623">
        <v>39360</v>
      </c>
      <c r="AR455" s="620">
        <f t="shared" si="112"/>
        <v>-22324</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17377</v>
      </c>
      <c r="AA457" s="440"/>
      <c r="AB457" s="468"/>
      <c r="AC457" s="441"/>
      <c r="AD457" s="469"/>
      <c r="AE457" s="468"/>
      <c r="AF457" s="441">
        <f>SUMIF(BV_Data_An_Cour!$V:$V,Print_AAD!$V457,BV_Data_An_Cour!$P:$P)</f>
        <v>17377</v>
      </c>
      <c r="AG457" s="442"/>
      <c r="AH457" s="443">
        <f t="shared" si="126"/>
        <v>0</v>
      </c>
      <c r="AI457" s="470">
        <f t="shared" si="127"/>
        <v>0</v>
      </c>
      <c r="AJ457" s="469"/>
      <c r="AK457" s="440"/>
      <c r="AL457" s="441" cm="1">
        <f t="array" ref="AL457">+SUMPRODUCT(('Réel 2024'!$A$8:$A$501=$A457)*('Réel 2024'!$C$3:$AO$3=Z$2),'Réel 2024'!$C$8:$AO$501)</f>
        <v>15572.32</v>
      </c>
      <c r="AM457" s="445"/>
      <c r="AN457" s="443">
        <f t="shared" si="128"/>
        <v>1804.6800000000003</v>
      </c>
      <c r="AO457" s="446">
        <f t="shared" si="120"/>
        <v>0.11589024628314858</v>
      </c>
      <c r="AP457" s="94"/>
      <c r="AQ457" s="623">
        <v>51252</v>
      </c>
      <c r="AR457" s="620">
        <f t="shared" si="112"/>
        <v>-33875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14800</v>
      </c>
      <c r="AA458" s="496"/>
      <c r="AB458" s="497"/>
      <c r="AC458" s="457"/>
      <c r="AD458" s="465"/>
      <c r="AE458" s="464"/>
      <c r="AF458" s="457">
        <f>SUMIFS(BV_Data_An_Cour!$P:$P,BV_Data_An_Cour!$V:$V,$V458)</f>
        <v>32384.020000000004</v>
      </c>
      <c r="AG458" s="458"/>
      <c r="AH458" s="459">
        <f t="shared" si="126"/>
        <v>17584.020000000004</v>
      </c>
      <c r="AI458" s="460">
        <f t="shared" si="127"/>
        <v>1.1881094594594597</v>
      </c>
      <c r="AJ458" s="465"/>
      <c r="AK458" s="456"/>
      <c r="AL458" s="457" cm="1">
        <f t="array" ref="AL458">+SUMPRODUCT(('Réel 2024'!$A$8:$A$501=$A458)*('Réel 2024'!$C$3:$AO$3=Z$2),'Réel 2024'!$C$8:$AO$501)</f>
        <v>21304.26999999999</v>
      </c>
      <c r="AM458" s="461"/>
      <c r="AN458" s="459">
        <f t="shared" si="128"/>
        <v>11079.750000000015</v>
      </c>
      <c r="AO458" s="466">
        <f t="shared" si="120"/>
        <v>0.52007179781330315</v>
      </c>
      <c r="AP458" s="94"/>
      <c r="AQ458" s="622">
        <v>28763.690000000002</v>
      </c>
      <c r="AR458" s="512">
        <f t="shared" si="112"/>
        <v>3620.3300000000017</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27136.2</v>
      </c>
      <c r="AA459" s="456"/>
      <c r="AB459" s="464"/>
      <c r="AC459" s="457"/>
      <c r="AD459" s="465"/>
      <c r="AE459" s="464"/>
      <c r="AF459" s="457">
        <f>SUMIFS(BV_Data_An_Cour!$P:$P,BV_Data_An_Cour!$V:$V,$V459)</f>
        <v>27111.279999999999</v>
      </c>
      <c r="AG459" s="458"/>
      <c r="AH459" s="459">
        <f t="shared" si="126"/>
        <v>-24.920000000001892</v>
      </c>
      <c r="AI459" s="460">
        <f t="shared" si="127"/>
        <v>-9.1833049579535418E-4</v>
      </c>
      <c r="AJ459" s="465"/>
      <c r="AK459" s="456"/>
      <c r="AL459" s="457" cm="1">
        <f t="array" ref="AL459">+SUMPRODUCT(('Réel 2024'!$A$8:$A$501=$A459)*('Réel 2024'!$C$3:$AO$3=Z$2),'Réel 2024'!$C$8:$AO$501)</f>
        <v>25693.31999999996</v>
      </c>
      <c r="AM459" s="461"/>
      <c r="AN459" s="459">
        <f t="shared" si="128"/>
        <v>1417.9600000000391</v>
      </c>
      <c r="AO459" s="466">
        <f t="shared" si="120"/>
        <v>5.5187885411462641E-2</v>
      </c>
      <c r="AP459" s="94"/>
      <c r="AQ459" s="622">
        <v>73723.959999999992</v>
      </c>
      <c r="AR459" s="512">
        <f t="shared" si="112"/>
        <v>-46612.679999999993</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5458.2493630581475</v>
      </c>
      <c r="AA460" s="440"/>
      <c r="AB460" s="468"/>
      <c r="AC460" s="441"/>
      <c r="AD460" s="469"/>
      <c r="AE460" s="468"/>
      <c r="AF460" s="441">
        <f>SUMIFS(BV_Data_An_Cour!$P:$P,BV_Data_An_Cour!$V:$V,$V460)</f>
        <v>2229.0300000000002</v>
      </c>
      <c r="AG460" s="442"/>
      <c r="AH460" s="443">
        <f t="shared" si="126"/>
        <v>-3229.2193630581473</v>
      </c>
      <c r="AI460" s="470">
        <f t="shared" si="127"/>
        <v>-0.59162180916719431</v>
      </c>
      <c r="AJ460" s="469"/>
      <c r="AK460" s="440"/>
      <c r="AL460" s="441" cm="1">
        <f t="array" ref="AL460">+SUMPRODUCT(('Réel 2024'!$A$8:$A$501=$A460)*('Réel 2024'!$C$3:$AO$3=Z$2),'Réel 2024'!$C$8:$AO$501)</f>
        <v>1746.7</v>
      </c>
      <c r="AM460" s="445"/>
      <c r="AN460" s="443">
        <f t="shared" si="128"/>
        <v>482.33000000000015</v>
      </c>
      <c r="AO460" s="446">
        <f t="shared" si="120"/>
        <v>0.27613785996450457</v>
      </c>
      <c r="AP460" s="94"/>
      <c r="AQ460" s="623">
        <v>18683.22</v>
      </c>
      <c r="AR460" s="620">
        <f t="shared" si="112"/>
        <v>-16454.190000000002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4000</v>
      </c>
      <c r="AA461" s="456"/>
      <c r="AB461" s="464"/>
      <c r="AC461" s="457"/>
      <c r="AD461" s="465"/>
      <c r="AE461" s="464"/>
      <c r="AF461" s="457">
        <f>SUMIFS(BV_Data_An_Cour!$P:$P,BV_Data_An_Cour!$V:$V,$V461)</f>
        <v>4102.57</v>
      </c>
      <c r="AG461" s="458"/>
      <c r="AH461" s="459">
        <f t="shared" si="126"/>
        <v>102.56999999999971</v>
      </c>
      <c r="AI461" s="498">
        <f t="shared" si="127"/>
        <v>2.5642499999999926E-2</v>
      </c>
      <c r="AJ461" s="456"/>
      <c r="AK461" s="456"/>
      <c r="AL461" s="457" cm="1">
        <f t="array" ref="AL461">+SUMPRODUCT(('Réel 2024'!$A$8:$A$501=$A461)*('Réel 2024'!$C$3:$AO$3=Z$2),'Réel 2024'!$C$8:$AO$501)</f>
        <v>3731.0000000000005</v>
      </c>
      <c r="AM461" s="461"/>
      <c r="AN461" s="459">
        <f t="shared" si="128"/>
        <v>371.56999999999925</v>
      </c>
      <c r="AO461" s="466">
        <f t="shared" si="120"/>
        <v>9.9589922272848894E-2</v>
      </c>
      <c r="AP461" s="94"/>
      <c r="AQ461" s="622">
        <v>0</v>
      </c>
      <c r="AR461" s="512">
        <f t="shared" si="112"/>
        <v>4102.57</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0.10389323695113792</v>
      </c>
      <c r="Y466" s="472"/>
      <c r="Z466" s="474">
        <f>SUM(Z453:Z465)</f>
        <v>248900.72936305817</v>
      </c>
      <c r="AA466" s="473"/>
      <c r="AB466" s="472"/>
      <c r="AC466" s="474"/>
      <c r="AD466" s="475">
        <f>AF466/AF407</f>
        <v>0.11373976851947608</v>
      </c>
      <c r="AE466" s="472"/>
      <c r="AF466" s="474">
        <f>SUM(AF453:AF465)</f>
        <v>265931.90000000002</v>
      </c>
      <c r="AG466" s="481"/>
      <c r="AH466" s="1012">
        <f>SUM(AH453:AH465)</f>
        <v>17031.17063694185</v>
      </c>
      <c r="AI466" s="473">
        <f>IF(Z466=0,0,AH466/Z466)</f>
        <v>6.8425555363075666E-2</v>
      </c>
      <c r="AJ466" s="475">
        <f>IF($AL$407=0,0,AL466/$AL$407)</f>
        <v>0.10660356272562166</v>
      </c>
      <c r="AK466" s="473"/>
      <c r="AL466" s="474">
        <f>SUM(AL453:AL465)</f>
        <v>246535.60999999996</v>
      </c>
      <c r="AM466" s="482"/>
      <c r="AN466" s="477">
        <f>SUM(AN453:AN465)</f>
        <v>19396.290000000055</v>
      </c>
      <c r="AO466" s="495">
        <f t="shared" ref="AO466:AO483" si="129">IF(AL466=0,0,AN466/AL466)</f>
        <v>7.8675409203563168E-2</v>
      </c>
      <c r="AP466" s="94"/>
      <c r="AQ466" s="624">
        <v>582942.87</v>
      </c>
      <c r="AR466" s="625">
        <f t="shared" si="112"/>
        <v>-317010.96999999997</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1.1274546284808971</v>
      </c>
      <c r="Y468" s="472"/>
      <c r="Z468" s="474">
        <f>Z419+Z433+Z452+Z466</f>
        <v>2701083.2233924102</v>
      </c>
      <c r="AA468" s="473"/>
      <c r="AB468" s="472"/>
      <c r="AC468" s="474"/>
      <c r="AD468" s="475">
        <f>AF468/AF407</f>
        <v>1.0696678627455776</v>
      </c>
      <c r="AE468" s="472"/>
      <c r="AF468" s="474">
        <f>AF419+AF433+AF452+AF466</f>
        <v>2500961.7199999997</v>
      </c>
      <c r="AG468" s="481"/>
      <c r="AH468" s="477">
        <f t="shared" si="130"/>
        <v>-200121.50339241046</v>
      </c>
      <c r="AI468" s="473">
        <f>AH468/Z468</f>
        <v>-7.408935113856617E-2</v>
      </c>
      <c r="AJ468" s="475">
        <f>IF($AL$407=0,0,AL468/$AL$407)</f>
        <v>1.0946860632623472</v>
      </c>
      <c r="AK468" s="473"/>
      <c r="AL468" s="474">
        <f>AL419+AL433+AL452+AL466</f>
        <v>2531614.2299999995</v>
      </c>
      <c r="AM468" s="482"/>
      <c r="AN468" s="477">
        <f t="shared" si="131"/>
        <v>-30652.509999999776</v>
      </c>
      <c r="AO468" s="454">
        <f t="shared" si="129"/>
        <v>-1.2107891335402939E-2</v>
      </c>
      <c r="AP468" s="94"/>
      <c r="AQ468" s="624">
        <v>6902902.9400000004</v>
      </c>
      <c r="AR468" s="625">
        <f t="shared" ref="AR468:AR481" si="132">AF468-AQ468</f>
        <v>-4401941.2200000007</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30000</v>
      </c>
      <c r="AA469" s="502"/>
      <c r="AB469" s="503"/>
      <c r="AC469" s="485"/>
      <c r="AD469" s="504"/>
      <c r="AE469" s="503"/>
      <c r="AF469" s="457">
        <f>-SUMIFS(BV_Data_An_Cour!$P:$P,BV_Data_An_Cour!$V:$V,$V469)</f>
        <v>71094.77</v>
      </c>
      <c r="AG469" s="505"/>
      <c r="AH469" s="459">
        <f t="shared" si="130"/>
        <v>41094.770000000004</v>
      </c>
      <c r="AI469" s="498">
        <f>IF(AH469=0,0,AH469/Z469)</f>
        <v>1.3698256666666668</v>
      </c>
      <c r="AJ469" s="504"/>
      <c r="AK469" s="502"/>
      <c r="AL469" s="506" cm="1">
        <f t="array" ref="AL469">+SUMPRODUCT(('Réel 2024'!$A$8:$A$501=$A469)*('Réel 2024'!$C$3:$AO$3=Z$2),'Réel 2024'!$C$8:$AO$501)</f>
        <v>71847.53</v>
      </c>
      <c r="AM469" s="507"/>
      <c r="AN469" s="459">
        <f t="shared" si="131"/>
        <v>-752.75999999999476</v>
      </c>
      <c r="AO469" s="466">
        <f t="shared" si="129"/>
        <v>-1.0477186898422183E-2</v>
      </c>
      <c r="AP469" s="94"/>
      <c r="AQ469" s="622">
        <v>275258.11</v>
      </c>
      <c r="AR469" s="512">
        <f t="shared" si="132"/>
        <v>-204163.33999999997</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319645.85787632875</v>
      </c>
      <c r="AA470" s="496"/>
      <c r="AB470" s="497"/>
      <c r="AC470" s="457"/>
      <c r="AD470" s="511"/>
      <c r="AE470" s="497"/>
      <c r="AF470" s="457">
        <f t="shared" ref="AF470:AF480" si="134">+SUMIF($C:$C,$V470,L:L)</f>
        <v>277549</v>
      </c>
      <c r="AG470" s="510"/>
      <c r="AH470" s="459">
        <f t="shared" si="130"/>
        <v>-42096.857876328751</v>
      </c>
      <c r="AI470" s="479">
        <f>IF(Z470=0,0,AH470/Z470)</f>
        <v>-0.13169843074461507</v>
      </c>
      <c r="AJ470" s="511"/>
      <c r="AK470" s="496"/>
      <c r="AL470" s="512">
        <f t="shared" ref="AL470:AL476" si="135">+SUMIF($C:$C,$V470,Q:Q)</f>
        <v>333038.7</v>
      </c>
      <c r="AM470" s="508"/>
      <c r="AN470" s="459">
        <f t="shared" si="131"/>
        <v>-55489.700000000012</v>
      </c>
      <c r="AO470" s="466">
        <f t="shared" si="129"/>
        <v>-0.16661637221139769</v>
      </c>
      <c r="AP470" s="94"/>
      <c r="AQ470" s="622">
        <v>693962.92</v>
      </c>
      <c r="AR470" s="512">
        <f t="shared" si="132"/>
        <v>-416413.92000000004</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25000</v>
      </c>
      <c r="AA471" s="496"/>
      <c r="AB471" s="497"/>
      <c r="AC471" s="457"/>
      <c r="AD471" s="511"/>
      <c r="AE471" s="497"/>
      <c r="AF471" s="457">
        <f t="shared" si="134"/>
        <v>0</v>
      </c>
      <c r="AG471" s="510"/>
      <c r="AH471" s="459">
        <f t="shared" si="130"/>
        <v>-25000</v>
      </c>
      <c r="AI471" s="479">
        <f t="shared" ref="AI471:AI480" si="136">IF(AH471=0,0,AH471/Z471)</f>
        <v>-1</v>
      </c>
      <c r="AJ471" s="511"/>
      <c r="AK471" s="496"/>
      <c r="AL471" s="512">
        <f t="shared" si="135"/>
        <v>695</v>
      </c>
      <c r="AM471" s="508"/>
      <c r="AN471" s="459">
        <f t="shared" si="131"/>
        <v>-695</v>
      </c>
      <c r="AO471" s="466">
        <f t="shared" si="129"/>
        <v>-1</v>
      </c>
      <c r="AP471" s="94"/>
      <c r="AQ471" s="622">
        <v>43300</v>
      </c>
      <c r="AR471" s="512">
        <f t="shared" si="132"/>
        <v>-43300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146272.44999999998</v>
      </c>
      <c r="AA480" s="496"/>
      <c r="AB480" s="497"/>
      <c r="AC480" s="457"/>
      <c r="AD480" s="511"/>
      <c r="AE480" s="497"/>
      <c r="AF480" s="457">
        <f t="shared" si="134"/>
        <v>136551</v>
      </c>
      <c r="AG480" s="510"/>
      <c r="AH480" s="459">
        <f t="shared" si="130"/>
        <v>-9721.4499999999825</v>
      </c>
      <c r="AI480" s="479">
        <f t="shared" si="136"/>
        <v>-6.6461250905416464E-2</v>
      </c>
      <c r="AJ480" s="511"/>
      <c r="AK480" s="496"/>
      <c r="AL480" s="512" cm="1">
        <f t="array" ref="AL480">+SUMPRODUCT(('Réel 2024'!$A$8:$A$501=$A480)*('Réel 2024'!$C$3:$AO$3=Z$2),'Réel 2024'!$C$8:$AO$501)</f>
        <v>149987</v>
      </c>
      <c r="AM480" s="508"/>
      <c r="AN480" s="459">
        <f t="shared" si="131"/>
        <v>-13436</v>
      </c>
      <c r="AO480" s="466">
        <f t="shared" si="129"/>
        <v>-8.9581097028409135E-2</v>
      </c>
      <c r="AP480" s="94"/>
      <c r="AQ480" s="622">
        <v>331468.49</v>
      </c>
      <c r="AR480" s="512">
        <f t="shared" si="132"/>
        <v>-194917.49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0.21743563922401948</v>
      </c>
      <c r="Y481" s="493"/>
      <c r="Z481" s="474">
        <f>SUM(Z469:Z480)</f>
        <v>520918.3078763287</v>
      </c>
      <c r="AA481" s="473"/>
      <c r="AB481" s="493"/>
      <c r="AC481" s="474"/>
      <c r="AD481" s="473">
        <f>AF481/+AF407</f>
        <v>0.20751907096012337</v>
      </c>
      <c r="AE481" s="493"/>
      <c r="AF481" s="474">
        <f>SUM(AF469:AF480)</f>
        <v>485194.77</v>
      </c>
      <c r="AG481" s="481"/>
      <c r="AH481" s="477">
        <f t="shared" si="130"/>
        <v>-35723.537876328686</v>
      </c>
      <c r="AI481" s="473">
        <f>AH481/Z481</f>
        <v>-6.8578004144192642E-2</v>
      </c>
      <c r="AJ481" s="514"/>
      <c r="AK481" s="515"/>
      <c r="AL481" s="474">
        <f>SUM(AL469:AL480)</f>
        <v>555568.23</v>
      </c>
      <c r="AM481" s="516"/>
      <c r="AN481" s="477">
        <f t="shared" si="131"/>
        <v>-70373.459999999963</v>
      </c>
      <c r="AO481" s="495">
        <f t="shared" si="129"/>
        <v>-0.12666933816571901</v>
      </c>
      <c r="AP481" s="94"/>
      <c r="AQ481" s="624">
        <v>1343989.52</v>
      </c>
      <c r="AR481" s="625">
        <f t="shared" si="132"/>
        <v>-858794.75</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1.078781554178671E-2</v>
      </c>
      <c r="Z483" s="534">
        <f>Z407-Z468+Z481</f>
        <v>215570.71335953823</v>
      </c>
      <c r="AA483" s="532"/>
      <c r="AB483" s="533"/>
      <c r="AC483" s="534"/>
      <c r="AD483" s="532" t="s">
        <v>219</v>
      </c>
      <c r="AE483" s="533">
        <f>AF483/AF406</f>
        <v>1.8597382887528584E-2</v>
      </c>
      <c r="AF483" s="535">
        <f>AF407-AF468+AF481</f>
        <v>322306.21000000089</v>
      </c>
      <c r="AG483" s="536"/>
      <c r="AH483" s="536">
        <f>AF483-Z483</f>
        <v>106735.49664046266</v>
      </c>
      <c r="AI483" s="537">
        <f>AH483/Z483</f>
        <v>0.49512985774855489</v>
      </c>
      <c r="AJ483" s="538" t="s">
        <v>219</v>
      </c>
      <c r="AK483" s="533">
        <f>IF($AL$406=0,0,AL483/$AL$406)</f>
        <v>1.5223418170193409E-2</v>
      </c>
      <c r="AL483" s="535">
        <f>AL407-AL468+AL481</f>
        <v>336593.49999999721</v>
      </c>
      <c r="AM483" s="539"/>
      <c r="AN483" s="535">
        <f t="shared" si="131"/>
        <v>-14287.289999996312</v>
      </c>
      <c r="AO483" s="540">
        <f t="shared" si="129"/>
        <v>-4.2446719856433446E-2</v>
      </c>
      <c r="AP483" s="94"/>
      <c r="AQ483" s="539">
        <v>2236846.7700000028</v>
      </c>
      <c r="AR483" s="543">
        <f>AF483-AQ483</f>
        <v>-1914540.5600000019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Avril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8.600000000000001"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1.9301427663846477E-2</v>
      </c>
      <c r="Z488" s="1186">
        <f>Z489+Z415</f>
        <v>385696.4845418355</v>
      </c>
      <c r="AA488" s="1184"/>
      <c r="AB488" s="1185"/>
      <c r="AC488" s="534"/>
      <c r="AD488" s="1184" t="s">
        <v>219</v>
      </c>
      <c r="AE488" s="1185">
        <f>AF488/AF406</f>
        <v>2.2397824782144329E-2</v>
      </c>
      <c r="AF488" s="1186">
        <f>AF489+AF415</f>
        <v>388170.64000000089</v>
      </c>
      <c r="AG488" s="536"/>
      <c r="AH488" s="536">
        <f t="shared" ref="AH488" si="137">AF488-Z488</f>
        <v>2474.1554581653909</v>
      </c>
      <c r="AI488" s="537">
        <f>AH488/Z488</f>
        <v>6.4147731631632897E-3</v>
      </c>
      <c r="AJ488" s="1184" t="s">
        <v>219</v>
      </c>
      <c r="AK488" s="1185">
        <f>IF($AL$406=0,0,AL488/$AL$406)</f>
        <v>2.2204400629372571E-2</v>
      </c>
      <c r="AL488" s="1186">
        <f>AL489+AL415</f>
        <v>490944.72999999719</v>
      </c>
      <c r="AM488" s="539"/>
      <c r="AN488" s="1186">
        <f t="shared" ref="AN488" si="138">AF488-AL488</f>
        <v>-102774.0899999963</v>
      </c>
      <c r="AO488" s="1187">
        <f t="shared" ref="AO488" si="139">IF(AL488=0,0,AN488/AL488)</f>
        <v>-0.20933943012281014</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8.60000000000000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1.078781554178671E-2</v>
      </c>
      <c r="Z489" s="534">
        <f>Z483</f>
        <v>215570.71335953823</v>
      </c>
      <c r="AA489" s="532"/>
      <c r="AB489" s="533"/>
      <c r="AC489" s="534"/>
      <c r="AD489" s="532" t="s">
        <v>219</v>
      </c>
      <c r="AE489" s="533">
        <f>AF489/AF406</f>
        <v>1.8597382887528584E-2</v>
      </c>
      <c r="AF489" s="534">
        <f>AF483</f>
        <v>322306.21000000089</v>
      </c>
      <c r="AG489" s="535"/>
      <c r="AH489" s="536">
        <f>AF489-Z489</f>
        <v>106735.49664046266</v>
      </c>
      <c r="AI489" s="537">
        <f>AH489/Z489</f>
        <v>0.49512985774855489</v>
      </c>
      <c r="AJ489" s="532" t="s">
        <v>219</v>
      </c>
      <c r="AK489" s="533">
        <f>IF($AL$406=0,0,AL489/$AL$406)</f>
        <v>1.5223418170193409E-2</v>
      </c>
      <c r="AL489" s="543">
        <f>AL483</f>
        <v>336593.49999999721</v>
      </c>
      <c r="AM489" s="544"/>
      <c r="AN489" s="545">
        <f>AF489-AL489</f>
        <v>-14287.289999996312</v>
      </c>
      <c r="AO489" s="546">
        <f>IF(AL489=0,0,AN489/AL489)</f>
        <v>-4.2446719856433446E-2</v>
      </c>
      <c r="AP489" s="94"/>
      <c r="AQ489" s="637">
        <v>2236846.7700000028</v>
      </c>
      <c r="AR489" s="543">
        <f>AF489-AQ489</f>
        <v>-1914540.5600000019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170592</v>
      </c>
      <c r="AA491" s="456"/>
      <c r="AB491" s="464"/>
      <c r="AC491" s="457"/>
      <c r="AD491" s="456"/>
      <c r="AE491" s="464"/>
      <c r="AF491" s="457">
        <f>SUMIFS(BV_Data_An_Cour!$P:$P,BV_Data_An_Cour!$V:$V,$V491)</f>
        <v>170592</v>
      </c>
      <c r="AG491" s="456"/>
      <c r="AH491" s="459">
        <f t="shared" ref="AH491:AH498" si="140">AF491-Z491</f>
        <v>0</v>
      </c>
      <c r="AI491" s="479">
        <f t="shared" ref="AI491:AI497" si="141">IF(Z491=0,0,AH491/Z491)</f>
        <v>0</v>
      </c>
      <c r="AJ491" s="456"/>
      <c r="AK491" s="456"/>
      <c r="AL491" s="457" cm="1">
        <f t="array" ref="AL491">+SUMPRODUCT(('Réel 2024'!$A$8:$A$501=$A491)*('Réel 2024'!$C$3:$AO$3=Z$2),'Réel 2024'!$C$8:$AO$501)</f>
        <v>25260</v>
      </c>
      <c r="AM491" s="461"/>
      <c r="AN491" s="459">
        <f t="shared" ref="AN491:AN498" si="142">AF491-AL491</f>
        <v>145332</v>
      </c>
      <c r="AO491" s="466">
        <f t="shared" ref="AO491:AO498" si="143">IF(AL491=0,0,AN491/AL491)</f>
        <v>5.7534441805225649</v>
      </c>
      <c r="AP491" s="94"/>
      <c r="AQ491" s="622">
        <v>51774</v>
      </c>
      <c r="AR491" s="512">
        <f t="shared" ref="AR491:AR493" si="144">AF491-AQ491</f>
        <v>118818</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-917.02</v>
      </c>
      <c r="AM493" s="551"/>
      <c r="AN493" s="459">
        <f t="shared" si="142"/>
        <v>917.02</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-4316.666666666667</v>
      </c>
      <c r="AA496" s="38"/>
      <c r="AB496" s="38"/>
      <c r="AC496" s="457"/>
      <c r="AD496" s="38"/>
      <c r="AE496" s="41"/>
      <c r="AF496" s="457">
        <f>SUMIFS(BV_Data_An_Cour!$P:$P,BV_Data_An_Cour!$V:$V,$V496)</f>
        <v>-4316</v>
      </c>
      <c r="AG496" s="38"/>
      <c r="AH496" s="459">
        <f t="shared" si="140"/>
        <v>0.66666666666696983</v>
      </c>
      <c r="AI496" s="479">
        <f t="shared" si="141"/>
        <v>-1.5444015444022465E-4</v>
      </c>
      <c r="AJ496" s="38"/>
      <c r="AK496" s="38"/>
      <c r="AL496" s="457" cm="1">
        <f t="array" ref="AL496">+SUMPRODUCT(('Réel 2024'!$A$8:$A$501=$A496)*('Réel 2024'!$C$3:$AO$3=Z$2),'Réel 2024'!$C$8:$AO$501)</f>
        <v>-20166.760000000002</v>
      </c>
      <c r="AM496" s="551"/>
      <c r="AN496" s="459">
        <f t="shared" si="142"/>
        <v>15850.760000000002</v>
      </c>
      <c r="AO496" s="466">
        <f t="shared" si="143"/>
        <v>-0.78598446155951673</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2.4668910655689753E-3</v>
      </c>
      <c r="Z498" s="534">
        <f>Z489-Z491-Z492-Z493-Z497-Z496</f>
        <v>49295.380026204897</v>
      </c>
      <c r="AA498" s="532"/>
      <c r="AB498" s="533"/>
      <c r="AC498" s="534"/>
      <c r="AD498" s="532" t="s">
        <v>219</v>
      </c>
      <c r="AE498" s="533">
        <f>AF498/AF406</f>
        <v>9.0030954023240812E-3</v>
      </c>
      <c r="AF498" s="535">
        <f>AF489-AF491-AF492-AF493-AF497-AF496</f>
        <v>156030.21000000089</v>
      </c>
      <c r="AG498" s="536"/>
      <c r="AH498" s="536">
        <f t="shared" si="140"/>
        <v>106734.829973796</v>
      </c>
      <c r="AI498" s="537">
        <f>AH498/Z498</f>
        <v>2.165209598081137</v>
      </c>
      <c r="AJ498" s="538" t="s">
        <v>219</v>
      </c>
      <c r="AK498" s="533">
        <f>IF($AL$406=0,0,AL498/$AL$406)</f>
        <v>1.5034536497104876E-2</v>
      </c>
      <c r="AL498" s="535">
        <f>AL489-AL491-AL492-AL493-AL497-AL496</f>
        <v>332417.27999999723</v>
      </c>
      <c r="AM498" s="539"/>
      <c r="AN498" s="535">
        <f t="shared" si="142"/>
        <v>-176387.06999999634</v>
      </c>
      <c r="AO498" s="553">
        <f t="shared" si="143"/>
        <v>-0.53061943711228787</v>
      </c>
      <c r="AP498" s="94"/>
      <c r="AQ498" s="544">
        <v>2179951.2900000028</v>
      </c>
      <c r="AR498" s="639">
        <f>AF498-AQ498</f>
        <v>-2023921.0800000019</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49295.380026204897</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15" width="6.8984375" customWidth="1"/>
    <col min="16"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47" t="s">
        <v>682</v>
      </c>
      <c r="C2" s="1248"/>
      <c r="D2" s="1249"/>
      <c r="E2" s="3"/>
      <c r="F2" s="1247" t="s">
        <v>683</v>
      </c>
      <c r="G2" s="1248"/>
      <c r="H2" s="1249"/>
      <c r="I2" s="3"/>
      <c r="J2" s="589" t="s">
        <v>655</v>
      </c>
      <c r="K2" s="3"/>
      <c r="L2" s="589" t="s">
        <v>684</v>
      </c>
      <c r="M2" s="3"/>
      <c r="N2" s="589" t="s">
        <v>685</v>
      </c>
      <c r="O2" s="3"/>
      <c r="P2" s="1247" t="s">
        <v>686</v>
      </c>
      <c r="Q2" s="1249"/>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4">
      <c r="A4" s="3" t="s">
        <v>182</v>
      </c>
      <c r="B4" s="565">
        <f>+Print_Mois!J295</f>
        <v>79614.17</v>
      </c>
      <c r="C4" s="590">
        <f t="shared" ref="C4:C9" si="0">D4/B4</f>
        <v>0.33377638679144678</v>
      </c>
      <c r="D4" s="565">
        <f>+Print_Mois!L295</f>
        <v>26573.329999999998</v>
      </c>
      <c r="E4" s="3"/>
      <c r="F4" s="565">
        <f>+Print_Mois!G295</f>
        <v>0</v>
      </c>
      <c r="G4" s="590" t="e">
        <f t="shared" ref="G4:G9" si="1">H4/F4</f>
        <v>#DIV/0!</v>
      </c>
      <c r="H4" s="565">
        <f>+Print_Mois!I295</f>
        <v>0</v>
      </c>
      <c r="I4" s="3"/>
      <c r="J4" s="566">
        <f t="shared" ref="J4:J11" si="2">+D4-H4</f>
        <v>26573.329999999998</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4">
      <c r="A5" s="3" t="s">
        <v>183</v>
      </c>
      <c r="B5" s="565">
        <f>+Print_Mois!J296</f>
        <v>5388.62</v>
      </c>
      <c r="C5" s="590">
        <f t="shared" si="0"/>
        <v>0.25085829024870926</v>
      </c>
      <c r="D5" s="565">
        <f>+Print_Mois!L296</f>
        <v>1351.7799999999997</v>
      </c>
      <c r="E5" s="3"/>
      <c r="F5" s="565">
        <f>+Print_Mois!G296</f>
        <v>0</v>
      </c>
      <c r="G5" s="590" t="e">
        <f t="shared" si="1"/>
        <v>#DIV/0!</v>
      </c>
      <c r="H5" s="565">
        <f>+Print_Mois!I296</f>
        <v>0</v>
      </c>
      <c r="I5" s="3"/>
      <c r="J5" s="566">
        <f t="shared" si="2"/>
        <v>1351.7799999999997</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4">
      <c r="A6" s="3" t="s">
        <v>184</v>
      </c>
      <c r="B6" s="565">
        <f>+Print_Mois!J297</f>
        <v>49369.33</v>
      </c>
      <c r="C6" s="590">
        <f t="shared" si="0"/>
        <v>0.24429944664025219</v>
      </c>
      <c r="D6" s="565">
        <f>+Print_Mois!L297</f>
        <v>12060.900000000001</v>
      </c>
      <c r="E6" s="3"/>
      <c r="F6" s="565">
        <f>+Print_Mois!G297</f>
        <v>0</v>
      </c>
      <c r="G6" s="590" t="e">
        <f t="shared" si="1"/>
        <v>#DIV/0!</v>
      </c>
      <c r="H6" s="565">
        <f>+Print_Mois!I297</f>
        <v>0</v>
      </c>
      <c r="I6" s="3"/>
      <c r="J6" s="566">
        <f t="shared" si="2"/>
        <v>12060.900000000001</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4">
      <c r="A7" s="3" t="s">
        <v>185</v>
      </c>
      <c r="B7" s="565">
        <f>+Print_Mois!J298</f>
        <v>51699.32</v>
      </c>
      <c r="C7" s="590">
        <f t="shared" si="0"/>
        <v>0.32751823428238519</v>
      </c>
      <c r="D7" s="565">
        <f>+Print_Mois!L298</f>
        <v>16932.47</v>
      </c>
      <c r="E7" s="3"/>
      <c r="F7" s="565">
        <f>+Print_Mois!G298</f>
        <v>0</v>
      </c>
      <c r="G7" s="590" t="e">
        <f t="shared" si="1"/>
        <v>#DIV/0!</v>
      </c>
      <c r="H7" s="565">
        <f>+Print_Mois!I298</f>
        <v>0</v>
      </c>
      <c r="I7" s="3"/>
      <c r="J7" s="566">
        <f t="shared" si="2"/>
        <v>16932.47</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4">
      <c r="A8" s="3" t="s">
        <v>186</v>
      </c>
      <c r="B8" s="565">
        <f>+Print_Mois!J299</f>
        <v>18999.689999999999</v>
      </c>
      <c r="C8" s="590">
        <f t="shared" si="0"/>
        <v>0.26101741659995498</v>
      </c>
      <c r="D8" s="565">
        <f>+Print_Mois!L299</f>
        <v>4959.2499999999982</v>
      </c>
      <c r="E8" s="3"/>
      <c r="F8" s="565">
        <f>+Print_Mois!G299</f>
        <v>0</v>
      </c>
      <c r="G8" s="590" t="e">
        <f t="shared" si="1"/>
        <v>#DIV/0!</v>
      </c>
      <c r="H8" s="565">
        <f>+Print_Mois!I299</f>
        <v>0</v>
      </c>
      <c r="I8" s="3"/>
      <c r="J8" s="566">
        <f t="shared" si="2"/>
        <v>4959.2499999999982</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4">
      <c r="A9" s="3" t="s">
        <v>187</v>
      </c>
      <c r="B9" s="565">
        <f>+Print_Mois!J300</f>
        <v>185450.93</v>
      </c>
      <c r="C9" s="590">
        <f t="shared" si="0"/>
        <v>0.13779882365647877</v>
      </c>
      <c r="D9" s="565">
        <f>+Print_Mois!L300</f>
        <v>25554.919999999987</v>
      </c>
      <c r="E9" s="3"/>
      <c r="F9" s="565">
        <f>+Print_Mois!G300</f>
        <v>0</v>
      </c>
      <c r="G9" s="590" t="e">
        <f t="shared" si="1"/>
        <v>#DIV/0!</v>
      </c>
      <c r="H9" s="565">
        <f>+Print_Mois!I300</f>
        <v>0</v>
      </c>
      <c r="I9" s="3"/>
      <c r="J9" s="566">
        <f t="shared" si="2"/>
        <v>25554.919999999987</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4">
      <c r="A10" s="3" t="s">
        <v>188</v>
      </c>
      <c r="B10" s="565"/>
      <c r="C10" s="590"/>
      <c r="D10" s="565">
        <f>+Print_Mois!L302</f>
        <v>8078.4499999999989</v>
      </c>
      <c r="E10" s="3"/>
      <c r="F10" s="565"/>
      <c r="G10" s="590"/>
      <c r="H10" s="565">
        <f>+Print_Mois!I302</f>
        <v>0</v>
      </c>
      <c r="I10" s="3"/>
      <c r="J10" s="566">
        <f t="shared" si="2"/>
        <v>8078.4499999999989</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4">
      <c r="A12" s="3" t="s">
        <v>190</v>
      </c>
      <c r="B12" s="591">
        <f>SUM(B4:B11)</f>
        <v>390522.06</v>
      </c>
      <c r="C12" s="592">
        <f>+D12/B12</f>
        <v>0.24457286740728545</v>
      </c>
      <c r="D12" s="591">
        <f>SUM(D4:D11)</f>
        <v>95511.099999999977</v>
      </c>
      <c r="E12" s="3"/>
      <c r="F12" s="591">
        <f>SUM(F4:F11)</f>
        <v>0</v>
      </c>
      <c r="G12" s="592" t="e">
        <f>+H12/F12</f>
        <v>#DIV/0!</v>
      </c>
      <c r="H12" s="591">
        <f>SUM(H4:H11)</f>
        <v>0</v>
      </c>
      <c r="I12" s="3"/>
      <c r="J12" s="591">
        <f>SUM(J4:J11)</f>
        <v>95511.099999999977</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4">
      <c r="A14" s="3" t="s">
        <v>191</v>
      </c>
      <c r="B14" s="565">
        <f>+Print_Mois!J307</f>
        <v>42082.240000000005</v>
      </c>
      <c r="C14" s="590">
        <f t="shared" ref="C14:C15" si="8">D14/B14</f>
        <v>0.16357636855832786</v>
      </c>
      <c r="D14" s="565">
        <f>+Print_Mois!L307</f>
        <v>6883.6600000000071</v>
      </c>
      <c r="E14" s="3"/>
      <c r="F14" s="565">
        <f>+Print_Mois!G307</f>
        <v>0</v>
      </c>
      <c r="G14" s="590" t="e">
        <f t="shared" ref="G14:G15" si="9">H14/F14</f>
        <v>#DIV/0!</v>
      </c>
      <c r="H14" s="565">
        <f>+Print_Mois!I307</f>
        <v>0</v>
      </c>
      <c r="I14" s="3"/>
      <c r="J14" s="566">
        <f t="shared" ref="J14:J15" si="10">+D14-H14</f>
        <v>6883.6600000000071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4">
      <c r="A15" s="3" t="s">
        <v>192</v>
      </c>
      <c r="B15" s="565">
        <f>+Print_Mois!J308</f>
        <v>27375.41</v>
      </c>
      <c r="C15" s="590">
        <f t="shared" si="8"/>
        <v>0.26588460227627642</v>
      </c>
      <c r="D15" s="565">
        <f>+Print_Mois!L308</f>
        <v>7278.7000000000007</v>
      </c>
      <c r="E15" s="3"/>
      <c r="F15" s="565">
        <f>+Print_Mois!G308</f>
        <v>0</v>
      </c>
      <c r="G15" s="590" t="e">
        <f t="shared" si="9"/>
        <v>#DIV/0!</v>
      </c>
      <c r="H15" s="565">
        <f>+Print_Mois!I308</f>
        <v>0</v>
      </c>
      <c r="I15" s="3"/>
      <c r="J15" s="566">
        <f t="shared" si="10"/>
        <v>7278.7000000000007</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4">
      <c r="A16" s="3" t="s">
        <v>193</v>
      </c>
      <c r="B16" s="593">
        <f>SUM(B14:B15)</f>
        <v>69457.650000000009</v>
      </c>
      <c r="C16" s="594">
        <f>+D16/B16</f>
        <v>0.20389921052612645</v>
      </c>
      <c r="D16" s="593">
        <f>SUM(D14:D15)</f>
        <v>14162.360000000008</v>
      </c>
      <c r="E16" s="3"/>
      <c r="F16" s="593">
        <f>SUM(F14:F15)</f>
        <v>0</v>
      </c>
      <c r="G16" s="594" t="e">
        <f>+H16/F16</f>
        <v>#DIV/0!</v>
      </c>
      <c r="H16" s="593">
        <f>SUM(H14:H15)</f>
        <v>0</v>
      </c>
      <c r="I16" s="3"/>
      <c r="J16" s="593">
        <f>SUM(J14:J15)</f>
        <v>14162.360000000008</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4">
      <c r="A18" s="3" t="s">
        <v>688</v>
      </c>
      <c r="B18" s="595">
        <f>+B12+B16</f>
        <v>459979.71</v>
      </c>
      <c r="C18" s="596">
        <f>+D18/B18</f>
        <v>0.23843108210142572</v>
      </c>
      <c r="D18" s="595">
        <f>+D12+D16</f>
        <v>109673.45999999999</v>
      </c>
      <c r="E18" s="3"/>
      <c r="F18" s="595">
        <f>+F12+F16</f>
        <v>0</v>
      </c>
      <c r="G18" s="596" t="e">
        <f>+H18/F18</f>
        <v>#DIV/0!</v>
      </c>
      <c r="H18" s="595">
        <f>+H12+H16</f>
        <v>0</v>
      </c>
      <c r="I18" s="3"/>
      <c r="J18" s="595">
        <f>+J12+J16</f>
        <v>109673.45999999999</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459979.71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59765625" defaultRowHeight="15" customHeight="1"/>
  <cols>
    <col min="1" max="1" width="3.19921875" customWidth="1"/>
    <col min="2" max="2" width="16.3984375" customWidth="1"/>
    <col min="3" max="5" width="11.09765625" customWidth="1"/>
    <col min="6" max="6" width="3.19921875" customWidth="1"/>
    <col min="7" max="7" width="16.3984375" customWidth="1"/>
    <col min="8" max="10" width="11.09765625" customWidth="1"/>
    <col min="11" max="11" width="3.19921875" customWidth="1"/>
    <col min="12" max="12" width="16.3984375" customWidth="1"/>
    <col min="13" max="15" width="11.09765625" customWidth="1"/>
    <col min="16" max="16" width="3.19921875" customWidth="1"/>
    <col min="17" max="17" width="16.3984375" customWidth="1"/>
    <col min="18" max="20" width="11.09765625" customWidth="1"/>
    <col min="21" max="26" width="11" customWidth="1"/>
  </cols>
  <sheetData>
    <row r="1" spans="1:26" ht="14.4">
      <c r="A1" s="3"/>
      <c r="B1" s="1244" t="s">
        <v>700</v>
      </c>
      <c r="C1" s="1245"/>
      <c r="D1" s="1245"/>
      <c r="E1" s="1245"/>
      <c r="F1" s="1245"/>
      <c r="G1" s="1245"/>
      <c r="H1" s="1245"/>
      <c r="I1" s="1245"/>
      <c r="J1" s="1245"/>
      <c r="K1" s="1245"/>
      <c r="L1" s="1245"/>
      <c r="M1" s="1245"/>
      <c r="N1" s="1245"/>
      <c r="O1" s="1245"/>
      <c r="P1" s="1245"/>
      <c r="Q1" s="1245"/>
      <c r="R1" s="1245"/>
      <c r="S1" s="1245"/>
      <c r="T1" s="1246"/>
      <c r="U1" s="3"/>
      <c r="V1" s="3"/>
      <c r="W1" s="3"/>
      <c r="X1" s="3"/>
      <c r="Y1" s="3"/>
      <c r="Z1" s="3"/>
    </row>
    <row r="2" spans="1:26" ht="14.4">
      <c r="A2" s="3"/>
      <c r="B2" s="3"/>
      <c r="C2" s="3"/>
      <c r="D2" s="3"/>
      <c r="E2" s="3"/>
      <c r="F2" s="3"/>
      <c r="G2" s="3"/>
      <c r="H2" s="3"/>
      <c r="I2" s="3"/>
      <c r="J2" s="3"/>
      <c r="K2" s="3"/>
      <c r="L2" s="3"/>
      <c r="M2" s="3"/>
      <c r="N2" s="3"/>
      <c r="O2" s="3"/>
      <c r="P2" s="3"/>
      <c r="Q2" s="3"/>
      <c r="R2" s="3"/>
      <c r="S2" s="3"/>
      <c r="T2" s="3"/>
      <c r="U2" s="3"/>
      <c r="V2" s="3"/>
      <c r="W2" s="3"/>
      <c r="X2" s="3"/>
      <c r="Y2" s="3"/>
      <c r="Z2" s="3"/>
    </row>
    <row r="3" spans="1:26" ht="14.4">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4">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4">
      <c r="A5" s="3"/>
      <c r="B5" s="231" t="s">
        <v>656</v>
      </c>
      <c r="C5" s="559">
        <f>Print_AAD!J27</f>
        <v>207</v>
      </c>
      <c r="D5" s="560">
        <f>Print_AAD!L27/Print_AAD!J27</f>
        <v>3169.5546376811631</v>
      </c>
      <c r="E5" s="561">
        <f t="shared" ref="E5:E6" si="0">+C5*D5</f>
        <v>656097.81000000075</v>
      </c>
      <c r="F5" s="3"/>
      <c r="G5" s="231" t="s">
        <v>656</v>
      </c>
      <c r="H5" s="559">
        <f>Print_AAD!J108</f>
        <v>158</v>
      </c>
      <c r="I5" s="560">
        <f>Print_AAD!L108/Print_AAD!J108</f>
        <v>2307.8771518987328</v>
      </c>
      <c r="J5" s="561">
        <f t="shared" ref="J5:J6" si="1">+H5*I5</f>
        <v>364644.58999999979</v>
      </c>
      <c r="K5" s="3"/>
      <c r="L5" s="231" t="s">
        <v>656</v>
      </c>
      <c r="M5" s="560">
        <f>Print_AAD!K194</f>
        <v>1200052.76</v>
      </c>
      <c r="N5" s="562">
        <f t="shared" ref="N5:N6" si="2">O5/M5</f>
        <v>0.71249266573912973</v>
      </c>
      <c r="O5" s="560">
        <f>Print_AAD!L194</f>
        <v>855028.79</v>
      </c>
      <c r="P5" s="3"/>
      <c r="Q5" s="231" t="s">
        <v>656</v>
      </c>
      <c r="R5" s="563">
        <f>Print_AAD!J185</f>
        <v>3435</v>
      </c>
      <c r="S5" s="560">
        <f>Print_AAD!K185/Print_AAD!J185</f>
        <v>320.81826491994178</v>
      </c>
      <c r="T5" s="561">
        <f t="shared" ref="T5:T6" si="3">+R5*S5</f>
        <v>1102010.74</v>
      </c>
      <c r="U5" s="3"/>
      <c r="V5" s="3"/>
      <c r="W5" s="3"/>
      <c r="X5" s="3"/>
      <c r="Y5" s="3"/>
      <c r="Z5" s="3"/>
    </row>
    <row r="6" spans="1:26" ht="14.4">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4">
      <c r="A7" s="3"/>
      <c r="B7" s="133" t="s">
        <v>655</v>
      </c>
      <c r="C7" s="569">
        <f t="shared" ref="C7:E7" si="4">+C5-C6</f>
        <v>207</v>
      </c>
      <c r="D7" s="570" t="e">
        <f t="shared" si="4"/>
        <v>#DIV/0!</v>
      </c>
      <c r="E7" s="571" t="e">
        <f t="shared" si="4"/>
        <v>#DIV/0!</v>
      </c>
      <c r="F7" s="3"/>
      <c r="G7" s="133" t="s">
        <v>655</v>
      </c>
      <c r="H7" s="569">
        <f t="shared" ref="H7:J7" si="5">+H5-H6</f>
        <v>158</v>
      </c>
      <c r="I7" s="570" t="e">
        <f t="shared" si="5"/>
        <v>#DIV/0!</v>
      </c>
      <c r="J7" s="571" t="e">
        <f t="shared" si="5"/>
        <v>#DIV/0!</v>
      </c>
      <c r="K7" s="3"/>
      <c r="L7" s="133" t="s">
        <v>655</v>
      </c>
      <c r="M7" s="570">
        <f t="shared" ref="M7:O7" si="6">+M5-M6</f>
        <v>1200052.76</v>
      </c>
      <c r="N7" s="572" t="e">
        <f t="shared" si="6"/>
        <v>#DIV/0!</v>
      </c>
      <c r="O7" s="571">
        <f t="shared" si="6"/>
        <v>855028.79</v>
      </c>
      <c r="P7" s="3"/>
      <c r="Q7" s="133" t="s">
        <v>655</v>
      </c>
      <c r="R7" s="573">
        <f t="shared" ref="R7:T7" si="7">+R5-R6</f>
        <v>3435</v>
      </c>
      <c r="S7" s="570" t="e">
        <f t="shared" si="7"/>
        <v>#DIV/0!</v>
      </c>
      <c r="T7" s="574" t="e">
        <f t="shared" si="7"/>
        <v>#DIV/0!</v>
      </c>
      <c r="U7" s="3"/>
      <c r="V7" s="3"/>
      <c r="W7" s="3"/>
      <c r="X7" s="3"/>
      <c r="Y7" s="3"/>
      <c r="Z7" s="3"/>
    </row>
    <row r="8" spans="1:26" ht="14.4">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4">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4">
      <c r="A10" s="3"/>
      <c r="B10" s="133" t="s">
        <v>701</v>
      </c>
      <c r="C10" s="577">
        <f t="shared" ref="C10:D10" si="12">+C5</f>
        <v>207</v>
      </c>
      <c r="D10" s="561">
        <f t="shared" si="12"/>
        <v>3169.5546376811631</v>
      </c>
      <c r="E10" s="566">
        <f>+C10*D10</f>
        <v>656097.81000000075</v>
      </c>
      <c r="F10" s="3"/>
      <c r="G10" s="133" t="s">
        <v>702</v>
      </c>
      <c r="H10" s="577">
        <f t="shared" ref="H10:I10" si="13">+H5</f>
        <v>158</v>
      </c>
      <c r="I10" s="561">
        <f t="shared" si="13"/>
        <v>2307.8771518987328</v>
      </c>
      <c r="J10" s="566">
        <f>+H10*I10</f>
        <v>364644.58999999979</v>
      </c>
      <c r="K10" s="3"/>
      <c r="L10" s="133" t="s">
        <v>703</v>
      </c>
      <c r="M10" s="561">
        <f t="shared" ref="M10:N10" si="14">+M5</f>
        <v>1200052.76</v>
      </c>
      <c r="N10" s="562">
        <f t="shared" si="14"/>
        <v>0.71249266573912973</v>
      </c>
      <c r="O10" s="566">
        <f>+M10*N10</f>
        <v>855028.79</v>
      </c>
      <c r="P10" s="3"/>
      <c r="Q10" s="133" t="s">
        <v>704</v>
      </c>
      <c r="R10" s="578">
        <f t="shared" ref="R10:S10" si="15">+R5</f>
        <v>3435</v>
      </c>
      <c r="S10" s="561">
        <f t="shared" si="15"/>
        <v>320.81826491994178</v>
      </c>
      <c r="T10" s="566">
        <f>+R10*S10</f>
        <v>1102010.74</v>
      </c>
      <c r="U10" s="3"/>
      <c r="V10" s="3"/>
      <c r="W10" s="3"/>
      <c r="X10" s="3"/>
      <c r="Y10" s="3"/>
      <c r="Z10" s="3"/>
    </row>
    <row r="11" spans="1:26" ht="14.4">
      <c r="A11" s="3"/>
      <c r="B11" s="133" t="s">
        <v>663</v>
      </c>
      <c r="C11" s="577">
        <f>+C5</f>
        <v>207</v>
      </c>
      <c r="D11" s="566" t="e">
        <f>+D6</f>
        <v>#DIV/0!</v>
      </c>
      <c r="E11" s="566" t="e">
        <f>C11*D11</f>
        <v>#DIV/0!</v>
      </c>
      <c r="F11" s="3"/>
      <c r="G11" s="133" t="s">
        <v>663</v>
      </c>
      <c r="H11" s="577">
        <f>+H5</f>
        <v>158</v>
      </c>
      <c r="I11" s="566" t="e">
        <f>+I6</f>
        <v>#DIV/0!</v>
      </c>
      <c r="J11" s="566" t="e">
        <f>H11*I11</f>
        <v>#DIV/0!</v>
      </c>
      <c r="K11" s="3"/>
      <c r="L11" s="133" t="s">
        <v>663</v>
      </c>
      <c r="M11" s="561">
        <f>+M5</f>
        <v>1200052.76</v>
      </c>
      <c r="N11" s="567" t="e">
        <f>+N6</f>
        <v>#DIV/0!</v>
      </c>
      <c r="O11" s="566" t="e">
        <f>M11*N11</f>
        <v>#DIV/0!</v>
      </c>
      <c r="P11" s="3"/>
      <c r="Q11" s="133" t="s">
        <v>664</v>
      </c>
      <c r="R11" s="578">
        <f>+R5</f>
        <v>3435</v>
      </c>
      <c r="S11" s="566" t="e">
        <f>+S6</f>
        <v>#DIV/0!</v>
      </c>
      <c r="T11" s="566" t="e">
        <f>R11*S11</f>
        <v>#DIV/0!</v>
      </c>
      <c r="U11" s="3"/>
      <c r="V11" s="3"/>
      <c r="W11" s="3"/>
      <c r="X11" s="3"/>
      <c r="Y11" s="3"/>
      <c r="Z11" s="3"/>
    </row>
    <row r="12" spans="1:26" ht="14.4">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4">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4">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4">
      <c r="A15" s="3"/>
      <c r="B15" s="133" t="s">
        <v>705</v>
      </c>
      <c r="C15" s="577">
        <f t="shared" ref="C15:C16" si="20">+C5</f>
        <v>207</v>
      </c>
      <c r="D15" s="566" t="e">
        <f>+D6</f>
        <v>#DIV/0!</v>
      </c>
      <c r="E15" s="566" t="e">
        <f>+C15*D15</f>
        <v>#DIV/0!</v>
      </c>
      <c r="F15" s="3"/>
      <c r="G15" s="133" t="s">
        <v>706</v>
      </c>
      <c r="H15" s="577">
        <f t="shared" ref="H15:H16" si="21">+H5</f>
        <v>158</v>
      </c>
      <c r="I15" s="566" t="e">
        <f>+I6</f>
        <v>#DIV/0!</v>
      </c>
      <c r="J15" s="566" t="e">
        <f>+H15*I15</f>
        <v>#DIV/0!</v>
      </c>
      <c r="K15" s="3"/>
      <c r="L15" s="133" t="s">
        <v>707</v>
      </c>
      <c r="M15" s="561">
        <f t="shared" ref="M15:M16" si="22">+M5</f>
        <v>1200052.76</v>
      </c>
      <c r="N15" s="567" t="e">
        <f>+N6</f>
        <v>#DIV/0!</v>
      </c>
      <c r="O15" s="566" t="e">
        <f>+M15*N15</f>
        <v>#DIV/0!</v>
      </c>
      <c r="P15" s="3"/>
      <c r="Q15" s="133" t="s">
        <v>708</v>
      </c>
      <c r="R15" s="578">
        <f t="shared" ref="R15:R16" si="23">+R5</f>
        <v>3435</v>
      </c>
      <c r="S15" s="566" t="e">
        <f>+S6</f>
        <v>#DIV/0!</v>
      </c>
      <c r="T15" s="566" t="e">
        <f>+R15*S15</f>
        <v>#DIV/0!</v>
      </c>
      <c r="U15" s="3"/>
      <c r="V15" s="3"/>
      <c r="W15" s="3"/>
      <c r="X15" s="3"/>
      <c r="Y15" s="3"/>
      <c r="Z15" s="3"/>
    </row>
    <row r="16" spans="1:26" ht="14.4">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4">
      <c r="A17" s="3"/>
      <c r="B17" s="133" t="s">
        <v>665</v>
      </c>
      <c r="C17" s="569">
        <f t="shared" ref="C17:E17" si="24">+C15-C16</f>
        <v>207</v>
      </c>
      <c r="D17" s="570" t="e">
        <f t="shared" si="24"/>
        <v>#DIV/0!</v>
      </c>
      <c r="E17" s="571" t="e">
        <f t="shared" si="24"/>
        <v>#DIV/0!</v>
      </c>
      <c r="F17" s="3"/>
      <c r="G17" s="133" t="s">
        <v>665</v>
      </c>
      <c r="H17" s="569">
        <f t="shared" ref="H17:J17" si="25">+H15-H16</f>
        <v>158</v>
      </c>
      <c r="I17" s="570" t="e">
        <f t="shared" si="25"/>
        <v>#DIV/0!</v>
      </c>
      <c r="J17" s="571" t="e">
        <f t="shared" si="25"/>
        <v>#DIV/0!</v>
      </c>
      <c r="K17" s="3"/>
      <c r="L17" s="133" t="s">
        <v>665</v>
      </c>
      <c r="M17" s="570">
        <f t="shared" ref="M17:O17" si="26">+M15-M16</f>
        <v>1200052.76</v>
      </c>
      <c r="N17" s="572" t="e">
        <f t="shared" si="26"/>
        <v>#DIV/0!</v>
      </c>
      <c r="O17" s="571" t="e">
        <f t="shared" si="26"/>
        <v>#DIV/0!</v>
      </c>
      <c r="P17" s="3"/>
      <c r="Q17" s="133" t="s">
        <v>665</v>
      </c>
      <c r="R17" s="573">
        <f t="shared" ref="R17:T17" si="27">+R15-R16</f>
        <v>3435</v>
      </c>
      <c r="S17" s="570" t="e">
        <f t="shared" si="27"/>
        <v>#DIV/0!</v>
      </c>
      <c r="T17" s="574" t="e">
        <f t="shared" si="27"/>
        <v>#DIV/0!</v>
      </c>
      <c r="U17" s="3"/>
      <c r="V17" s="3"/>
      <c r="W17" s="3"/>
      <c r="X17" s="3"/>
      <c r="Y17" s="3"/>
      <c r="Z17" s="3"/>
    </row>
    <row r="18" spans="1:26" ht="14.4">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4">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4">
      <c r="A20" s="3"/>
      <c r="B20" s="133" t="s">
        <v>672</v>
      </c>
      <c r="C20" s="579">
        <f t="shared" ref="C20:D20" si="28">MAX(C5:C6)</f>
        <v>207</v>
      </c>
      <c r="D20" s="566" t="e">
        <f t="shared" si="28"/>
        <v>#DIV/0!</v>
      </c>
      <c r="E20" s="566" t="e">
        <f>+C20*D20</f>
        <v>#DIV/0!</v>
      </c>
      <c r="F20" s="3"/>
      <c r="G20" s="133" t="s">
        <v>672</v>
      </c>
      <c r="H20" s="579">
        <f t="shared" ref="H20:I20" si="29">MAX(H5:H6)</f>
        <v>158</v>
      </c>
      <c r="I20" s="566" t="e">
        <f t="shared" si="29"/>
        <v>#DIV/0!</v>
      </c>
      <c r="J20" s="566" t="e">
        <f>+H20*I20</f>
        <v>#DIV/0!</v>
      </c>
      <c r="K20" s="3"/>
      <c r="L20" s="133" t="s">
        <v>672</v>
      </c>
      <c r="M20" s="566">
        <f t="shared" ref="M20:N20" si="30">MAX(M5:M6)</f>
        <v>1200052.76</v>
      </c>
      <c r="N20" s="567" t="e">
        <f t="shared" si="30"/>
        <v>#DIV/0!</v>
      </c>
      <c r="O20" s="566" t="e">
        <f>+M20*N20</f>
        <v>#DIV/0!</v>
      </c>
      <c r="P20" s="3"/>
      <c r="Q20" s="133" t="s">
        <v>672</v>
      </c>
      <c r="R20" s="580">
        <f t="shared" ref="R20:S20" si="31">MAX(R5:R6)</f>
        <v>3435</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207</v>
      </c>
      <c r="D23" s="570" t="e">
        <f t="shared" si="36"/>
        <v>#DIV/0!</v>
      </c>
      <c r="E23" s="570" t="e">
        <f t="shared" si="36"/>
        <v>#DIV/0!</v>
      </c>
      <c r="F23" s="3"/>
      <c r="G23" s="133" t="s">
        <v>674</v>
      </c>
      <c r="H23" s="569">
        <f t="shared" ref="H23:J23" si="37">+H20-H22</f>
        <v>158</v>
      </c>
      <c r="I23" s="570" t="e">
        <f t="shared" si="37"/>
        <v>#DIV/0!</v>
      </c>
      <c r="J23" s="570" t="e">
        <f t="shared" si="37"/>
        <v>#DIV/0!</v>
      </c>
      <c r="K23" s="3"/>
      <c r="L23" s="133" t="s">
        <v>674</v>
      </c>
      <c r="M23" s="570">
        <f t="shared" ref="M23:O23" si="38">+M20-M22</f>
        <v>1200052.76</v>
      </c>
      <c r="N23" s="572" t="e">
        <f t="shared" si="38"/>
        <v>#DIV/0!</v>
      </c>
      <c r="O23" s="570" t="e">
        <f t="shared" si="38"/>
        <v>#DIV/0!</v>
      </c>
      <c r="P23" s="3"/>
      <c r="Q23" s="133" t="s">
        <v>674</v>
      </c>
      <c r="R23" s="573">
        <f t="shared" ref="R23:T23" si="39">+R20-R22</f>
        <v>3435</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207</v>
      </c>
      <c r="D32" s="566">
        <f t="shared" ref="D32:D33" si="40">+E32/C32</f>
        <v>-203.3664631706703</v>
      </c>
      <c r="E32" s="566">
        <f>+Print_AAD!N78</f>
        <v>-42096.857876328751</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207</v>
      </c>
      <c r="D33" s="566">
        <f t="shared" si="40"/>
        <v>-91.953381642512042</v>
      </c>
      <c r="E33" s="566">
        <f>+Print_AAD!N82</f>
        <v>-19034.349999999991</v>
      </c>
      <c r="F33" s="3"/>
      <c r="G33" s="133" t="s">
        <v>681</v>
      </c>
      <c r="H33" s="588">
        <f>+H17</f>
        <v>158</v>
      </c>
      <c r="I33" s="566">
        <f>+J33/H33</f>
        <v>58.942405063291147</v>
      </c>
      <c r="J33" s="566">
        <f>+Print_AAD!N159</f>
        <v>9312.9000000000015</v>
      </c>
      <c r="K33" s="3"/>
      <c r="L33" s="3"/>
      <c r="M33" s="3"/>
      <c r="N33" s="3"/>
      <c r="O33" s="3"/>
      <c r="P33" s="3"/>
      <c r="Q33" s="3"/>
      <c r="R33" s="3"/>
      <c r="S33" s="3"/>
      <c r="T33" s="3"/>
      <c r="U33" s="3"/>
      <c r="V33" s="3"/>
      <c r="W33" s="3"/>
      <c r="X33" s="3"/>
      <c r="Y33" s="3"/>
      <c r="Z33" s="3"/>
    </row>
    <row r="34" spans="1:26" ht="15.75" customHeight="1">
      <c r="A34" s="3"/>
      <c r="B34" s="3"/>
      <c r="C34" s="3"/>
      <c r="D34" s="3"/>
      <c r="E34" s="570">
        <f>SUM(E32:E33)</f>
        <v>-61131.207876328743</v>
      </c>
      <c r="F34" s="3"/>
      <c r="G34" s="3"/>
      <c r="H34" s="3"/>
      <c r="I34" s="3"/>
      <c r="J34" s="570">
        <f>SUM(J32:J33)</f>
        <v>9312.9000000000015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59765625" defaultRowHeight="15" customHeight="1"/>
  <cols>
    <col min="1" max="1" width="19.8984375" customWidth="1"/>
    <col min="2" max="4" width="11" customWidth="1"/>
    <col min="5" max="5" width="2" customWidth="1"/>
    <col min="6" max="8" width="11" customWidth="1"/>
    <col min="9" max="9" width="2" customWidth="1"/>
    <col min="10" max="10" width="9.59765625" customWidth="1"/>
    <col min="11" max="11" width="2" customWidth="1"/>
    <col min="12" max="12" width="9.59765625" customWidth="1"/>
    <col min="13" max="13" width="2" customWidth="1"/>
    <col min="14" max="14" width="9.59765625" customWidth="1"/>
    <col min="15" max="26" width="11" customWidth="1"/>
  </cols>
  <sheetData>
    <row r="1" spans="1:26" ht="14.4">
      <c r="A1" s="3"/>
      <c r="B1" s="3"/>
      <c r="C1" s="3"/>
      <c r="D1" s="3"/>
      <c r="E1" s="3"/>
      <c r="F1" s="3"/>
      <c r="G1" s="3"/>
      <c r="H1" s="3"/>
      <c r="I1" s="3"/>
      <c r="J1" s="3"/>
      <c r="K1" s="3"/>
      <c r="L1" s="3"/>
      <c r="M1" s="3"/>
      <c r="N1" s="3"/>
      <c r="O1" s="3"/>
      <c r="P1" s="3"/>
      <c r="Q1" s="3"/>
      <c r="R1" s="3"/>
      <c r="S1" s="3"/>
      <c r="T1" s="3"/>
      <c r="U1" s="3"/>
      <c r="V1" s="3"/>
      <c r="W1" s="3"/>
      <c r="X1" s="3"/>
      <c r="Y1" s="3"/>
      <c r="Z1" s="3"/>
    </row>
    <row r="2" spans="1:26" ht="14.4">
      <c r="A2" s="556" t="s">
        <v>180</v>
      </c>
      <c r="B2" s="1247" t="s">
        <v>682</v>
      </c>
      <c r="C2" s="1248"/>
      <c r="D2" s="1249"/>
      <c r="E2" s="3"/>
      <c r="F2" s="1247" t="s">
        <v>683</v>
      </c>
      <c r="G2" s="1248"/>
      <c r="H2" s="1249"/>
      <c r="I2" s="3"/>
      <c r="J2" s="589" t="s">
        <v>655</v>
      </c>
      <c r="K2" s="3"/>
      <c r="L2" s="589" t="s">
        <v>684</v>
      </c>
      <c r="M2" s="3"/>
      <c r="N2" s="589" t="s">
        <v>685</v>
      </c>
      <c r="O2" s="3"/>
      <c r="P2" s="3"/>
      <c r="Q2" s="3"/>
      <c r="R2" s="3"/>
      <c r="S2" s="3"/>
      <c r="T2" s="3"/>
      <c r="U2" s="3"/>
      <c r="V2" s="3"/>
      <c r="W2" s="3"/>
      <c r="X2" s="3"/>
      <c r="Y2" s="3"/>
      <c r="Z2" s="3"/>
    </row>
    <row r="3" spans="1:26" ht="14.4">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4">
      <c r="A4" s="3" t="s">
        <v>182</v>
      </c>
      <c r="B4" s="565">
        <f>+Print_AAD!J295</f>
        <v>283896.93</v>
      </c>
      <c r="C4" s="590">
        <f t="shared" ref="C4:C9" si="0">D4/B4</f>
        <v>0.31235166931886155</v>
      </c>
      <c r="D4" s="565">
        <f>+Print_AAD!L295</f>
        <v>88675.679999999978</v>
      </c>
      <c r="E4" s="3"/>
      <c r="F4" s="565">
        <f>+Print_AAD!G295</f>
        <v>0</v>
      </c>
      <c r="G4" s="590" t="e">
        <f t="shared" ref="G4:G9" si="1">H4/F4</f>
        <v>#DIV/0!</v>
      </c>
      <c r="H4" s="565">
        <f>+Print_AAD!I295</f>
        <v>0</v>
      </c>
      <c r="I4" s="3"/>
      <c r="J4" s="566">
        <f t="shared" ref="J4:J11" si="2">+D4-H4</f>
        <v>88675.679999999978</v>
      </c>
      <c r="K4" s="3"/>
      <c r="L4" s="566" t="e">
        <f t="shared" ref="L4:L9" si="3">(B4-F4)*G4</f>
        <v>#DIV/0!</v>
      </c>
      <c r="M4" s="3"/>
      <c r="N4" s="566" t="e">
        <f t="shared" ref="N4:N9" si="4">B4*(C4-G4)</f>
        <v>#DIV/0!</v>
      </c>
      <c r="O4" s="3"/>
      <c r="P4" s="3"/>
      <c r="Q4" s="3"/>
      <c r="R4" s="3"/>
      <c r="S4" s="3"/>
      <c r="T4" s="3"/>
      <c r="U4" s="3"/>
      <c r="V4" s="3"/>
      <c r="W4" s="3"/>
      <c r="X4" s="3"/>
      <c r="Y4" s="3"/>
      <c r="Z4" s="3"/>
    </row>
    <row r="5" spans="1:26" ht="14.4">
      <c r="A5" s="3" t="s">
        <v>183</v>
      </c>
      <c r="B5" s="565">
        <f>+Print_AAD!J296</f>
        <v>23619.920000000002</v>
      </c>
      <c r="C5" s="590">
        <f t="shared" si="0"/>
        <v>0.23753848446565445</v>
      </c>
      <c r="D5" s="565">
        <f>+Print_AAD!L296</f>
        <v>5610.6400000000012</v>
      </c>
      <c r="E5" s="3"/>
      <c r="F5" s="565">
        <f>+Print_AAD!G296</f>
        <v>0</v>
      </c>
      <c r="G5" s="590" t="e">
        <f t="shared" si="1"/>
        <v>#DIV/0!</v>
      </c>
      <c r="H5" s="565">
        <f>+Print_AAD!I296</f>
        <v>0</v>
      </c>
      <c r="I5" s="3"/>
      <c r="J5" s="566">
        <f t="shared" si="2"/>
        <v>5610.6400000000012</v>
      </c>
      <c r="K5" s="3"/>
      <c r="L5" s="566" t="e">
        <f t="shared" si="3"/>
        <v>#DIV/0!</v>
      </c>
      <c r="M5" s="3"/>
      <c r="N5" s="566" t="e">
        <f t="shared" si="4"/>
        <v>#DIV/0!</v>
      </c>
      <c r="O5" s="3"/>
      <c r="P5" s="3"/>
      <c r="Q5" s="3"/>
      <c r="R5" s="3"/>
      <c r="S5" s="3"/>
      <c r="T5" s="3"/>
      <c r="U5" s="3"/>
      <c r="V5" s="3"/>
      <c r="W5" s="3"/>
      <c r="X5" s="3"/>
      <c r="Y5" s="3"/>
      <c r="Z5" s="3"/>
    </row>
    <row r="6" spans="1:26" ht="14.4">
      <c r="A6" s="3" t="s">
        <v>184</v>
      </c>
      <c r="B6" s="565">
        <f>+Print_AAD!J297</f>
        <v>360115.6</v>
      </c>
      <c r="C6" s="590">
        <f t="shared" si="0"/>
        <v>0.23284156531958075</v>
      </c>
      <c r="D6" s="565">
        <f>+Print_AAD!L297</f>
        <v>83849.88</v>
      </c>
      <c r="E6" s="3"/>
      <c r="F6" s="565">
        <f>+Print_AAD!G297</f>
        <v>0</v>
      </c>
      <c r="G6" s="590" t="e">
        <f t="shared" si="1"/>
        <v>#DIV/0!</v>
      </c>
      <c r="H6" s="565">
        <f>+Print_AAD!I297</f>
        <v>0</v>
      </c>
      <c r="I6" s="3"/>
      <c r="J6" s="566">
        <f t="shared" si="2"/>
        <v>83849.88</v>
      </c>
      <c r="K6" s="3"/>
      <c r="L6" s="566" t="e">
        <f t="shared" si="3"/>
        <v>#DIV/0!</v>
      </c>
      <c r="M6" s="3"/>
      <c r="N6" s="566" t="e">
        <f t="shared" si="4"/>
        <v>#DIV/0!</v>
      </c>
      <c r="O6" s="3"/>
      <c r="P6" s="3"/>
      <c r="Q6" s="3"/>
      <c r="R6" s="3"/>
      <c r="S6" s="3"/>
      <c r="T6" s="3"/>
      <c r="U6" s="3"/>
      <c r="V6" s="3"/>
      <c r="W6" s="3"/>
      <c r="X6" s="3"/>
      <c r="Y6" s="3"/>
      <c r="Z6" s="3"/>
    </row>
    <row r="7" spans="1:26" ht="14.4">
      <c r="A7" s="3" t="s">
        <v>185</v>
      </c>
      <c r="B7" s="565">
        <f>+Print_AAD!J298</f>
        <v>243069.57</v>
      </c>
      <c r="C7" s="590">
        <f t="shared" si="0"/>
        <v>0.28018998840537712</v>
      </c>
      <c r="D7" s="565">
        <f>+Print_AAD!L298</f>
        <v>68105.66</v>
      </c>
      <c r="E7" s="3"/>
      <c r="F7" s="565">
        <f>+Print_AAD!G298</f>
        <v>0</v>
      </c>
      <c r="G7" s="590" t="e">
        <f t="shared" si="1"/>
        <v>#DIV/0!</v>
      </c>
      <c r="H7" s="565">
        <f>+Print_AAD!I298</f>
        <v>0</v>
      </c>
      <c r="I7" s="3"/>
      <c r="J7" s="566">
        <f t="shared" si="2"/>
        <v>68105.66</v>
      </c>
      <c r="K7" s="3"/>
      <c r="L7" s="566" t="e">
        <f t="shared" si="3"/>
        <v>#DIV/0!</v>
      </c>
      <c r="M7" s="3"/>
      <c r="N7" s="566" t="e">
        <f t="shared" si="4"/>
        <v>#DIV/0!</v>
      </c>
      <c r="O7" s="3"/>
      <c r="P7" s="3"/>
      <c r="Q7" s="3"/>
      <c r="R7" s="3"/>
      <c r="S7" s="3"/>
      <c r="T7" s="3"/>
      <c r="U7" s="3"/>
      <c r="V7" s="3"/>
      <c r="W7" s="3"/>
      <c r="X7" s="3"/>
      <c r="Y7" s="3"/>
      <c r="Z7" s="3"/>
    </row>
    <row r="8" spans="1:26" ht="14.4">
      <c r="A8" s="3" t="s">
        <v>186</v>
      </c>
      <c r="B8" s="565">
        <f>+Print_AAD!J299</f>
        <v>62977.86</v>
      </c>
      <c r="C8" s="590">
        <f t="shared" si="0"/>
        <v>0.2998672866940858</v>
      </c>
      <c r="D8" s="565">
        <f>+Print_AAD!L299</f>
        <v>18885</v>
      </c>
      <c r="E8" s="3"/>
      <c r="F8" s="565">
        <f>+Print_AAD!G299</f>
        <v>0</v>
      </c>
      <c r="G8" s="590" t="e">
        <f t="shared" si="1"/>
        <v>#DIV/0!</v>
      </c>
      <c r="H8" s="565">
        <f>+Print_AAD!I299</f>
        <v>0</v>
      </c>
      <c r="I8" s="3"/>
      <c r="J8" s="566">
        <f t="shared" si="2"/>
        <v>18885</v>
      </c>
      <c r="K8" s="3"/>
      <c r="L8" s="566" t="e">
        <f t="shared" si="3"/>
        <v>#DIV/0!</v>
      </c>
      <c r="M8" s="3"/>
      <c r="N8" s="566" t="e">
        <f t="shared" si="4"/>
        <v>#DIV/0!</v>
      </c>
      <c r="O8" s="3"/>
      <c r="P8" s="3"/>
      <c r="Q8" s="3"/>
      <c r="R8" s="3"/>
      <c r="S8" s="3"/>
      <c r="T8" s="3"/>
      <c r="U8" s="3"/>
      <c r="V8" s="3"/>
      <c r="W8" s="3"/>
      <c r="X8" s="3"/>
      <c r="Y8" s="3"/>
      <c r="Z8" s="3"/>
    </row>
    <row r="9" spans="1:26" ht="14.4">
      <c r="A9" s="3" t="s">
        <v>187</v>
      </c>
      <c r="B9" s="565">
        <f>+Print_AAD!J300</f>
        <v>801606.44</v>
      </c>
      <c r="C9" s="590">
        <f t="shared" si="0"/>
        <v>0.13730500967532142</v>
      </c>
      <c r="D9" s="565">
        <f>+Print_AAD!L300</f>
        <v>110064.57999999994</v>
      </c>
      <c r="E9" s="3"/>
      <c r="F9" s="565">
        <f>+Print_AAD!G300</f>
        <v>0</v>
      </c>
      <c r="G9" s="590" t="e">
        <f t="shared" si="1"/>
        <v>#DIV/0!</v>
      </c>
      <c r="H9" s="565">
        <f>+Print_AAD!I300</f>
        <v>0</v>
      </c>
      <c r="I9" s="3"/>
      <c r="J9" s="566">
        <f t="shared" si="2"/>
        <v>110064.57999999994</v>
      </c>
      <c r="K9" s="3"/>
      <c r="L9" s="566" t="e">
        <f t="shared" si="3"/>
        <v>#DIV/0!</v>
      </c>
      <c r="M9" s="3"/>
      <c r="N9" s="566" t="e">
        <f t="shared" si="4"/>
        <v>#DIV/0!</v>
      </c>
      <c r="O9" s="3"/>
      <c r="P9" s="3"/>
      <c r="Q9" s="3"/>
      <c r="R9" s="3"/>
      <c r="S9" s="3"/>
      <c r="T9" s="3"/>
      <c r="U9" s="3"/>
      <c r="V9" s="3"/>
      <c r="W9" s="3"/>
      <c r="X9" s="3"/>
      <c r="Y9" s="3"/>
      <c r="Z9" s="3"/>
    </row>
    <row r="10" spans="1:26" ht="14.4">
      <c r="A10" s="3" t="s">
        <v>188</v>
      </c>
      <c r="B10" s="565"/>
      <c r="C10" s="590"/>
      <c r="D10" s="565">
        <f>+Print_AAD!L302</f>
        <v>25296.600000000002</v>
      </c>
      <c r="E10" s="3"/>
      <c r="F10" s="565"/>
      <c r="G10" s="590"/>
      <c r="H10" s="565">
        <f>+Print_AAD!I302</f>
        <v>0</v>
      </c>
      <c r="I10" s="3"/>
      <c r="J10" s="566">
        <f t="shared" si="2"/>
        <v>25296.600000000002</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4">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4">
      <c r="A12" s="3" t="s">
        <v>190</v>
      </c>
      <c r="B12" s="591">
        <f>SUM(B4:B11)</f>
        <v>1775286.3199999998</v>
      </c>
      <c r="C12" s="592">
        <f>+D12/B12</f>
        <v>0.22559067542411973</v>
      </c>
      <c r="D12" s="591">
        <f>SUM(D4:D11)</f>
        <v>400488.03999999992</v>
      </c>
      <c r="E12" s="3"/>
      <c r="F12" s="591">
        <f>SUM(F4:F11)</f>
        <v>0</v>
      </c>
      <c r="G12" s="592" t="e">
        <f>+H12/F12</f>
        <v>#DIV/0!</v>
      </c>
      <c r="H12" s="591">
        <f>SUM(H4:H11)</f>
        <v>0</v>
      </c>
      <c r="I12" s="3"/>
      <c r="J12" s="591">
        <f>SUM(J4:J11)</f>
        <v>400488.03999999992</v>
      </c>
      <c r="K12" s="3"/>
      <c r="L12" s="591" t="e">
        <f>SUM(L4:L11)</f>
        <v>#DIV/0!</v>
      </c>
      <c r="M12" s="3"/>
      <c r="N12" s="591" t="e">
        <f>SUM(N4:N11)</f>
        <v>#DIV/0!</v>
      </c>
      <c r="O12" s="3"/>
      <c r="P12" s="3"/>
      <c r="Q12" s="3"/>
      <c r="R12" s="3"/>
      <c r="S12" s="3"/>
      <c r="T12" s="3"/>
      <c r="U12" s="3"/>
      <c r="V12" s="3"/>
      <c r="W12" s="3"/>
      <c r="X12" s="3"/>
      <c r="Y12" s="3"/>
      <c r="Z12" s="3"/>
    </row>
    <row r="13" spans="1:26" ht="14.4">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4">
      <c r="A14" s="3" t="s">
        <v>191</v>
      </c>
      <c r="B14" s="565">
        <f>+Print_AAD!J307</f>
        <v>173922.41999999998</v>
      </c>
      <c r="C14" s="590">
        <f t="shared" ref="C14:C15" si="6">D14/B14</f>
        <v>0.15970143469714815</v>
      </c>
      <c r="D14" s="565">
        <f>+Print_AAD!L307</f>
        <v>27775.659999999971</v>
      </c>
      <c r="E14" s="3"/>
      <c r="F14" s="565">
        <f>+Print_AAD!G307</f>
        <v>0</v>
      </c>
      <c r="G14" s="590" t="e">
        <f t="shared" ref="G14:G15" si="7">H14/F14</f>
        <v>#DIV/0!</v>
      </c>
      <c r="H14" s="565">
        <f>+Print_AAD!I307</f>
        <v>0</v>
      </c>
      <c r="I14" s="3"/>
      <c r="J14" s="566">
        <f t="shared" ref="J14:J15" si="8">+D14-H14</f>
        <v>27775.659999999971</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4">
      <c r="A15" s="3" t="s">
        <v>192</v>
      </c>
      <c r="B15" s="565">
        <f>+Print_AAD!J308</f>
        <v>76723.53</v>
      </c>
      <c r="C15" s="590">
        <f t="shared" si="6"/>
        <v>0.25799621054974919</v>
      </c>
      <c r="D15" s="565">
        <f>+Print_AAD!L308</f>
        <v>19794.379999999997</v>
      </c>
      <c r="E15" s="3"/>
      <c r="F15" s="565">
        <f>+Print_AAD!G308</f>
        <v>0</v>
      </c>
      <c r="G15" s="590" t="e">
        <f t="shared" si="7"/>
        <v>#DIV/0!</v>
      </c>
      <c r="H15" s="565">
        <f>+Print_AAD!I308</f>
        <v>0</v>
      </c>
      <c r="I15" s="3"/>
      <c r="J15" s="566">
        <f t="shared" si="8"/>
        <v>19794.379999999997</v>
      </c>
      <c r="K15" s="3"/>
      <c r="L15" s="566" t="e">
        <f t="shared" si="9"/>
        <v>#DIV/0!</v>
      </c>
      <c r="M15" s="3"/>
      <c r="N15" s="566" t="e">
        <f t="shared" si="10"/>
        <v>#DIV/0!</v>
      </c>
      <c r="O15" s="3"/>
      <c r="P15" s="3"/>
      <c r="Q15" s="3"/>
      <c r="R15" s="3"/>
      <c r="S15" s="3"/>
      <c r="T15" s="3"/>
      <c r="U15" s="3"/>
      <c r="V15" s="3"/>
      <c r="W15" s="3"/>
      <c r="X15" s="3"/>
      <c r="Y15" s="3"/>
      <c r="Z15" s="3"/>
    </row>
    <row r="16" spans="1:26" ht="14.4">
      <c r="A16" s="3" t="s">
        <v>193</v>
      </c>
      <c r="B16" s="593">
        <f>SUM(B14:B15)</f>
        <v>250645.94999999998</v>
      </c>
      <c r="C16" s="594">
        <f>+D16/B16</f>
        <v>0.18978978116342979</v>
      </c>
      <c r="D16" s="593">
        <f>SUM(D14:D15)</f>
        <v>47570.039999999964</v>
      </c>
      <c r="E16" s="3"/>
      <c r="F16" s="593">
        <f>SUM(F14:F15)</f>
        <v>0</v>
      </c>
      <c r="G16" s="594" t="e">
        <f>+H16/F16</f>
        <v>#DIV/0!</v>
      </c>
      <c r="H16" s="593">
        <f>SUM(H14:H15)</f>
        <v>0</v>
      </c>
      <c r="I16" s="3"/>
      <c r="J16" s="593">
        <f>SUM(J14:J15)</f>
        <v>47570.039999999964</v>
      </c>
      <c r="K16" s="3"/>
      <c r="L16" s="593" t="e">
        <f>SUM(L14:L15)</f>
        <v>#DIV/0!</v>
      </c>
      <c r="M16" s="3"/>
      <c r="N16" s="593" t="e">
        <f>SUM(N14:N15)</f>
        <v>#DIV/0!</v>
      </c>
      <c r="O16" s="3"/>
      <c r="P16" s="3"/>
      <c r="Q16" s="3"/>
      <c r="R16" s="3"/>
      <c r="S16" s="3"/>
      <c r="T16" s="3"/>
      <c r="U16" s="3"/>
      <c r="V16" s="3"/>
      <c r="W16" s="3"/>
      <c r="X16" s="3"/>
      <c r="Y16" s="3"/>
      <c r="Z16" s="3"/>
    </row>
    <row r="17" spans="1:26" ht="14.4">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4">
      <c r="A18" s="3" t="s">
        <v>688</v>
      </c>
      <c r="B18" s="595">
        <f>+B12+B16</f>
        <v>2025932.2699999998</v>
      </c>
      <c r="C18" s="596">
        <f>+D18/B18</f>
        <v>0.22116143102849137</v>
      </c>
      <c r="D18" s="595">
        <f>+D12+D16</f>
        <v>448058.0799999999</v>
      </c>
      <c r="E18" s="3"/>
      <c r="F18" s="595">
        <f>+F12+F16</f>
        <v>0</v>
      </c>
      <c r="G18" s="596" t="e">
        <f>+H18/F18</f>
        <v>#DIV/0!</v>
      </c>
      <c r="H18" s="595">
        <f>+H12+H16</f>
        <v>0</v>
      </c>
      <c r="I18" s="3"/>
      <c r="J18" s="595">
        <f>+J12+J16</f>
        <v>448058.0799999999</v>
      </c>
      <c r="K18" s="3"/>
      <c r="L18" s="595" t="e">
        <f>+L12+L16</f>
        <v>#DIV/0!</v>
      </c>
      <c r="M18" s="3"/>
      <c r="N18" s="595" t="e">
        <f>+N12+N16</f>
        <v>#DIV/0!</v>
      </c>
      <c r="O18" s="3"/>
      <c r="P18" s="3"/>
      <c r="Q18" s="3"/>
      <c r="R18" s="3"/>
      <c r="S18" s="3"/>
      <c r="T18" s="3"/>
      <c r="U18" s="3"/>
      <c r="V18" s="3"/>
      <c r="W18" s="3"/>
      <c r="X18" s="3"/>
      <c r="Y18" s="3"/>
      <c r="Z18" s="3"/>
    </row>
    <row r="19" spans="1:26" ht="14.4">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4">
      <c r="A20" s="3"/>
      <c r="B20" s="3"/>
      <c r="C20" s="3"/>
      <c r="D20" s="597"/>
      <c r="E20" s="126" t="s">
        <v>689</v>
      </c>
      <c r="F20" s="595">
        <f>+B18-F18</f>
        <v>2025932.2699999998</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584"/>
  <sheetViews>
    <sheetView topLeftCell="A449" zoomScale="80" zoomScaleNormal="80" workbookViewId="0">
      <selection activeCell="A475" sqref="A475:XFD477"/>
    </sheetView>
  </sheetViews>
  <sheetFormatPr baseColWidth="10" defaultColWidth="12.59765625" defaultRowHeight="15" customHeight="1"/>
  <cols>
    <col min="1" max="1" width="37" style="1022" customWidth="1"/>
    <col min="2" max="2" width="31.19921875" style="1022" customWidth="1"/>
    <col min="3" max="3" width="14.59765625" style="1022" customWidth="1"/>
    <col min="4" max="4" width="12.8984375" style="1022" customWidth="1"/>
    <col min="5" max="5" width="13.59765625" style="1022" bestFit="1" customWidth="1"/>
    <col min="6" max="8" width="12.8984375" style="1022" customWidth="1"/>
    <col min="9" max="9" width="25.59765625" style="1022" bestFit="1" customWidth="1"/>
    <col min="10" max="10" width="12.8984375" style="1022" customWidth="1"/>
    <col min="11" max="11" width="23.09765625" style="1022"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 min="26" max="26" width="15.09765625" customWidth="1"/>
  </cols>
  <sheetData>
    <row r="1" spans="1:26" ht="30" customHeight="1">
      <c r="A1" s="1250" t="s">
        <v>251</v>
      </c>
      <c r="B1" s="1250" t="s">
        <v>709</v>
      </c>
      <c r="C1" s="1251" t="s">
        <v>713</v>
      </c>
      <c r="D1" s="1251" t="s">
        <v>714</v>
      </c>
      <c r="E1" s="1251" t="s">
        <v>715</v>
      </c>
      <c r="F1" s="1250" t="s">
        <v>710</v>
      </c>
      <c r="G1" s="1250" t="s">
        <v>711</v>
      </c>
      <c r="H1" s="1250" t="s">
        <v>712</v>
      </c>
      <c r="I1" s="1251" t="s">
        <v>3412</v>
      </c>
      <c r="J1" s="1251" t="s">
        <v>3413</v>
      </c>
      <c r="K1" s="12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52" t="s">
        <v>720</v>
      </c>
      <c r="B2" s="1252" t="s">
        <v>1438</v>
      </c>
      <c r="C2" s="1253"/>
      <c r="D2" s="1253"/>
      <c r="E2" s="1253"/>
      <c r="F2" s="1252" t="s">
        <v>2</v>
      </c>
      <c r="G2" s="1252" t="s">
        <v>3322</v>
      </c>
      <c r="H2" s="1252" t="s">
        <v>3955</v>
      </c>
      <c r="I2" s="1254">
        <v>-3669.18</v>
      </c>
      <c r="J2" s="1254">
        <v>0</v>
      </c>
      <c r="K2" s="1254">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52" t="s">
        <v>721</v>
      </c>
      <c r="B3" s="1252" t="s">
        <v>1638</v>
      </c>
      <c r="C3" s="1253"/>
      <c r="D3" s="1253"/>
      <c r="E3" s="1253"/>
      <c r="F3" s="1252" t="s">
        <v>2</v>
      </c>
      <c r="G3" s="1252" t="s">
        <v>3322</v>
      </c>
      <c r="H3" s="1252" t="s">
        <v>3955</v>
      </c>
      <c r="I3" s="1254">
        <v>-795.17</v>
      </c>
      <c r="J3" s="1254">
        <v>0</v>
      </c>
      <c r="K3" s="1254">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52" t="s">
        <v>722</v>
      </c>
      <c r="B4" s="1252" t="s">
        <v>748</v>
      </c>
      <c r="C4" s="1253"/>
      <c r="D4" s="1253"/>
      <c r="E4" s="1253"/>
      <c r="F4" s="1252" t="s">
        <v>2</v>
      </c>
      <c r="G4" s="1252" t="s">
        <v>3322</v>
      </c>
      <c r="H4" s="1252" t="s">
        <v>3955</v>
      </c>
      <c r="I4" s="1254">
        <v>80421.77</v>
      </c>
      <c r="J4" s="1254">
        <v>0</v>
      </c>
      <c r="K4" s="1254">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52" t="s">
        <v>732</v>
      </c>
      <c r="B5" s="1252" t="s">
        <v>1674</v>
      </c>
      <c r="C5" s="1253"/>
      <c r="D5" s="1253"/>
      <c r="E5" s="1253"/>
      <c r="F5" s="1252" t="s">
        <v>2</v>
      </c>
      <c r="G5" s="1252" t="s">
        <v>3323</v>
      </c>
      <c r="H5" s="1252" t="s">
        <v>3955</v>
      </c>
      <c r="I5" s="1254">
        <v>0.3</v>
      </c>
      <c r="J5" s="1254">
        <v>0</v>
      </c>
      <c r="K5" s="1254">
        <v>0.3</v>
      </c>
      <c r="L5" s="653" t="str">
        <f t="shared" si="2"/>
        <v>229</v>
      </c>
      <c r="M5" s="654" t="str">
        <f t="shared" si="0"/>
        <v>CUMUL. VIS. CARR. VW</v>
      </c>
      <c r="N5" s="655">
        <f>+IF(OR($Q5=Parametres!$G$2,$Q5=Parametres!$G$3),I5,C5)</f>
        <v>0.3</v>
      </c>
      <c r="O5" s="655">
        <f>+IF(OR($Q5=Parametres!$G$2,$Q5=Parametres!$G$3),J5,D5)</f>
        <v>0</v>
      </c>
      <c r="P5" s="655">
        <f>+IF(OR($Q5=Parametres!$G$2,$Q5=Parametres!$G$3),K5,E5)</f>
        <v>0.3</v>
      </c>
      <c r="Q5" s="654" t="str">
        <f t="shared" ref="Q5:S5" si="5">+F5</f>
        <v>1-Mémo</v>
      </c>
      <c r="R5" s="653" t="str">
        <f t="shared" si="5"/>
        <v>23</v>
      </c>
      <c r="S5" s="654" t="str">
        <f t="shared" si="5"/>
        <v>_</v>
      </c>
      <c r="T5" s="656" t="str">
        <f>+VLOOKUP($L5,Data_Validation!$A:$D,1,0)</f>
        <v>229</v>
      </c>
      <c r="U5" s="656">
        <f>+VLOOKUP($L5,Data_Validation!$A:$D,3,0)</f>
        <v>0</v>
      </c>
      <c r="V5" s="656">
        <f>+VLOOKUP($L5,Data_Validation!$A:$D,4,0)</f>
        <v>0</v>
      </c>
      <c r="W5" s="656">
        <f>+VLOOKUP($L5,Data_Validation!$A:$E,5,0)</f>
        <v>0</v>
      </c>
      <c r="X5" s="656">
        <f>+VLOOKUP($L5,Data_Validation!$A:$F,6,0)</f>
        <v>0</v>
      </c>
      <c r="Z5" s="4"/>
    </row>
    <row r="6" spans="1:26" ht="15.75" customHeight="1">
      <c r="A6" s="1252" t="s">
        <v>733</v>
      </c>
      <c r="B6" s="1252" t="s">
        <v>1690</v>
      </c>
      <c r="C6" s="1253"/>
      <c r="D6" s="1253"/>
      <c r="E6" s="1253"/>
      <c r="F6" s="1252" t="s">
        <v>2</v>
      </c>
      <c r="G6" s="1252" t="s">
        <v>3323</v>
      </c>
      <c r="H6" s="1252" t="s">
        <v>3955</v>
      </c>
      <c r="I6" s="1254">
        <v>22.85</v>
      </c>
      <c r="J6" s="1254">
        <v>0</v>
      </c>
      <c r="K6" s="1254">
        <v>22.85</v>
      </c>
      <c r="L6" s="653" t="str">
        <f t="shared" si="2"/>
        <v>230</v>
      </c>
      <c r="M6" s="654" t="str">
        <f t="shared" si="0"/>
        <v>CUMUL. VIS. VEH. SERV. VW</v>
      </c>
      <c r="N6" s="655">
        <f>+IF(OR($Q6=Parametres!$G$2,$Q6=Parametres!$G$3),I6,C6)</f>
        <v>22.85</v>
      </c>
      <c r="O6" s="655">
        <f>+IF(OR($Q6=Parametres!$G$2,$Q6=Parametres!$G$3),J6,D6)</f>
        <v>0</v>
      </c>
      <c r="P6" s="655">
        <f>+IF(OR($Q6=Parametres!$G$2,$Q6=Parametres!$G$3),K6,E6)</f>
        <v>22.85</v>
      </c>
      <c r="Q6" s="654" t="str">
        <f t="shared" ref="Q6:S6" si="6">+F6</f>
        <v>1-Mémo</v>
      </c>
      <c r="R6" s="653" t="str">
        <f t="shared" si="6"/>
        <v>23</v>
      </c>
      <c r="S6" s="654" t="str">
        <f t="shared" si="6"/>
        <v>_</v>
      </c>
      <c r="T6" s="656" t="str">
        <f>+VLOOKUP($L6,Data_Validation!$A:$D,1,0)</f>
        <v>230</v>
      </c>
      <c r="U6" s="656">
        <f>+VLOOKUP($L6,Data_Validation!$A:$D,3,0)</f>
        <v>0</v>
      </c>
      <c r="V6" s="656">
        <f>+VLOOKUP($L6,Data_Validation!$A:$D,4,0)</f>
        <v>0</v>
      </c>
      <c r="W6" s="656" t="str">
        <f>+VLOOKUP($L6,Data_Validation!$A:$E,5,0)</f>
        <v>$</v>
      </c>
      <c r="X6" s="656">
        <f>+VLOOKUP($L6,Data_Validation!$A:$F,6,0)</f>
        <v>0</v>
      </c>
      <c r="Z6" s="138"/>
    </row>
    <row r="7" spans="1:26" ht="15" customHeight="1">
      <c r="A7" s="1252" t="s">
        <v>734</v>
      </c>
      <c r="B7" s="1252" t="s">
        <v>1698</v>
      </c>
      <c r="C7" s="1253"/>
      <c r="D7" s="1253"/>
      <c r="E7" s="1253"/>
      <c r="F7" s="1252" t="s">
        <v>2</v>
      </c>
      <c r="G7" s="1252" t="s">
        <v>3323</v>
      </c>
      <c r="H7" s="1252" t="s">
        <v>3955</v>
      </c>
      <c r="I7" s="1254">
        <v>58.39</v>
      </c>
      <c r="J7" s="1254">
        <v>0</v>
      </c>
      <c r="K7" s="1254">
        <v>58.39</v>
      </c>
      <c r="L7" s="653" t="str">
        <f t="shared" si="2"/>
        <v>234</v>
      </c>
      <c r="M7" s="654" t="str">
        <f t="shared" si="0"/>
        <v>TOTAL HRES PROD. SERVICE</v>
      </c>
      <c r="N7" s="655">
        <f>+IF(OR($Q7=Parametres!$G$2,$Q7=Parametres!$G$3),I7,C7)</f>
        <v>58.39</v>
      </c>
      <c r="O7" s="655">
        <f>+IF(OR($Q7=Parametres!$G$2,$Q7=Parametres!$G$3),J7,D7)</f>
        <v>0</v>
      </c>
      <c r="P7" s="655">
        <f>+IF(OR($Q7=Parametres!$G$2,$Q7=Parametres!$G$3),K7,E7)</f>
        <v>58.39</v>
      </c>
      <c r="Q7" s="654" t="str">
        <f t="shared" ref="Q7:S7" si="7">+F7</f>
        <v>1-Mémo</v>
      </c>
      <c r="R7" s="653" t="str">
        <f t="shared" si="7"/>
        <v>23</v>
      </c>
      <c r="S7" s="654" t="str">
        <f t="shared" si="7"/>
        <v>_</v>
      </c>
      <c r="T7" s="656" t="str">
        <f>+VLOOKUP($L7,Data_Validation!$A:$D,1,0)</f>
        <v>234</v>
      </c>
      <c r="U7" s="656">
        <f>+VLOOKUP($L7,Data_Validation!$A:$D,3,0)</f>
        <v>0</v>
      </c>
      <c r="V7" s="656">
        <f>+VLOOKUP($L7,Data_Validation!$A:$D,4,0)</f>
        <v>0</v>
      </c>
      <c r="W7" s="656">
        <f>+VLOOKUP($L7,Data_Validation!$A:$E,5,0)</f>
        <v>0</v>
      </c>
      <c r="X7" s="656">
        <f>+VLOOKUP($L7,Data_Validation!$A:$F,6,0)</f>
        <v>0</v>
      </c>
    </row>
    <row r="8" spans="1:26" ht="15" customHeight="1">
      <c r="A8" s="1252" t="s">
        <v>735</v>
      </c>
      <c r="B8" s="1252" t="s">
        <v>1710</v>
      </c>
      <c r="C8" s="1253"/>
      <c r="D8" s="1253"/>
      <c r="E8" s="1253"/>
      <c r="F8" s="1252" t="s">
        <v>2</v>
      </c>
      <c r="G8" s="1252" t="s">
        <v>3323</v>
      </c>
      <c r="H8" s="1252" t="s">
        <v>3955</v>
      </c>
      <c r="I8" s="1254">
        <v>59.78</v>
      </c>
      <c r="J8" s="1254">
        <v>0</v>
      </c>
      <c r="K8" s="1254">
        <v>59.78</v>
      </c>
      <c r="L8" s="653" t="str">
        <f t="shared" si="2"/>
        <v>236</v>
      </c>
      <c r="M8" s="654" t="str">
        <f t="shared" si="0"/>
        <v>HEURES VENDU VW - SERVICE</v>
      </c>
      <c r="N8" s="655">
        <f>+IF(OR($Q8=Parametres!$G$2,$Q8=Parametres!$G$3),I8,C8)</f>
        <v>59.78</v>
      </c>
      <c r="O8" s="655">
        <f>+IF(OR($Q8=Parametres!$G$2,$Q8=Parametres!$G$3),J8,D8)</f>
        <v>0</v>
      </c>
      <c r="P8" s="655">
        <f>+IF(OR($Q8=Parametres!$G$2,$Q8=Parametres!$G$3),K8,E8)</f>
        <v>59.78</v>
      </c>
      <c r="Q8" s="654" t="str">
        <f t="shared" ref="Q8:S8" si="8">+F8</f>
        <v>1-Mémo</v>
      </c>
      <c r="R8" s="653" t="str">
        <f t="shared" si="8"/>
        <v>23</v>
      </c>
      <c r="S8" s="654" t="str">
        <f t="shared" si="8"/>
        <v>_</v>
      </c>
      <c r="T8" s="656" t="str">
        <f>+VLOOKUP($L8,Data_Validation!$A:$D,1,0)</f>
        <v>236</v>
      </c>
      <c r="U8" s="656">
        <f>+VLOOKUP($L8,Data_Validation!$A:$D,3,0)</f>
        <v>0</v>
      </c>
      <c r="V8" s="656">
        <f>+VLOOKUP($L8,Data_Validation!$A:$D,4,0)</f>
        <v>0</v>
      </c>
      <c r="W8" s="656">
        <f>+VLOOKUP($L8,Data_Validation!$A:$E,5,0)</f>
        <v>0</v>
      </c>
      <c r="X8" s="656">
        <f>+VLOOKUP($L8,Data_Validation!$A:$F,6,0)</f>
        <v>0</v>
      </c>
    </row>
    <row r="9" spans="1:26" ht="15" customHeight="1">
      <c r="A9" s="1252" t="s">
        <v>736</v>
      </c>
      <c r="B9" s="1252" t="s">
        <v>1713</v>
      </c>
      <c r="C9" s="1253"/>
      <c r="D9" s="1253"/>
      <c r="E9" s="1253"/>
      <c r="F9" s="1252" t="s">
        <v>2</v>
      </c>
      <c r="G9" s="1252" t="s">
        <v>3323</v>
      </c>
      <c r="H9" s="1252" t="s">
        <v>3955</v>
      </c>
      <c r="I9" s="1254">
        <v>66.55</v>
      </c>
      <c r="J9" s="1254">
        <v>0</v>
      </c>
      <c r="K9" s="1254">
        <v>66.55</v>
      </c>
      <c r="L9" s="653" t="str">
        <f t="shared" si="2"/>
        <v>238</v>
      </c>
      <c r="M9" s="654" t="str">
        <f t="shared" si="0"/>
        <v>TOT. HEURES DISP. SERVICE</v>
      </c>
      <c r="N9" s="655">
        <f>+IF(OR($Q9=Parametres!$G$2,$Q9=Parametres!$G$3),I9,C9)</f>
        <v>66.55</v>
      </c>
      <c r="O9" s="659">
        <f>+IF(OR($Q9=Parametres!$G$2,$Q9=Parametres!$G$3),J9,D9)</f>
        <v>0</v>
      </c>
      <c r="P9" s="655">
        <f>+IF(OR($Q9=Parametres!$G$2,$Q9=Parametres!$G$3),K9,E9)</f>
        <v>66.55</v>
      </c>
      <c r="Q9" s="654" t="str">
        <f t="shared" ref="Q9:S9" si="9">+F9</f>
        <v>1-Mémo</v>
      </c>
      <c r="R9" s="653" t="str">
        <f t="shared" si="9"/>
        <v>23</v>
      </c>
      <c r="S9" s="654" t="str">
        <f t="shared" si="9"/>
        <v>_</v>
      </c>
      <c r="T9" s="656" t="str">
        <f>+VLOOKUP($L9,Data_Validation!$A:$D,1,0)</f>
        <v>238</v>
      </c>
      <c r="U9" s="656">
        <f>+VLOOKUP($L9,Data_Validation!$A:$D,3,0)</f>
        <v>0</v>
      </c>
      <c r="V9" s="656">
        <f>+VLOOKUP($L9,Data_Validation!$A:$D,4,0)</f>
        <v>0</v>
      </c>
      <c r="W9" s="656">
        <f>+VLOOKUP($L9,Data_Validation!$A:$E,5,0)</f>
        <v>0</v>
      </c>
      <c r="X9" s="656">
        <f>+VLOOKUP($L9,Data_Validation!$A:$F,6,0)</f>
        <v>0</v>
      </c>
    </row>
    <row r="10" spans="1:26" ht="15" customHeight="1">
      <c r="A10" s="1252" t="s">
        <v>3658</v>
      </c>
      <c r="B10" s="1252" t="s">
        <v>1718</v>
      </c>
      <c r="C10" s="1253"/>
      <c r="D10" s="1253"/>
      <c r="E10" s="1253"/>
      <c r="F10" s="1252" t="s">
        <v>2</v>
      </c>
      <c r="G10" s="1252" t="s">
        <v>3324</v>
      </c>
      <c r="H10" s="1252" t="s">
        <v>3955</v>
      </c>
      <c r="I10" s="1254">
        <v>154.94999999999999</v>
      </c>
      <c r="J10" s="1254">
        <v>0</v>
      </c>
      <c r="K10" s="1254">
        <v>154.94999999999999</v>
      </c>
      <c r="L10" s="653" t="str">
        <f t="shared" si="2"/>
        <v>243</v>
      </c>
      <c r="M10" s="654" t="str">
        <f t="shared" si="0"/>
        <v>TAUX MAIN D'OEUVRE - VW - MCI - CLIENT</v>
      </c>
      <c r="N10" s="655">
        <f>+IF(OR($Q10=Parametres!$G$2,$Q10=Parametres!$G$3),I10,C10)</f>
        <v>154.94999999999999</v>
      </c>
      <c r="O10" s="659">
        <f>+IF(OR($Q10=Parametres!$G$2,$Q10=Parametres!$G$3),J10,D10)</f>
        <v>0</v>
      </c>
      <c r="P10" s="655">
        <f>+IF(OR($Q10=Parametres!$G$2,$Q10=Parametres!$G$3),K10,E10)</f>
        <v>154.94999999999999</v>
      </c>
      <c r="Q10" s="654" t="str">
        <f t="shared" ref="Q10:S10" si="10">+F10</f>
        <v>1-Mémo</v>
      </c>
      <c r="R10" s="653" t="str">
        <f t="shared" si="10"/>
        <v>24</v>
      </c>
      <c r="S10" s="654" t="str">
        <f t="shared" si="10"/>
        <v>_</v>
      </c>
      <c r="T10" s="656" t="str">
        <f>+VLOOKUP($L10,Data_Validation!$A:$D,1,0)</f>
        <v>243</v>
      </c>
      <c r="U10" s="656">
        <f>+VLOOKUP($L10,Data_Validation!$A:$D,3,0)</f>
        <v>0</v>
      </c>
      <c r="V10" s="656">
        <f>+VLOOKUP($L10,Data_Validation!$A:$D,4,0)</f>
        <v>0</v>
      </c>
      <c r="W10" s="656">
        <f>+VLOOKUP($L10,Data_Validation!$A:$E,5,0)</f>
        <v>0</v>
      </c>
      <c r="X10" s="656">
        <f>+VLOOKUP($L10,Data_Validation!$A:$F,6,0)</f>
        <v>0</v>
      </c>
    </row>
    <row r="11" spans="1:26" ht="15" customHeight="1">
      <c r="A11" s="1252" t="s">
        <v>3659</v>
      </c>
      <c r="B11" s="1252" t="s">
        <v>1721</v>
      </c>
      <c r="C11" s="1253"/>
      <c r="D11" s="1253"/>
      <c r="E11" s="1253"/>
      <c r="F11" s="1252" t="s">
        <v>2</v>
      </c>
      <c r="G11" s="1252" t="s">
        <v>3324</v>
      </c>
      <c r="H11" s="1252" t="s">
        <v>3955</v>
      </c>
      <c r="I11" s="1254">
        <v>142.97</v>
      </c>
      <c r="J11" s="1254">
        <v>0</v>
      </c>
      <c r="K11" s="1254">
        <v>142.97</v>
      </c>
      <c r="L11" s="653" t="str">
        <f t="shared" si="2"/>
        <v>244</v>
      </c>
      <c r="M11" s="654" t="str">
        <f t="shared" si="0"/>
        <v>TAUX MAIN D'OEUVRE - VW - MCI - GARANTIE</v>
      </c>
      <c r="N11" s="655">
        <f>+IF(OR($Q11=Parametres!$G$2,$Q11=Parametres!$G$3),I11,C11)</f>
        <v>142.97</v>
      </c>
      <c r="O11" s="659">
        <f>+IF(OR($Q11=Parametres!$G$2,$Q11=Parametres!$G$3),J11,D11)</f>
        <v>0</v>
      </c>
      <c r="P11" s="655">
        <f>+IF(OR($Q11=Parametres!$G$2,$Q11=Parametres!$G$3),K11,E11)</f>
        <v>142.97</v>
      </c>
      <c r="Q11" s="654" t="str">
        <f t="shared" ref="Q11:S11" si="11">+F11</f>
        <v>1-Mémo</v>
      </c>
      <c r="R11" s="653" t="str">
        <f t="shared" si="11"/>
        <v>24</v>
      </c>
      <c r="S11" s="654" t="str">
        <f t="shared" si="11"/>
        <v>_</v>
      </c>
      <c r="T11" s="656" t="str">
        <f>+VLOOKUP($L11,Data_Validation!$A:$D,1,0)</f>
        <v>244</v>
      </c>
      <c r="U11" s="656">
        <f>+VLOOKUP($L11,Data_Validation!$A:$D,3,0)</f>
        <v>0</v>
      </c>
      <c r="V11" s="656">
        <f>+VLOOKUP($L11,Data_Validation!$A:$D,4,0)</f>
        <v>0</v>
      </c>
      <c r="W11" s="656">
        <f>+VLOOKUP($L11,Data_Validation!$A:$E,5,0)</f>
        <v>0</v>
      </c>
      <c r="X11" s="656">
        <f>+VLOOKUP($L11,Data_Validation!$A:$F,6,0)</f>
        <v>0</v>
      </c>
    </row>
    <row r="12" spans="1:26" ht="15" customHeight="1">
      <c r="A12" s="1252" t="s">
        <v>3660</v>
      </c>
      <c r="B12" s="1252" t="s">
        <v>1724</v>
      </c>
      <c r="C12" s="1253"/>
      <c r="D12" s="1253"/>
      <c r="E12" s="1253"/>
      <c r="F12" s="1252" t="s">
        <v>2</v>
      </c>
      <c r="G12" s="1252" t="s">
        <v>3324</v>
      </c>
      <c r="H12" s="1252" t="s">
        <v>3955</v>
      </c>
      <c r="I12" s="1254">
        <v>154.94999999999999</v>
      </c>
      <c r="J12" s="1254">
        <v>0</v>
      </c>
      <c r="K12" s="1254">
        <v>154.94999999999999</v>
      </c>
      <c r="L12" s="653" t="str">
        <f t="shared" si="2"/>
        <v>245</v>
      </c>
      <c r="M12" s="654" t="str">
        <f t="shared" si="0"/>
        <v>TAUX MAIN D'OEUVRE - VW - MCI - INTERNE</v>
      </c>
      <c r="N12" s="655">
        <f>+IF(OR($Q12=Parametres!$G$2,$Q12=Parametres!$G$3),I12,C12)</f>
        <v>154.94999999999999</v>
      </c>
      <c r="O12" s="655">
        <f>+IF(OR($Q12=Parametres!$G$2,$Q12=Parametres!$G$3),J12,D12)</f>
        <v>0</v>
      </c>
      <c r="P12" s="655">
        <f>+IF(OR($Q12=Parametres!$G$2,$Q12=Parametres!$G$3),K12,E12)</f>
        <v>154.94999999999999</v>
      </c>
      <c r="Q12" s="654" t="str">
        <f t="shared" ref="Q12:S12" si="12">+F12</f>
        <v>1-Mémo</v>
      </c>
      <c r="R12" s="653" t="str">
        <f t="shared" si="12"/>
        <v>24</v>
      </c>
      <c r="S12" s="654" t="str">
        <f t="shared" si="12"/>
        <v>_</v>
      </c>
      <c r="T12" s="656" t="str">
        <f>+VLOOKUP($L12,Data_Validation!$A:$D,1,0)</f>
        <v>245</v>
      </c>
      <c r="U12" s="656">
        <f>+VLOOKUP($L12,Data_Validation!$A:$D,3,0)</f>
        <v>0</v>
      </c>
      <c r="V12" s="656">
        <f>+VLOOKUP($L12,Data_Validation!$A:$D,4,0)</f>
        <v>0</v>
      </c>
      <c r="W12" s="656">
        <f>+VLOOKUP($L12,Data_Validation!$A:$E,5,0)</f>
        <v>0</v>
      </c>
      <c r="X12" s="656">
        <f>+VLOOKUP($L12,Data_Validation!$A:$F,6,0)</f>
        <v>0</v>
      </c>
    </row>
    <row r="13" spans="1:26" ht="15" customHeight="1">
      <c r="A13" s="1252" t="s">
        <v>3661</v>
      </c>
      <c r="B13" s="1252" t="s">
        <v>1727</v>
      </c>
      <c r="C13" s="1253"/>
      <c r="D13" s="1253"/>
      <c r="E13" s="1253"/>
      <c r="F13" s="1252" t="s">
        <v>2</v>
      </c>
      <c r="G13" s="1252" t="s">
        <v>3324</v>
      </c>
      <c r="H13" s="1252" t="s">
        <v>3955</v>
      </c>
      <c r="I13" s="1254">
        <v>75</v>
      </c>
      <c r="J13" s="1254">
        <v>0</v>
      </c>
      <c r="K13" s="1254">
        <v>75</v>
      </c>
      <c r="L13" s="653" t="str">
        <f t="shared" si="2"/>
        <v>246</v>
      </c>
      <c r="M13" s="654" t="str">
        <f t="shared" si="0"/>
        <v>TAUX MAIN D'OEUVRE - VW - MCI - CARROSSERIE</v>
      </c>
      <c r="N13" s="655">
        <f>+IF(OR($Q13=Parametres!$G$2,$Q13=Parametres!$G$3),I13,C13)</f>
        <v>75</v>
      </c>
      <c r="O13" s="655">
        <f>+IF(OR($Q13=Parametres!$G$2,$Q13=Parametres!$G$3),J13,D13)</f>
        <v>0</v>
      </c>
      <c r="P13" s="655">
        <f>+IF(OR($Q13=Parametres!$G$2,$Q13=Parametres!$G$3),K13,E13)</f>
        <v>75</v>
      </c>
      <c r="Q13" s="654" t="str">
        <f t="shared" ref="Q13:S13" si="13">+F13</f>
        <v>1-Mémo</v>
      </c>
      <c r="R13" s="653" t="str">
        <f t="shared" si="13"/>
        <v>24</v>
      </c>
      <c r="S13" s="654" t="str">
        <f t="shared" si="13"/>
        <v>_</v>
      </c>
      <c r="T13" s="656" t="str">
        <f>+VLOOKUP($L13,Data_Validation!$A:$D,1,0)</f>
        <v>246</v>
      </c>
      <c r="U13" s="656">
        <f>+VLOOKUP($L13,Data_Validation!$A:$D,3,0)</f>
        <v>0</v>
      </c>
      <c r="V13" s="656">
        <f>+VLOOKUP($L13,Data_Validation!$A:$D,4,0)</f>
        <v>0</v>
      </c>
      <c r="W13" s="656">
        <f>+VLOOKUP($L13,Data_Validation!$A:$E,5,0)</f>
        <v>0</v>
      </c>
      <c r="X13" s="656">
        <f>+VLOOKUP($L13,Data_Validation!$A:$F,6,0)</f>
        <v>0</v>
      </c>
    </row>
    <row r="14" spans="1:26" ht="15" customHeight="1">
      <c r="A14" s="1252" t="s">
        <v>741</v>
      </c>
      <c r="B14" s="1252" t="s">
        <v>742</v>
      </c>
      <c r="C14" s="1253"/>
      <c r="D14" s="1253"/>
      <c r="E14" s="1253"/>
      <c r="F14" s="1252" t="s">
        <v>2</v>
      </c>
      <c r="G14" s="1252" t="s">
        <v>742</v>
      </c>
      <c r="H14" s="1252" t="s">
        <v>3955</v>
      </c>
      <c r="I14" s="1254">
        <v>0.14000000000000001</v>
      </c>
      <c r="J14" s="1254">
        <v>0</v>
      </c>
      <c r="K14" s="1254">
        <v>0.14000000000000001</v>
      </c>
      <c r="L14" s="653" t="str">
        <f t="shared" si="2"/>
        <v>255</v>
      </c>
      <c r="M14" s="654" t="str">
        <f t="shared" si="0"/>
        <v>BAIES TRAVAIL PRODUCTIVES - SERVICE VW</v>
      </c>
      <c r="N14" s="655">
        <f>+IF(OR($Q14=Parametres!$G$2,$Q14=Parametres!$G$3),I14,C14)</f>
        <v>0.14000000000000001</v>
      </c>
      <c r="O14" s="655">
        <f>+IF(OR($Q14=Parametres!$G$2,$Q14=Parametres!$G$3),J14,D14)</f>
        <v>0</v>
      </c>
      <c r="P14" s="655">
        <f>+IF(OR($Q14=Parametres!$G$2,$Q14=Parametres!$G$3),K14,E14)</f>
        <v>0.14000000000000001</v>
      </c>
      <c r="Q14" s="654" t="str">
        <f t="shared" ref="Q14:S14" si="14">+F14</f>
        <v>1-Mémo</v>
      </c>
      <c r="R14" s="653" t="str">
        <f t="shared" si="14"/>
        <v>255</v>
      </c>
      <c r="S14" s="654" t="str">
        <f t="shared" si="14"/>
        <v>_</v>
      </c>
      <c r="T14" s="656" t="str">
        <f>+VLOOKUP($L14,Data_Validation!$A:$D,1,0)</f>
        <v>255</v>
      </c>
      <c r="U14" s="656">
        <f>+VLOOKUP($L14,Data_Validation!$A:$D,3,0)</f>
        <v>0</v>
      </c>
      <c r="V14" s="656">
        <f>+VLOOKUP($L14,Data_Validation!$A:$D,4,0)</f>
        <v>0</v>
      </c>
      <c r="W14" s="656">
        <f>+VLOOKUP($L14,Data_Validation!$A:$E,5,0)</f>
        <v>0</v>
      </c>
      <c r="X14" s="656">
        <f>+VLOOKUP($L14,Data_Validation!$A:$F,6,0)</f>
        <v>0</v>
      </c>
    </row>
    <row r="15" spans="1:26" ht="15" customHeight="1">
      <c r="A15" s="1252" t="s">
        <v>3662</v>
      </c>
      <c r="B15" s="1252" t="s">
        <v>744</v>
      </c>
      <c r="C15" s="1253"/>
      <c r="D15" s="1253"/>
      <c r="E15" s="1253"/>
      <c r="F15" s="1252" t="s">
        <v>2</v>
      </c>
      <c r="G15" s="1252" t="s">
        <v>744</v>
      </c>
      <c r="H15" s="1252" t="s">
        <v>3955</v>
      </c>
      <c r="I15" s="1254">
        <v>2445.23</v>
      </c>
      <c r="J15" s="1254">
        <v>0</v>
      </c>
      <c r="K15" s="1254">
        <v>2445.23</v>
      </c>
      <c r="L15" s="653" t="str">
        <f t="shared" si="2"/>
        <v>257</v>
      </c>
      <c r="M15" s="654" t="str">
        <f t="shared" si="0"/>
        <v>HEURES VENDUES - SVC - VW - MCI - CLIENT</v>
      </c>
      <c r="N15" s="655">
        <f>+IF(OR($Q15=Parametres!$G$2,$Q15=Parametres!$G$3),I15,C15)</f>
        <v>2445.23</v>
      </c>
      <c r="O15" s="655">
        <f>+IF(OR($Q15=Parametres!$G$2,$Q15=Parametres!$G$3),J15,D15)</f>
        <v>0</v>
      </c>
      <c r="P15" s="655">
        <f>+IF(OR($Q15=Parametres!$G$2,$Q15=Parametres!$G$3),K15,E15)</f>
        <v>2445.23</v>
      </c>
      <c r="Q15" s="654" t="str">
        <f t="shared" ref="Q15:S15" si="15">+F15</f>
        <v>1-Mémo</v>
      </c>
      <c r="R15" s="653" t="str">
        <f t="shared" si="15"/>
        <v>257</v>
      </c>
      <c r="S15" s="654" t="str">
        <f t="shared" si="15"/>
        <v>_</v>
      </c>
      <c r="T15" s="656" t="str">
        <f>+VLOOKUP($L15,Data_Validation!$A:$D,1,0)</f>
        <v>257</v>
      </c>
      <c r="U15" s="656">
        <f>+VLOOKUP($L15,Data_Validation!$A:$D,3,0)</f>
        <v>0</v>
      </c>
      <c r="V15" s="656">
        <f>+VLOOKUP($L15,Data_Validation!$A:$D,4,0)</f>
        <v>0</v>
      </c>
      <c r="W15" s="656">
        <f>+VLOOKUP($L15,Data_Validation!$A:$E,5,0)</f>
        <v>0</v>
      </c>
      <c r="X15" s="656">
        <f>+VLOOKUP($L15,Data_Validation!$A:$F,6,0)</f>
        <v>0</v>
      </c>
    </row>
    <row r="16" spans="1:26" ht="15" customHeight="1">
      <c r="A16" s="1252" t="s">
        <v>3663</v>
      </c>
      <c r="B16" s="1252" t="s">
        <v>1750</v>
      </c>
      <c r="C16" s="1253"/>
      <c r="D16" s="1253"/>
      <c r="E16" s="1253"/>
      <c r="F16" s="1252" t="s">
        <v>2</v>
      </c>
      <c r="G16" s="1252" t="s">
        <v>744</v>
      </c>
      <c r="H16" s="1252" t="s">
        <v>3955</v>
      </c>
      <c r="I16" s="1254">
        <v>2014.16</v>
      </c>
      <c r="J16" s="1254">
        <v>0</v>
      </c>
      <c r="K16" s="1254">
        <v>2014.16</v>
      </c>
      <c r="L16" s="653" t="str">
        <f t="shared" si="2"/>
        <v>258</v>
      </c>
      <c r="M16" s="654" t="str">
        <f t="shared" si="0"/>
        <v>HEURES VENDUES - SVC - VW - MCI - GARANTIE</v>
      </c>
      <c r="N16" s="655">
        <f>+IF(OR($Q16=Parametres!$G$2,$Q16=Parametres!$G$3),I16,C16)</f>
        <v>2014.16</v>
      </c>
      <c r="O16" s="655">
        <f>+IF(OR($Q16=Parametres!$G$2,$Q16=Parametres!$G$3),J16,D16)</f>
        <v>0</v>
      </c>
      <c r="P16" s="655">
        <f>+IF(OR($Q16=Parametres!$G$2,$Q16=Parametres!$G$3),K16,E16)</f>
        <v>2014.16</v>
      </c>
      <c r="Q16" s="654" t="str">
        <f t="shared" ref="Q16:S16" si="16">+F16</f>
        <v>1-Mémo</v>
      </c>
      <c r="R16" s="653" t="str">
        <f t="shared" si="16"/>
        <v>257</v>
      </c>
      <c r="S16" s="654" t="str">
        <f t="shared" si="16"/>
        <v>_</v>
      </c>
      <c r="T16" s="656" t="str">
        <f>+VLOOKUP($L16,Data_Validation!$A:$D,1,0)</f>
        <v>258</v>
      </c>
      <c r="U16" s="656">
        <f>+VLOOKUP($L16,Data_Validation!$A:$D,3,0)</f>
        <v>0</v>
      </c>
      <c r="V16" s="656">
        <f>+VLOOKUP($L16,Data_Validation!$A:$D,4,0)</f>
        <v>0</v>
      </c>
      <c r="W16" s="656">
        <f>+VLOOKUP($L16,Data_Validation!$A:$E,5,0)</f>
        <v>0</v>
      </c>
      <c r="X16" s="656">
        <f>+VLOOKUP($L16,Data_Validation!$A:$F,6,0)</f>
        <v>0</v>
      </c>
    </row>
    <row r="17" spans="1:24" ht="15" customHeight="1">
      <c r="A17" s="1252" t="s">
        <v>3664</v>
      </c>
      <c r="B17" s="1252" t="s">
        <v>1753</v>
      </c>
      <c r="C17" s="1253"/>
      <c r="D17" s="1253"/>
      <c r="E17" s="1253"/>
      <c r="F17" s="1252" t="s">
        <v>2</v>
      </c>
      <c r="G17" s="1252" t="s">
        <v>744</v>
      </c>
      <c r="H17" s="1252" t="s">
        <v>3955</v>
      </c>
      <c r="I17" s="1254">
        <v>1518.23</v>
      </c>
      <c r="J17" s="1254">
        <v>0</v>
      </c>
      <c r="K17" s="1254">
        <v>1518.23</v>
      </c>
      <c r="L17" s="653" t="str">
        <f t="shared" si="2"/>
        <v>259</v>
      </c>
      <c r="M17" s="654" t="str">
        <f t="shared" si="0"/>
        <v>HEURES VENDUES - SVC - VW - MCI - INTERNE</v>
      </c>
      <c r="N17" s="655">
        <f>+IF(OR($Q17=Parametres!$G$2,$Q17=Parametres!$G$3),I17,C17)</f>
        <v>1518.23</v>
      </c>
      <c r="O17" s="655">
        <f>+IF(OR($Q17=Parametres!$G$2,$Q17=Parametres!$G$3),J17,D17)</f>
        <v>0</v>
      </c>
      <c r="P17" s="655">
        <f>+IF(OR($Q17=Parametres!$G$2,$Q17=Parametres!$G$3),K17,E17)</f>
        <v>1518.23</v>
      </c>
      <c r="Q17" s="654" t="str">
        <f t="shared" ref="Q17:S17" si="17">+F17</f>
        <v>1-Mémo</v>
      </c>
      <c r="R17" s="653" t="str">
        <f t="shared" si="17"/>
        <v>257</v>
      </c>
      <c r="S17" s="654" t="str">
        <f t="shared" si="17"/>
        <v>_</v>
      </c>
      <c r="T17" s="656" t="str">
        <f>+VLOOKUP($L17,Data_Validation!$A:$D,1,0)</f>
        <v>259</v>
      </c>
      <c r="U17" s="656">
        <f>+VLOOKUP($L17,Data_Validation!$A:$D,3,0)</f>
        <v>0</v>
      </c>
      <c r="V17" s="656">
        <f>+VLOOKUP($L17,Data_Validation!$A:$D,4,0)</f>
        <v>0</v>
      </c>
      <c r="W17" s="656">
        <f>+VLOOKUP($L17,Data_Validation!$A:$E,5,0)</f>
        <v>0</v>
      </c>
      <c r="X17" s="656">
        <f>+VLOOKUP($L17,Data_Validation!$A:$F,6,0)</f>
        <v>0</v>
      </c>
    </row>
    <row r="18" spans="1:24" ht="15" customHeight="1">
      <c r="A18" s="1252" t="s">
        <v>3945</v>
      </c>
      <c r="B18" s="1252" t="s">
        <v>3946</v>
      </c>
      <c r="C18" s="1253"/>
      <c r="D18" s="1253"/>
      <c r="E18" s="1253"/>
      <c r="F18" s="1252" t="s">
        <v>2</v>
      </c>
      <c r="G18" s="1252" t="s">
        <v>3947</v>
      </c>
      <c r="H18" s="1252" t="s">
        <v>3955</v>
      </c>
      <c r="I18" s="1254">
        <v>154.94999999999999</v>
      </c>
      <c r="J18" s="1254">
        <v>0</v>
      </c>
      <c r="K18" s="1254">
        <v>154.94999999999999</v>
      </c>
      <c r="L18" s="653" t="str">
        <f t="shared" si="2"/>
        <v>266</v>
      </c>
      <c r="M18" s="654" t="str">
        <f t="shared" si="0"/>
        <v>TAUX MAIN D'OEUVRE - CLIENT - VW - VEB</v>
      </c>
      <c r="N18" s="655">
        <f>+IF(OR($Q18=Parametres!$G$2,$Q18=Parametres!$G$3),I18,C18)</f>
        <v>154.94999999999999</v>
      </c>
      <c r="O18" s="655">
        <f>+IF(OR($Q18=Parametres!$G$2,$Q18=Parametres!$G$3),J18,D18)</f>
        <v>0</v>
      </c>
      <c r="P18" s="655">
        <f>+IF(OR($Q18=Parametres!$G$2,$Q18=Parametres!$G$3),K18,E18)</f>
        <v>154.94999999999999</v>
      </c>
      <c r="Q18" s="654" t="str">
        <f t="shared" ref="Q18:S18" si="18">+F18</f>
        <v>1-Mémo</v>
      </c>
      <c r="R18" s="653" t="str">
        <f t="shared" si="18"/>
        <v>26</v>
      </c>
      <c r="S18" s="654" t="str">
        <f t="shared" si="18"/>
        <v>_</v>
      </c>
      <c r="T18" s="656" t="e">
        <f>+VLOOKUP($L18,Data_Validation!$A:$D,1,0)</f>
        <v>#N/A</v>
      </c>
      <c r="U18" s="656" t="e">
        <f>+VLOOKUP($L18,Data_Validation!$A:$D,3,0)</f>
        <v>#N/A</v>
      </c>
      <c r="V18" s="656" t="e">
        <f>+VLOOKUP($L18,Data_Validation!$A:$D,4,0)</f>
        <v>#N/A</v>
      </c>
      <c r="W18" s="656" t="e">
        <f>+VLOOKUP($L18,Data_Validation!$A:$E,5,0)</f>
        <v>#N/A</v>
      </c>
      <c r="X18" s="656" t="e">
        <f>+VLOOKUP($L18,Data_Validation!$A:$F,6,0)</f>
        <v>#N/A</v>
      </c>
    </row>
    <row r="19" spans="1:24" ht="15" customHeight="1">
      <c r="A19" s="1252" t="s">
        <v>3948</v>
      </c>
      <c r="B19" s="1252" t="s">
        <v>3949</v>
      </c>
      <c r="C19" s="1253"/>
      <c r="D19" s="1253"/>
      <c r="E19" s="1253"/>
      <c r="F19" s="1252" t="s">
        <v>2</v>
      </c>
      <c r="G19" s="1252" t="s">
        <v>3947</v>
      </c>
      <c r="H19" s="1252" t="s">
        <v>3955</v>
      </c>
      <c r="I19" s="1254">
        <v>142.97</v>
      </c>
      <c r="J19" s="1254">
        <v>0</v>
      </c>
      <c r="K19" s="1254">
        <v>142.97</v>
      </c>
      <c r="L19" s="653" t="str">
        <f t="shared" si="2"/>
        <v>267</v>
      </c>
      <c r="M19" s="654" t="str">
        <f t="shared" si="0"/>
        <v>TAUX MAIN D'OEUVRE - GARANTIE - VW - VEB</v>
      </c>
      <c r="N19" s="655">
        <f>+IF(OR($Q19=Parametres!$G$2,$Q19=Parametres!$G$3),I19,C19)</f>
        <v>142.97</v>
      </c>
      <c r="O19" s="659">
        <f>+IF(OR($Q19=Parametres!$G$2,$Q19=Parametres!$G$3),J19,D19)</f>
        <v>0</v>
      </c>
      <c r="P19" s="655">
        <f>+IF(OR($Q19=Parametres!$G$2,$Q19=Parametres!$G$3),K19,E19)</f>
        <v>142.97</v>
      </c>
      <c r="Q19" s="654" t="str">
        <f t="shared" ref="Q19:S19" si="19">+F19</f>
        <v>1-Mémo</v>
      </c>
      <c r="R19" s="653" t="str">
        <f t="shared" si="19"/>
        <v>26</v>
      </c>
      <c r="S19" s="654" t="str">
        <f t="shared" si="19"/>
        <v>_</v>
      </c>
      <c r="T19" s="656" t="e">
        <f>+VLOOKUP($L19,Data_Validation!$A:$D,1,0)</f>
        <v>#N/A</v>
      </c>
      <c r="U19" s="656" t="e">
        <f>+VLOOKUP($L19,Data_Validation!$A:$D,3,0)</f>
        <v>#N/A</v>
      </c>
      <c r="V19" s="656" t="e">
        <f>+VLOOKUP($L19,Data_Validation!$A:$D,4,0)</f>
        <v>#N/A</v>
      </c>
      <c r="W19" s="656" t="e">
        <f>+VLOOKUP($L19,Data_Validation!$A:$E,5,0)</f>
        <v>#N/A</v>
      </c>
      <c r="X19" s="656" t="e">
        <f>+VLOOKUP($L19,Data_Validation!$A:$F,6,0)</f>
        <v>#N/A</v>
      </c>
    </row>
    <row r="20" spans="1:24" ht="15" customHeight="1">
      <c r="A20" s="1252" t="s">
        <v>3950</v>
      </c>
      <c r="B20" s="1252" t="s">
        <v>3951</v>
      </c>
      <c r="C20" s="1253"/>
      <c r="D20" s="1253"/>
      <c r="E20" s="1253"/>
      <c r="F20" s="1252" t="s">
        <v>2</v>
      </c>
      <c r="G20" s="1252" t="s">
        <v>3947</v>
      </c>
      <c r="H20" s="1252" t="s">
        <v>3955</v>
      </c>
      <c r="I20" s="1254">
        <v>154.94999999999999</v>
      </c>
      <c r="J20" s="1254">
        <v>0</v>
      </c>
      <c r="K20" s="1254">
        <v>154.94999999999999</v>
      </c>
      <c r="L20" s="653" t="str">
        <f t="shared" si="2"/>
        <v>268</v>
      </c>
      <c r="M20" s="654" t="str">
        <f t="shared" si="0"/>
        <v>TAUX MAIN D'OEUVRE - INTERNE - VW - VEB</v>
      </c>
      <c r="N20" s="655">
        <f>+IF(OR($Q20=Parametres!$G$2,$Q20=Parametres!$G$3),I20,C20)</f>
        <v>154.94999999999999</v>
      </c>
      <c r="O20" s="655">
        <f>+IF(OR($Q20=Parametres!$G$2,$Q20=Parametres!$G$3),J20,D20)</f>
        <v>0</v>
      </c>
      <c r="P20" s="655">
        <f>+IF(OR($Q20=Parametres!$G$2,$Q20=Parametres!$G$3),K20,E20)</f>
        <v>154.94999999999999</v>
      </c>
      <c r="Q20" s="654" t="str">
        <f t="shared" ref="Q20:S20" si="20">+F20</f>
        <v>1-Mémo</v>
      </c>
      <c r="R20" s="653" t="str">
        <f t="shared" si="20"/>
        <v>26</v>
      </c>
      <c r="S20" s="654" t="str">
        <f t="shared" si="20"/>
        <v>_</v>
      </c>
      <c r="T20" s="656" t="e">
        <f>+VLOOKUP($L20,Data_Validation!$A:$D,1,0)</f>
        <v>#N/A</v>
      </c>
      <c r="U20" s="656" t="e">
        <f>+VLOOKUP($L20,Data_Validation!$A:$D,3,0)</f>
        <v>#N/A</v>
      </c>
      <c r="V20" s="656" t="e">
        <f>+VLOOKUP($L20,Data_Validation!$A:$D,4,0)</f>
        <v>#N/A</v>
      </c>
      <c r="W20" s="656" t="e">
        <f>+VLOOKUP($L20,Data_Validation!$A:$E,5,0)</f>
        <v>#N/A</v>
      </c>
      <c r="X20" s="656" t="e">
        <f>+VLOOKUP($L20,Data_Validation!$A:$F,6,0)</f>
        <v>#N/A</v>
      </c>
    </row>
    <row r="21" spans="1:24" ht="15" customHeight="1">
      <c r="A21" s="1252" t="s">
        <v>3952</v>
      </c>
      <c r="B21" s="1252" t="s">
        <v>3953</v>
      </c>
      <c r="C21" s="1253"/>
      <c r="D21" s="1253"/>
      <c r="E21" s="1253"/>
      <c r="F21" s="1252" t="s">
        <v>2</v>
      </c>
      <c r="G21" s="1252" t="s">
        <v>3947</v>
      </c>
      <c r="H21" s="1252" t="s">
        <v>3955</v>
      </c>
      <c r="I21" s="1254">
        <v>75</v>
      </c>
      <c r="J21" s="1254">
        <v>0</v>
      </c>
      <c r="K21" s="1254">
        <v>75</v>
      </c>
      <c r="L21" s="653" t="str">
        <f t="shared" si="2"/>
        <v>269</v>
      </c>
      <c r="M21" s="654" t="str">
        <f t="shared" si="0"/>
        <v>TAUX MAIN D'OEUVRE - BODY - VW - VEB</v>
      </c>
      <c r="N21" s="655">
        <f>+IF(OR($Q21=Parametres!$G$2,$Q21=Parametres!$G$3),I21,C21)</f>
        <v>75</v>
      </c>
      <c r="O21" s="655">
        <f>+IF(OR($Q21=Parametres!$G$2,$Q21=Parametres!$G$3),J21,D21)</f>
        <v>0</v>
      </c>
      <c r="P21" s="655">
        <f>+IF(OR($Q21=Parametres!$G$2,$Q21=Parametres!$G$3),K21,E21)</f>
        <v>75</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52" t="s">
        <v>747</v>
      </c>
      <c r="B22" s="1252" t="s">
        <v>1763</v>
      </c>
      <c r="C22" s="1253"/>
      <c r="D22" s="1253"/>
      <c r="E22" s="1253"/>
      <c r="F22" s="1252" t="s">
        <v>2</v>
      </c>
      <c r="G22" s="1252" t="s">
        <v>748</v>
      </c>
      <c r="H22" s="1252" t="s">
        <v>3955</v>
      </c>
      <c r="I22" s="1254">
        <v>16183.46</v>
      </c>
      <c r="J22" s="1254">
        <v>0</v>
      </c>
      <c r="K22" s="1254">
        <v>16183.46</v>
      </c>
      <c r="L22" s="653" t="str">
        <f t="shared" si="2"/>
        <v>300</v>
      </c>
      <c r="M22" s="654" t="str">
        <f t="shared" si="0"/>
        <v>REC VEH PASSE DU 30-60</v>
      </c>
      <c r="N22" s="655">
        <f>+IF(OR($Q22=Parametres!$G$2,$Q22=Parametres!$G$3),I22,C22)</f>
        <v>16183.46</v>
      </c>
      <c r="O22" s="655">
        <f>+IF(OR($Q22=Parametres!$G$2,$Q22=Parametres!$G$3),J22,D22)</f>
        <v>0</v>
      </c>
      <c r="P22" s="655">
        <f>+IF(OR($Q22=Parametres!$G$2,$Q22=Parametres!$G$3),K22,E22)</f>
        <v>16183.46</v>
      </c>
      <c r="Q22" s="654" t="str">
        <f t="shared" ref="Q22:S22" si="22">+F22</f>
        <v>1-Mémo</v>
      </c>
      <c r="R22" s="653" t="str">
        <f t="shared" si="22"/>
        <v>30</v>
      </c>
      <c r="S22" s="654" t="str">
        <f t="shared" si="22"/>
        <v>_</v>
      </c>
      <c r="T22" s="656" t="str">
        <f>+VLOOKUP($L22,Data_Validation!$A:$D,1,0)</f>
        <v>300</v>
      </c>
      <c r="U22" s="656">
        <f>+VLOOKUP($L22,Data_Validation!$A:$D,3,0)</f>
        <v>0</v>
      </c>
      <c r="V22" s="656">
        <f>+VLOOKUP($L22,Data_Validation!$A:$D,4,0)</f>
        <v>0</v>
      </c>
      <c r="W22" s="656">
        <f>+VLOOKUP($L22,Data_Validation!$A:$E,5,0)</f>
        <v>0</v>
      </c>
      <c r="X22" s="656">
        <f>+VLOOKUP($L22,Data_Validation!$A:$F,6,0)</f>
        <v>0</v>
      </c>
    </row>
    <row r="23" spans="1:24" ht="15" customHeight="1">
      <c r="A23" s="1252" t="s">
        <v>749</v>
      </c>
      <c r="B23" s="1252" t="s">
        <v>1774</v>
      </c>
      <c r="C23" s="1253"/>
      <c r="D23" s="1253"/>
      <c r="E23" s="1253"/>
      <c r="F23" s="1252" t="s">
        <v>2</v>
      </c>
      <c r="G23" s="1252" t="s">
        <v>748</v>
      </c>
      <c r="H23" s="1252" t="s">
        <v>3955</v>
      </c>
      <c r="I23" s="1254">
        <v>90214.34</v>
      </c>
      <c r="J23" s="1254">
        <v>0</v>
      </c>
      <c r="K23" s="1254">
        <v>90214.34</v>
      </c>
      <c r="L23" s="653" t="str">
        <f t="shared" si="2"/>
        <v>301</v>
      </c>
      <c r="M23" s="654" t="str">
        <f t="shared" si="0"/>
        <v>CLIENT S P ET A PASSE DU 30-60</v>
      </c>
      <c r="N23" s="655">
        <f>+IF(OR($Q23=Parametres!$G$2,$Q23=Parametres!$G$3),I23,C23)</f>
        <v>90214.34</v>
      </c>
      <c r="O23" s="655">
        <f>+IF(OR($Q23=Parametres!$G$2,$Q23=Parametres!$G$3),J23,D23)</f>
        <v>0</v>
      </c>
      <c r="P23" s="655">
        <f>+IF(OR($Q23=Parametres!$G$2,$Q23=Parametres!$G$3),K23,E23)</f>
        <v>90214.34</v>
      </c>
      <c r="Q23" s="654" t="str">
        <f t="shared" ref="Q23:S23" si="23">+F23</f>
        <v>1-Mémo</v>
      </c>
      <c r="R23" s="653" t="str">
        <f t="shared" si="23"/>
        <v>30</v>
      </c>
      <c r="S23" s="654" t="str">
        <f t="shared" si="23"/>
        <v>_</v>
      </c>
      <c r="T23" s="656" t="str">
        <f>+VLOOKUP($L23,Data_Validation!$A:$D,1,0)</f>
        <v>301</v>
      </c>
      <c r="U23" s="656">
        <f>+VLOOKUP($L23,Data_Validation!$A:$D,3,0)</f>
        <v>0</v>
      </c>
      <c r="V23" s="656">
        <f>+VLOOKUP($L23,Data_Validation!$A:$D,4,0)</f>
        <v>0</v>
      </c>
      <c r="W23" s="656">
        <f>+VLOOKUP($L23,Data_Validation!$A:$E,5,0)</f>
        <v>0</v>
      </c>
      <c r="X23" s="656">
        <f>+VLOOKUP($L23,Data_Validation!$A:$F,6,0)</f>
        <v>0</v>
      </c>
    </row>
    <row r="24" spans="1:24" ht="15" customHeight="1">
      <c r="A24" s="1252" t="s">
        <v>750</v>
      </c>
      <c r="B24" s="1252" t="s">
        <v>1777</v>
      </c>
      <c r="C24" s="1253"/>
      <c r="D24" s="1253"/>
      <c r="E24" s="1253"/>
      <c r="F24" s="1252" t="s">
        <v>2</v>
      </c>
      <c r="G24" s="1252" t="s">
        <v>748</v>
      </c>
      <c r="H24" s="1252" t="s">
        <v>3955</v>
      </c>
      <c r="I24" s="1254">
        <v>25548.84</v>
      </c>
      <c r="J24" s="1254">
        <v>0</v>
      </c>
      <c r="K24" s="1254">
        <v>25548.84</v>
      </c>
      <c r="L24" s="653" t="str">
        <f t="shared" si="2"/>
        <v>302</v>
      </c>
      <c r="M24" s="654" t="str">
        <f t="shared" si="0"/>
        <v>RECLAM GARANTIE VW PASSE DU 30-60</v>
      </c>
      <c r="N24" s="655">
        <f>+IF(OR($Q24=Parametres!$G$2,$Q24=Parametres!$G$3),I24,C24)</f>
        <v>25548.84</v>
      </c>
      <c r="O24" s="655">
        <f>+IF(OR($Q24=Parametres!$G$2,$Q24=Parametres!$G$3),J24,D24)</f>
        <v>0</v>
      </c>
      <c r="P24" s="655">
        <f>+IF(OR($Q24=Parametres!$G$2,$Q24=Parametres!$G$3),K24,E24)</f>
        <v>25548.84</v>
      </c>
      <c r="Q24" s="654" t="str">
        <f t="shared" ref="Q24:S24" si="24">+F24</f>
        <v>1-Mémo</v>
      </c>
      <c r="R24" s="653" t="str">
        <f t="shared" si="24"/>
        <v>30</v>
      </c>
      <c r="S24" s="654" t="str">
        <f t="shared" si="24"/>
        <v>_</v>
      </c>
      <c r="T24" s="656" t="str">
        <f>+VLOOKUP($L24,Data_Validation!$A:$D,1,0)</f>
        <v>302</v>
      </c>
      <c r="U24" s="656">
        <f>+VLOOKUP($L24,Data_Validation!$A:$D,3,0)</f>
        <v>0</v>
      </c>
      <c r="V24" s="656">
        <f>+VLOOKUP($L24,Data_Validation!$A:$D,4,0)</f>
        <v>0</v>
      </c>
      <c r="W24" s="656">
        <f>+VLOOKUP($L24,Data_Validation!$A:$E,5,0)</f>
        <v>0</v>
      </c>
      <c r="X24" s="656">
        <f>+VLOOKUP($L24,Data_Validation!$A:$F,6,0)</f>
        <v>0</v>
      </c>
    </row>
    <row r="25" spans="1:24" ht="15" customHeight="1">
      <c r="A25" s="1252" t="s">
        <v>751</v>
      </c>
      <c r="B25" s="1252" t="s">
        <v>1780</v>
      </c>
      <c r="C25" s="1253"/>
      <c r="D25" s="1253"/>
      <c r="E25" s="1253"/>
      <c r="F25" s="1252" t="s">
        <v>2</v>
      </c>
      <c r="G25" s="1252" t="s">
        <v>748</v>
      </c>
      <c r="H25" s="1252" t="s">
        <v>3955</v>
      </c>
      <c r="I25" s="1254">
        <v>278838</v>
      </c>
      <c r="J25" s="1254">
        <v>0</v>
      </c>
      <c r="K25" s="1254">
        <v>278838</v>
      </c>
      <c r="L25" s="653" t="str">
        <f t="shared" si="2"/>
        <v>307</v>
      </c>
      <c r="M25" s="654" t="str">
        <f t="shared" si="0"/>
        <v>AUTRE REC MANUFACTURIER VW PASSE DU 30-60</v>
      </c>
      <c r="N25" s="655">
        <f>+IF(OR($Q25=Parametres!$G$2,$Q25=Parametres!$G$3),I25,C25)</f>
        <v>278838</v>
      </c>
      <c r="O25" s="655">
        <f>+IF(OR($Q25=Parametres!$G$2,$Q25=Parametres!$G$3),J25,D25)</f>
        <v>0</v>
      </c>
      <c r="P25" s="655">
        <f>+IF(OR($Q25=Parametres!$G$2,$Q25=Parametres!$G$3),K25,E25)</f>
        <v>278838</v>
      </c>
      <c r="Q25" s="654" t="str">
        <f t="shared" ref="Q25:S25" si="25">+F25</f>
        <v>1-Mémo</v>
      </c>
      <c r="R25" s="653" t="str">
        <f t="shared" si="25"/>
        <v>30</v>
      </c>
      <c r="S25" s="654" t="str">
        <f t="shared" si="25"/>
        <v>_</v>
      </c>
      <c r="T25" s="656" t="str">
        <f>+VLOOKUP($L25,Data_Validation!$A:$D,1,0)</f>
        <v>307</v>
      </c>
      <c r="U25" s="656">
        <f>+VLOOKUP($L25,Data_Validation!$A:$D,3,0)</f>
        <v>0</v>
      </c>
      <c r="V25" s="656">
        <f>+VLOOKUP($L25,Data_Validation!$A:$D,4,0)</f>
        <v>0</v>
      </c>
      <c r="W25" s="656">
        <f>+VLOOKUP($L25,Data_Validation!$A:$E,5,0)</f>
        <v>0</v>
      </c>
      <c r="X25" s="656">
        <f>+VLOOKUP($L25,Data_Validation!$A:$F,6,0)</f>
        <v>0</v>
      </c>
    </row>
    <row r="26" spans="1:24" ht="15.75" customHeight="1">
      <c r="A26" s="1252" t="s">
        <v>752</v>
      </c>
      <c r="B26" s="1252" t="s">
        <v>1783</v>
      </c>
      <c r="C26" s="1253"/>
      <c r="D26" s="1253"/>
      <c r="E26" s="1253"/>
      <c r="F26" s="1252" t="s">
        <v>2</v>
      </c>
      <c r="G26" s="1252" t="s">
        <v>3325</v>
      </c>
      <c r="H26" s="1252" t="s">
        <v>3955</v>
      </c>
      <c r="I26" s="1254">
        <v>18042.12</v>
      </c>
      <c r="J26" s="1254">
        <v>0</v>
      </c>
      <c r="K26" s="1254">
        <v>18042.12</v>
      </c>
      <c r="L26" s="653" t="str">
        <f t="shared" si="2"/>
        <v>311</v>
      </c>
      <c r="M26" s="654" t="str">
        <f t="shared" si="0"/>
        <v>CLIENT VEH PLUS DE 60</v>
      </c>
      <c r="N26" s="655">
        <f>+IF(OR($Q26=Parametres!$G$2,$Q26=Parametres!$G$3),I26,C26)</f>
        <v>18042.12</v>
      </c>
      <c r="O26" s="655">
        <f>+IF(OR($Q26=Parametres!$G$2,$Q26=Parametres!$G$3),J26,D26)</f>
        <v>0</v>
      </c>
      <c r="P26" s="655">
        <f>+IF(OR($Q26=Parametres!$G$2,$Q26=Parametres!$G$3),K26,E26)</f>
        <v>18042.12</v>
      </c>
      <c r="Q26" s="654" t="str">
        <f t="shared" ref="Q26:S26" si="26">+F26</f>
        <v>1-Mémo</v>
      </c>
      <c r="R26" s="653" t="str">
        <f t="shared" si="26"/>
        <v>31</v>
      </c>
      <c r="S26" s="654" t="str">
        <f t="shared" si="26"/>
        <v>_</v>
      </c>
      <c r="T26" s="656" t="str">
        <f>+VLOOKUP($L26,Data_Validation!$A:$D,1,0)</f>
        <v>311</v>
      </c>
      <c r="U26" s="656">
        <f>+VLOOKUP($L26,Data_Validation!$A:$D,3,0)</f>
        <v>0</v>
      </c>
      <c r="V26" s="656">
        <f>+VLOOKUP($L26,Data_Validation!$A:$D,4,0)</f>
        <v>0</v>
      </c>
      <c r="W26" s="656">
        <f>+VLOOKUP($L26,Data_Validation!$A:$E,5,0)</f>
        <v>0</v>
      </c>
      <c r="X26" s="656">
        <f>+VLOOKUP($L26,Data_Validation!$A:$F,6,0)</f>
        <v>0</v>
      </c>
    </row>
    <row r="27" spans="1:24" ht="15" customHeight="1">
      <c r="A27" s="1252" t="s">
        <v>753</v>
      </c>
      <c r="B27" s="1252" t="s">
        <v>1786</v>
      </c>
      <c r="C27" s="1253"/>
      <c r="D27" s="1253"/>
      <c r="E27" s="1253"/>
      <c r="F27" s="1252" t="s">
        <v>2</v>
      </c>
      <c r="G27" s="1252" t="s">
        <v>3325</v>
      </c>
      <c r="H27" s="1252" t="s">
        <v>3955</v>
      </c>
      <c r="I27" s="1254">
        <v>29859.759999999998</v>
      </c>
      <c r="J27" s="1254">
        <v>0</v>
      </c>
      <c r="K27" s="1254">
        <v>29859.759999999998</v>
      </c>
      <c r="L27" s="653" t="str">
        <f t="shared" si="2"/>
        <v>312</v>
      </c>
      <c r="M27" s="654" t="str">
        <f t="shared" si="0"/>
        <v>CLIENT S P ET A PLUS DE 60</v>
      </c>
      <c r="N27" s="655">
        <f>+IF(OR($Q27=Parametres!$G$2,$Q27=Parametres!$G$3),I27,C27)</f>
        <v>29859.759999999998</v>
      </c>
      <c r="O27" s="655">
        <f>+IF(OR($Q27=Parametres!$G$2,$Q27=Parametres!$G$3),J27,D27)</f>
        <v>0</v>
      </c>
      <c r="P27" s="655">
        <f>+IF(OR($Q27=Parametres!$G$2,$Q27=Parametres!$G$3),K27,E27)</f>
        <v>29859.759999999998</v>
      </c>
      <c r="Q27" s="654" t="str">
        <f t="shared" ref="Q27:S27" si="27">+F27</f>
        <v>1-Mémo</v>
      </c>
      <c r="R27" s="653" t="str">
        <f t="shared" si="27"/>
        <v>31</v>
      </c>
      <c r="S27" s="654" t="str">
        <f t="shared" si="27"/>
        <v>_</v>
      </c>
      <c r="T27" s="656" t="str">
        <f>+VLOOKUP($L27,Data_Validation!$A:$D,1,0)</f>
        <v>312</v>
      </c>
      <c r="U27" s="656">
        <f>+VLOOKUP($L27,Data_Validation!$A:$D,3,0)</f>
        <v>0</v>
      </c>
      <c r="V27" s="656">
        <f>+VLOOKUP($L27,Data_Validation!$A:$D,4,0)</f>
        <v>0</v>
      </c>
      <c r="W27" s="656">
        <f>+VLOOKUP($L27,Data_Validation!$A:$E,5,0)</f>
        <v>0</v>
      </c>
      <c r="X27" s="656">
        <f>+VLOOKUP($L27,Data_Validation!$A:$F,6,0)</f>
        <v>0</v>
      </c>
    </row>
    <row r="28" spans="1:24" ht="15" customHeight="1">
      <c r="A28" s="1252" t="s">
        <v>754</v>
      </c>
      <c r="B28" s="1252" t="s">
        <v>1789</v>
      </c>
      <c r="C28" s="1253"/>
      <c r="D28" s="1253"/>
      <c r="E28" s="1253"/>
      <c r="F28" s="1252" t="s">
        <v>2</v>
      </c>
      <c r="G28" s="1252" t="s">
        <v>3325</v>
      </c>
      <c r="H28" s="1252" t="s">
        <v>3955</v>
      </c>
      <c r="I28" s="1254">
        <v>13521.6</v>
      </c>
      <c r="J28" s="1254">
        <v>0</v>
      </c>
      <c r="K28" s="1254">
        <v>13521.6</v>
      </c>
      <c r="L28" s="653" t="str">
        <f t="shared" si="2"/>
        <v>313</v>
      </c>
      <c r="M28" s="654" t="str">
        <f t="shared" si="0"/>
        <v>RECLAMATIONS DE GARATIE VW PLUS DE 60</v>
      </c>
      <c r="N28" s="655">
        <f>+IF(OR($Q28=Parametres!$G$2,$Q28=Parametres!$G$3),I28,C28)</f>
        <v>13521.6</v>
      </c>
      <c r="O28" s="655">
        <f>+IF(OR($Q28=Parametres!$G$2,$Q28=Parametres!$G$3),J28,D28)</f>
        <v>0</v>
      </c>
      <c r="P28" s="655">
        <f>+IF(OR($Q28=Parametres!$G$2,$Q28=Parametres!$G$3),K28,E28)</f>
        <v>13521.6</v>
      </c>
      <c r="Q28" s="654" t="str">
        <f t="shared" ref="Q28:S28" si="28">+F28</f>
        <v>1-Mémo</v>
      </c>
      <c r="R28" s="653" t="str">
        <f t="shared" si="28"/>
        <v>31</v>
      </c>
      <c r="S28" s="654" t="str">
        <f t="shared" si="28"/>
        <v>_</v>
      </c>
      <c r="T28" s="656" t="str">
        <f>+VLOOKUP($L28,Data_Validation!$A:$D,1,0)</f>
        <v>313</v>
      </c>
      <c r="U28" s="656">
        <f>+VLOOKUP($L28,Data_Validation!$A:$D,3,0)</f>
        <v>0</v>
      </c>
      <c r="V28" s="656">
        <f>+VLOOKUP($L28,Data_Validation!$A:$D,4,0)</f>
        <v>0</v>
      </c>
      <c r="W28" s="656">
        <f>+VLOOKUP($L28,Data_Validation!$A:$E,5,0)</f>
        <v>0</v>
      </c>
      <c r="X28" s="656">
        <f>+VLOOKUP($L28,Data_Validation!$A:$F,6,0)</f>
        <v>0</v>
      </c>
    </row>
    <row r="29" spans="1:24" ht="15" customHeight="1">
      <c r="A29" s="1252" t="s">
        <v>755</v>
      </c>
      <c r="B29" s="1252" t="s">
        <v>1792</v>
      </c>
      <c r="C29" s="1253"/>
      <c r="D29" s="1253"/>
      <c r="E29" s="1253"/>
      <c r="F29" s="1252" t="s">
        <v>2</v>
      </c>
      <c r="G29" s="1252" t="s">
        <v>3325</v>
      </c>
      <c r="H29" s="1252" t="s">
        <v>3955</v>
      </c>
      <c r="I29" s="1254">
        <v>170332</v>
      </c>
      <c r="J29" s="1254">
        <v>0</v>
      </c>
      <c r="K29" s="1254">
        <v>170332</v>
      </c>
      <c r="L29" s="653" t="str">
        <f t="shared" si="2"/>
        <v>316</v>
      </c>
      <c r="M29" s="654" t="str">
        <f t="shared" si="0"/>
        <v>AUTRE REC MANUFACTURIER VW PLUS DE 60</v>
      </c>
      <c r="N29" s="655">
        <f>+IF(OR($Q29=Parametres!$G$2,$Q29=Parametres!$G$3),I29,C29)</f>
        <v>170332</v>
      </c>
      <c r="O29" s="655">
        <f>+IF(OR($Q29=Parametres!$G$2,$Q29=Parametres!$G$3),J29,D29)</f>
        <v>0</v>
      </c>
      <c r="P29" s="655">
        <f>+IF(OR($Q29=Parametres!$G$2,$Q29=Parametres!$G$3),K29,E29)</f>
        <v>170332</v>
      </c>
      <c r="Q29" s="654" t="str">
        <f t="shared" ref="Q29:S29" si="29">+F29</f>
        <v>1-Mémo</v>
      </c>
      <c r="R29" s="653" t="str">
        <f t="shared" si="29"/>
        <v>31</v>
      </c>
      <c r="S29" s="654" t="str">
        <f t="shared" si="29"/>
        <v>_</v>
      </c>
      <c r="T29" s="656" t="str">
        <f>+VLOOKUP($L29,Data_Validation!$A:$D,1,0)</f>
        <v>316</v>
      </c>
      <c r="U29" s="656">
        <f>+VLOOKUP($L29,Data_Validation!$A:$D,3,0)</f>
        <v>0</v>
      </c>
      <c r="V29" s="656">
        <f>+VLOOKUP($L29,Data_Validation!$A:$D,4,0)</f>
        <v>0</v>
      </c>
      <c r="W29" s="656">
        <f>+VLOOKUP($L29,Data_Validation!$A:$E,5,0)</f>
        <v>0</v>
      </c>
      <c r="X29" s="656">
        <f>+VLOOKUP($L29,Data_Validation!$A:$F,6,0)</f>
        <v>0</v>
      </c>
    </row>
    <row r="30" spans="1:24" ht="15" customHeight="1">
      <c r="A30" s="1252" t="s">
        <v>756</v>
      </c>
      <c r="B30" s="1252" t="s">
        <v>1798</v>
      </c>
      <c r="C30" s="1253"/>
      <c r="D30" s="1253"/>
      <c r="E30" s="1253"/>
      <c r="F30" s="1252" t="s">
        <v>2</v>
      </c>
      <c r="G30" s="1252" t="s">
        <v>3326</v>
      </c>
      <c r="H30" s="1252" t="s">
        <v>3955</v>
      </c>
      <c r="I30" s="1254">
        <v>0.13</v>
      </c>
      <c r="J30" s="1254">
        <v>0</v>
      </c>
      <c r="K30" s="1254">
        <v>0.13</v>
      </c>
      <c r="L30" s="653" t="str">
        <f t="shared" si="2"/>
        <v>350</v>
      </c>
      <c r="M30" s="654" t="str">
        <f t="shared" si="0"/>
        <v>UNITES USAGES +30JRS</v>
      </c>
      <c r="N30" s="655">
        <f>+IF(OR($Q30=Parametres!$G$2,$Q30=Parametres!$G$3),I30,C30)</f>
        <v>0.13</v>
      </c>
      <c r="O30" s="659">
        <f>+IF(OR($Q30=Parametres!$G$2,$Q30=Parametres!$G$3),J30,D30)</f>
        <v>0</v>
      </c>
      <c r="P30" s="655">
        <f>+IF(OR($Q30=Parametres!$G$2,$Q30=Parametres!$G$3),K30,E30)</f>
        <v>0.13</v>
      </c>
      <c r="Q30" s="654" t="str">
        <f t="shared" ref="Q30:S30" si="30">+F30</f>
        <v>1-Mémo</v>
      </c>
      <c r="R30" s="653" t="str">
        <f t="shared" si="30"/>
        <v>35</v>
      </c>
      <c r="S30" s="654" t="str">
        <f t="shared" si="30"/>
        <v>_</v>
      </c>
      <c r="T30" s="656" t="str">
        <f>+VLOOKUP($L30,Data_Validation!$A:$D,1,0)</f>
        <v>350</v>
      </c>
      <c r="U30" s="656">
        <f>+VLOOKUP($L30,Data_Validation!$A:$D,3,0)</f>
        <v>0</v>
      </c>
      <c r="V30" s="656">
        <f>+VLOOKUP($L30,Data_Validation!$A:$D,4,0)</f>
        <v>0</v>
      </c>
      <c r="W30" s="656">
        <f>+VLOOKUP($L30,Data_Validation!$A:$E,5,0)</f>
        <v>0</v>
      </c>
      <c r="X30" s="656">
        <f>+VLOOKUP($L30,Data_Validation!$A:$F,6,0)</f>
        <v>0</v>
      </c>
    </row>
    <row r="31" spans="1:24" ht="15" customHeight="1">
      <c r="A31" s="1252" t="s">
        <v>757</v>
      </c>
      <c r="B31" s="1252" t="s">
        <v>1801</v>
      </c>
      <c r="C31" s="1253"/>
      <c r="D31" s="1253"/>
      <c r="E31" s="1253"/>
      <c r="F31" s="1252" t="s">
        <v>2</v>
      </c>
      <c r="G31" s="1252" t="s">
        <v>3327</v>
      </c>
      <c r="H31" s="1252" t="s">
        <v>3955</v>
      </c>
      <c r="I31" s="1254">
        <v>254132.19</v>
      </c>
      <c r="J31" s="1254">
        <v>0</v>
      </c>
      <c r="K31" s="1254">
        <v>254132.19</v>
      </c>
      <c r="L31" s="653" t="str">
        <f t="shared" si="2"/>
        <v>360</v>
      </c>
      <c r="M31" s="654" t="str">
        <f t="shared" si="0"/>
        <v>OCCASION VW + 60 JRS</v>
      </c>
      <c r="N31" s="655">
        <f>+IF(OR($Q31=Parametres!$G$2,$Q31=Parametres!$G$3),I31,C31)</f>
        <v>254132.19</v>
      </c>
      <c r="O31" s="655">
        <f>+IF(OR($Q31=Parametres!$G$2,$Q31=Parametres!$G$3),J31,D31)</f>
        <v>0</v>
      </c>
      <c r="P31" s="655">
        <f>+IF(OR($Q31=Parametres!$G$2,$Q31=Parametres!$G$3),K31,E31)</f>
        <v>254132.19</v>
      </c>
      <c r="Q31" s="654" t="str">
        <f t="shared" ref="Q31:S31" si="31">+F31</f>
        <v>1-Mémo</v>
      </c>
      <c r="R31" s="653" t="str">
        <f t="shared" si="31"/>
        <v>36</v>
      </c>
      <c r="S31" s="654" t="str">
        <f t="shared" si="31"/>
        <v>_</v>
      </c>
      <c r="T31" s="656" t="str">
        <f>+VLOOKUP($L31,Data_Validation!$A:$D,1,0)</f>
        <v>360</v>
      </c>
      <c r="U31" s="656">
        <f>+VLOOKUP($L31,Data_Validation!$A:$D,3,0)</f>
        <v>0</v>
      </c>
      <c r="V31" s="656">
        <f>+VLOOKUP($L31,Data_Validation!$A:$D,4,0)</f>
        <v>0</v>
      </c>
      <c r="W31" s="656">
        <f>+VLOOKUP($L31,Data_Validation!$A:$E,5,0)</f>
        <v>0</v>
      </c>
      <c r="X31" s="656">
        <f>+VLOOKUP($L31,Data_Validation!$A:$F,6,0)</f>
        <v>0</v>
      </c>
    </row>
    <row r="32" spans="1:24" ht="15" customHeight="1">
      <c r="A32" s="1252" t="s">
        <v>758</v>
      </c>
      <c r="B32" s="1252" t="s">
        <v>1804</v>
      </c>
      <c r="C32" s="1253"/>
      <c r="D32" s="1253"/>
      <c r="E32" s="1253"/>
      <c r="F32" s="1252" t="s">
        <v>2</v>
      </c>
      <c r="G32" s="1252" t="s">
        <v>3328</v>
      </c>
      <c r="H32" s="1252" t="s">
        <v>3955</v>
      </c>
      <c r="I32" s="1254">
        <v>5293302</v>
      </c>
      <c r="J32" s="1254">
        <v>0</v>
      </c>
      <c r="K32" s="1254">
        <v>5293302</v>
      </c>
      <c r="L32" s="653" t="str">
        <f t="shared" si="2"/>
        <v>370</v>
      </c>
      <c r="M32" s="654" t="str">
        <f t="shared" si="0"/>
        <v>AVOIR DU PROP. MIM. REQUIS</v>
      </c>
      <c r="N32" s="655">
        <f>+IF(OR($Q32=Parametres!$G$2,$Q32=Parametres!$G$3),I32,C32)</f>
        <v>5293302</v>
      </c>
      <c r="O32" s="659">
        <f>+IF(OR($Q32=Parametres!$G$2,$Q32=Parametres!$G$3),J32,D32)</f>
        <v>0</v>
      </c>
      <c r="P32" s="655">
        <f>+IF(OR($Q32=Parametres!$G$2,$Q32=Parametres!$G$3),K32,E32)</f>
        <v>5293302</v>
      </c>
      <c r="Q32" s="654" t="str">
        <f t="shared" ref="Q32:S32" si="32">+F32</f>
        <v>1-Mémo</v>
      </c>
      <c r="R32" s="653" t="str">
        <f t="shared" si="32"/>
        <v>37</v>
      </c>
      <c r="S32" s="654" t="str">
        <f t="shared" si="32"/>
        <v>_</v>
      </c>
      <c r="T32" s="656" t="str">
        <f>+VLOOKUP($L32,Data_Validation!$A:$D,1,0)</f>
        <v>370</v>
      </c>
      <c r="U32" s="656">
        <f>+VLOOKUP($L32,Data_Validation!$A:$D,3,0)</f>
        <v>0</v>
      </c>
      <c r="V32" s="656">
        <f>+VLOOKUP($L32,Data_Validation!$A:$D,4,0)</f>
        <v>0</v>
      </c>
      <c r="W32" s="656">
        <f>+VLOOKUP($L32,Data_Validation!$A:$E,5,0)</f>
        <v>0</v>
      </c>
      <c r="X32" s="656">
        <f>+VLOOKUP($L32,Data_Validation!$A:$F,6,0)</f>
        <v>0</v>
      </c>
    </row>
    <row r="33" spans="1:24" ht="15" customHeight="1">
      <c r="A33" s="1252" t="s">
        <v>759</v>
      </c>
      <c r="B33" s="1252" t="s">
        <v>1807</v>
      </c>
      <c r="C33" s="1253"/>
      <c r="D33" s="1253"/>
      <c r="E33" s="1253"/>
      <c r="F33" s="1252" t="s">
        <v>2</v>
      </c>
      <c r="G33" s="1252" t="s">
        <v>3328</v>
      </c>
      <c r="H33" s="1252" t="s">
        <v>3955</v>
      </c>
      <c r="I33" s="1254">
        <v>1834098</v>
      </c>
      <c r="J33" s="1254">
        <v>0</v>
      </c>
      <c r="K33" s="1254">
        <v>1834098</v>
      </c>
      <c r="L33" s="653" t="str">
        <f t="shared" si="2"/>
        <v>372</v>
      </c>
      <c r="M33" s="654" t="str">
        <f t="shared" si="0"/>
        <v>FONDS DE ROULEMENT/MIN. REQUIS</v>
      </c>
      <c r="N33" s="655">
        <f>+IF(OR($Q33=Parametres!$G$2,$Q33=Parametres!$G$3),I33,C33)</f>
        <v>1834098</v>
      </c>
      <c r="O33" s="655">
        <f>+IF(OR($Q33=Parametres!$G$2,$Q33=Parametres!$G$3),J33,D33)</f>
        <v>0</v>
      </c>
      <c r="P33" s="655">
        <f>+IF(OR($Q33=Parametres!$G$2,$Q33=Parametres!$G$3),K33,E33)</f>
        <v>1834098</v>
      </c>
      <c r="Q33" s="654" t="str">
        <f t="shared" ref="Q33:S33" si="33">+F33</f>
        <v>1-Mémo</v>
      </c>
      <c r="R33" s="653" t="str">
        <f t="shared" si="33"/>
        <v>37</v>
      </c>
      <c r="S33" s="654" t="str">
        <f t="shared" si="33"/>
        <v>_</v>
      </c>
      <c r="T33" s="656" t="str">
        <f>+VLOOKUP($L33,Data_Validation!$A:$D,1,0)</f>
        <v>372</v>
      </c>
      <c r="U33" s="656">
        <f>+VLOOKUP($L33,Data_Validation!$A:$D,3,0)</f>
        <v>0</v>
      </c>
      <c r="V33" s="656">
        <f>+VLOOKUP($L33,Data_Validation!$A:$D,4,0)</f>
        <v>0</v>
      </c>
      <c r="W33" s="656">
        <f>+VLOOKUP($L33,Data_Validation!$A:$E,5,0)</f>
        <v>0</v>
      </c>
      <c r="X33" s="656">
        <f>+VLOOKUP($L33,Data_Validation!$A:$F,6,0)</f>
        <v>0</v>
      </c>
    </row>
    <row r="34" spans="1:24" ht="15.75" customHeight="1">
      <c r="A34" s="1252" t="s">
        <v>760</v>
      </c>
      <c r="B34" s="1252" t="s">
        <v>1812</v>
      </c>
      <c r="C34" s="1253"/>
      <c r="D34" s="1253"/>
      <c r="E34" s="1253"/>
      <c r="F34" s="1252" t="s">
        <v>2</v>
      </c>
      <c r="G34" s="1252" t="s">
        <v>761</v>
      </c>
      <c r="H34" s="1252" t="s">
        <v>3955</v>
      </c>
      <c r="I34" s="1254">
        <v>0.54</v>
      </c>
      <c r="J34" s="1254">
        <v>0</v>
      </c>
      <c r="K34" s="1254">
        <v>0.54</v>
      </c>
      <c r="L34" s="653" t="str">
        <f t="shared" si="2"/>
        <v>401</v>
      </c>
      <c r="M34" s="654" t="str">
        <f t="shared" si="0"/>
        <v>UNITES NEUVES VENDUES JANVIER</v>
      </c>
      <c r="N34" s="655">
        <f>+IF(OR($Q34=Parametres!$G$2,$Q34=Parametres!$G$3),I34,C34)</f>
        <v>0.54</v>
      </c>
      <c r="O34" s="655">
        <f>+IF(OR($Q34=Parametres!$G$2,$Q34=Parametres!$G$3),J34,D34)</f>
        <v>0</v>
      </c>
      <c r="P34" s="655">
        <f>+IF(OR($Q34=Parametres!$G$2,$Q34=Parametres!$G$3),K34,E34)</f>
        <v>0.54</v>
      </c>
      <c r="Q34" s="654" t="str">
        <f t="shared" ref="Q34:S34" si="34">+F34</f>
        <v>1-Mémo</v>
      </c>
      <c r="R34" s="653" t="str">
        <f t="shared" si="34"/>
        <v>40</v>
      </c>
      <c r="S34" s="654" t="str">
        <f t="shared" si="34"/>
        <v>_</v>
      </c>
      <c r="T34" s="656" t="str">
        <f>+VLOOKUP($L34,Data_Validation!$A:$D,1,0)</f>
        <v>401</v>
      </c>
      <c r="U34" s="656">
        <f>+VLOOKUP($L34,Data_Validation!$A:$D,3,0)</f>
        <v>0</v>
      </c>
      <c r="V34" s="656">
        <f>+VLOOKUP($L34,Data_Validation!$A:$D,4,0)</f>
        <v>0</v>
      </c>
      <c r="W34" s="656">
        <f>+VLOOKUP($L34,Data_Validation!$A:$E,5,0)</f>
        <v>0</v>
      </c>
      <c r="X34" s="656">
        <f>+VLOOKUP($L34,Data_Validation!$A:$F,6,0)</f>
        <v>0</v>
      </c>
    </row>
    <row r="35" spans="1:24" ht="15" customHeight="1">
      <c r="A35" s="1252" t="s">
        <v>762</v>
      </c>
      <c r="B35" s="1252" t="s">
        <v>1815</v>
      </c>
      <c r="C35" s="1253"/>
      <c r="D35" s="1253"/>
      <c r="E35" s="1253"/>
      <c r="F35" s="1252" t="s">
        <v>2</v>
      </c>
      <c r="G35" s="1252" t="s">
        <v>761</v>
      </c>
      <c r="H35" s="1252" t="s">
        <v>3955</v>
      </c>
      <c r="I35" s="1254">
        <v>0.4</v>
      </c>
      <c r="J35" s="1254">
        <v>0</v>
      </c>
      <c r="K35" s="1254">
        <v>0.4</v>
      </c>
      <c r="L35" s="653" t="str">
        <f t="shared" si="2"/>
        <v>402</v>
      </c>
      <c r="M35" s="654" t="str">
        <f t="shared" si="0"/>
        <v>UNITES NEUVES VENDUES FEVRIER</v>
      </c>
      <c r="N35" s="655">
        <f>+IF(OR($Q35=Parametres!$G$2,$Q35=Parametres!$G$3),I35,C35)</f>
        <v>0.4</v>
      </c>
      <c r="O35" s="655">
        <f>+IF(OR($Q35=Parametres!$G$2,$Q35=Parametres!$G$3),J35,D35)</f>
        <v>0</v>
      </c>
      <c r="P35" s="655">
        <f>+IF(OR($Q35=Parametres!$G$2,$Q35=Parametres!$G$3),K35,E35)</f>
        <v>0.4</v>
      </c>
      <c r="Q35" s="654" t="str">
        <f t="shared" ref="Q35:S35" si="35">+F35</f>
        <v>1-Mémo</v>
      </c>
      <c r="R35" s="653" t="str">
        <f t="shared" si="35"/>
        <v>40</v>
      </c>
      <c r="S35" s="654" t="str">
        <f t="shared" si="35"/>
        <v>_</v>
      </c>
      <c r="T35" s="656" t="str">
        <f>+VLOOKUP($L35,Data_Validation!$A:$D,1,0)</f>
        <v>402</v>
      </c>
      <c r="U35" s="656">
        <f>+VLOOKUP($L35,Data_Validation!$A:$D,3,0)</f>
        <v>0</v>
      </c>
      <c r="V35" s="656">
        <f>+VLOOKUP($L35,Data_Validation!$A:$D,4,0)</f>
        <v>0</v>
      </c>
      <c r="W35" s="656">
        <f>+VLOOKUP($L35,Data_Validation!$A:$E,5,0)</f>
        <v>0</v>
      </c>
      <c r="X35" s="656">
        <f>+VLOOKUP($L35,Data_Validation!$A:$F,6,0)</f>
        <v>0</v>
      </c>
    </row>
    <row r="36" spans="1:24" ht="15" customHeight="1">
      <c r="A36" s="1252" t="s">
        <v>763</v>
      </c>
      <c r="B36" s="1252" t="s">
        <v>1818</v>
      </c>
      <c r="C36" s="1253"/>
      <c r="D36" s="1253"/>
      <c r="E36" s="1253"/>
      <c r="F36" s="1252" t="s">
        <v>2</v>
      </c>
      <c r="G36" s="1252" t="s">
        <v>761</v>
      </c>
      <c r="H36" s="1252" t="s">
        <v>3955</v>
      </c>
      <c r="I36" s="1254">
        <v>0.55000000000000004</v>
      </c>
      <c r="J36" s="1254">
        <v>0</v>
      </c>
      <c r="K36" s="1254">
        <v>0.55000000000000004</v>
      </c>
      <c r="L36" s="653" t="str">
        <f t="shared" si="2"/>
        <v>403</v>
      </c>
      <c r="M36" s="654" t="str">
        <f t="shared" si="0"/>
        <v>UNITES NEUVES VENDUES MARS</v>
      </c>
      <c r="N36" s="655">
        <f>+IF(OR($Q36=Parametres!$G$2,$Q36=Parametres!$G$3),I36,C36)</f>
        <v>0.55000000000000004</v>
      </c>
      <c r="O36" s="655">
        <f>+IF(OR($Q36=Parametres!$G$2,$Q36=Parametres!$G$3),J36,D36)</f>
        <v>0</v>
      </c>
      <c r="P36" s="655">
        <f>+IF(OR($Q36=Parametres!$G$2,$Q36=Parametres!$G$3),K36,E36)</f>
        <v>0.55000000000000004</v>
      </c>
      <c r="Q36" s="654" t="str">
        <f t="shared" ref="Q36:S36" si="36">+F36</f>
        <v>1-Mémo</v>
      </c>
      <c r="R36" s="653" t="str">
        <f t="shared" si="36"/>
        <v>40</v>
      </c>
      <c r="S36" s="654" t="str">
        <f t="shared" si="36"/>
        <v>_</v>
      </c>
      <c r="T36" s="656" t="str">
        <f>+VLOOKUP($L36,Data_Validation!$A:$D,1,0)</f>
        <v>403</v>
      </c>
      <c r="U36" s="656">
        <f>+VLOOKUP($L36,Data_Validation!$A:$D,3,0)</f>
        <v>0</v>
      </c>
      <c r="V36" s="656">
        <f>+VLOOKUP($L36,Data_Validation!$A:$D,4,0)</f>
        <v>0</v>
      </c>
      <c r="W36" s="656">
        <f>+VLOOKUP($L36,Data_Validation!$A:$E,5,0)</f>
        <v>0</v>
      </c>
      <c r="X36" s="656">
        <f>+VLOOKUP($L36,Data_Validation!$A:$F,6,0)</f>
        <v>0</v>
      </c>
    </row>
    <row r="37" spans="1:24" ht="15" customHeight="1">
      <c r="A37" s="1252" t="s">
        <v>773</v>
      </c>
      <c r="B37" s="1252" t="s">
        <v>1905</v>
      </c>
      <c r="C37" s="1253"/>
      <c r="D37" s="1253"/>
      <c r="E37" s="1253"/>
      <c r="F37" s="1252" t="s">
        <v>2</v>
      </c>
      <c r="G37" s="1252" t="s">
        <v>3329</v>
      </c>
      <c r="H37" s="1252" t="s">
        <v>3955</v>
      </c>
      <c r="I37" s="1254">
        <v>0.24</v>
      </c>
      <c r="J37" s="1254">
        <v>0</v>
      </c>
      <c r="K37" s="1254">
        <v>0.24</v>
      </c>
      <c r="L37" s="653" t="str">
        <f t="shared" si="2"/>
        <v>421</v>
      </c>
      <c r="M37" s="654" t="str">
        <f t="shared" si="0"/>
        <v>UNITES USAGES DET./ JANV.</v>
      </c>
      <c r="N37" s="655">
        <f>+IF(OR($Q37=Parametres!$G$2,$Q37=Parametres!$G$3),I37,C37)</f>
        <v>0.24</v>
      </c>
      <c r="O37" s="655">
        <f>+IF(OR($Q37=Parametres!$G$2,$Q37=Parametres!$G$3),J37,D37)</f>
        <v>0</v>
      </c>
      <c r="P37" s="655">
        <f>+IF(OR($Q37=Parametres!$G$2,$Q37=Parametres!$G$3),K37,E37)</f>
        <v>0.24</v>
      </c>
      <c r="Q37" s="654" t="str">
        <f t="shared" ref="Q37:S37" si="37">+F37</f>
        <v>1-Mémo</v>
      </c>
      <c r="R37" s="653" t="str">
        <f t="shared" si="37"/>
        <v>42</v>
      </c>
      <c r="S37" s="654" t="str">
        <f t="shared" si="37"/>
        <v>_</v>
      </c>
      <c r="T37" s="656" t="str">
        <f>+VLOOKUP($L37,Data_Validation!$A:$D,1,0)</f>
        <v>421</v>
      </c>
      <c r="U37" s="656">
        <f>+VLOOKUP($L37,Data_Validation!$A:$D,3,0)</f>
        <v>0</v>
      </c>
      <c r="V37" s="656">
        <f>+VLOOKUP($L37,Data_Validation!$A:$D,4,0)</f>
        <v>0</v>
      </c>
      <c r="W37" s="656">
        <f>+VLOOKUP($L37,Data_Validation!$A:$E,5,0)</f>
        <v>0</v>
      </c>
      <c r="X37" s="656">
        <f>+VLOOKUP($L37,Data_Validation!$A:$F,6,0)</f>
        <v>0</v>
      </c>
    </row>
    <row r="38" spans="1:24" ht="15" customHeight="1">
      <c r="A38" s="1252" t="s">
        <v>774</v>
      </c>
      <c r="B38" s="1252" t="s">
        <v>1912</v>
      </c>
      <c r="C38" s="1253"/>
      <c r="D38" s="1253"/>
      <c r="E38" s="1253"/>
      <c r="F38" s="1252" t="s">
        <v>2</v>
      </c>
      <c r="G38" s="1252" t="s">
        <v>3329</v>
      </c>
      <c r="H38" s="1252" t="s">
        <v>3955</v>
      </c>
      <c r="I38" s="1254">
        <v>0.17</v>
      </c>
      <c r="J38" s="1254">
        <v>0</v>
      </c>
      <c r="K38" s="1254">
        <v>0.17</v>
      </c>
      <c r="L38" s="653" t="str">
        <f t="shared" si="2"/>
        <v>422</v>
      </c>
      <c r="M38" s="654" t="str">
        <f t="shared" si="0"/>
        <v>UNITES USAGES DET./ FEVR.</v>
      </c>
      <c r="N38" s="655">
        <f>+IF(OR($Q38=Parametres!$G$2,$Q38=Parametres!$G$3),I38,C38)</f>
        <v>0.17</v>
      </c>
      <c r="O38" s="655">
        <f>+IF(OR($Q38=Parametres!$G$2,$Q38=Parametres!$G$3),J38,D38)</f>
        <v>0</v>
      </c>
      <c r="P38" s="655">
        <f>+IF(OR($Q38=Parametres!$G$2,$Q38=Parametres!$G$3),K38,E38)</f>
        <v>0.17</v>
      </c>
      <c r="Q38" s="654" t="str">
        <f t="shared" ref="Q38:S38" si="38">+F38</f>
        <v>1-Mémo</v>
      </c>
      <c r="R38" s="653" t="str">
        <f t="shared" si="38"/>
        <v>42</v>
      </c>
      <c r="S38" s="654" t="str">
        <f t="shared" si="38"/>
        <v>_</v>
      </c>
      <c r="T38" s="656" t="str">
        <f>+VLOOKUP($L38,Data_Validation!$A:$D,1,0)</f>
        <v>422</v>
      </c>
      <c r="U38" s="656">
        <f>+VLOOKUP($L38,Data_Validation!$A:$D,3,0)</f>
        <v>0</v>
      </c>
      <c r="V38" s="656">
        <f>+VLOOKUP($L38,Data_Validation!$A:$D,4,0)</f>
        <v>0</v>
      </c>
      <c r="W38" s="656">
        <f>+VLOOKUP($L38,Data_Validation!$A:$E,5,0)</f>
        <v>0</v>
      </c>
      <c r="X38" s="656">
        <f>+VLOOKUP($L38,Data_Validation!$A:$F,6,0)</f>
        <v>0</v>
      </c>
    </row>
    <row r="39" spans="1:24" ht="15" customHeight="1">
      <c r="A39" s="1252" t="s">
        <v>775</v>
      </c>
      <c r="B39" s="1252" t="s">
        <v>1915</v>
      </c>
      <c r="C39" s="1253"/>
      <c r="D39" s="1253"/>
      <c r="E39" s="1253"/>
      <c r="F39" s="1252" t="s">
        <v>2</v>
      </c>
      <c r="G39" s="1252" t="s">
        <v>3329</v>
      </c>
      <c r="H39" s="1252" t="s">
        <v>3955</v>
      </c>
      <c r="I39" s="1254">
        <v>0.3</v>
      </c>
      <c r="J39" s="1254">
        <v>0</v>
      </c>
      <c r="K39" s="1254">
        <v>0.3</v>
      </c>
      <c r="L39" s="653" t="str">
        <f t="shared" si="2"/>
        <v>423</v>
      </c>
      <c r="M39" s="654" t="str">
        <f t="shared" si="0"/>
        <v>UNITES USAGES DET./ MARS</v>
      </c>
      <c r="N39" s="655">
        <f>+IF(OR($Q39=Parametres!$G$2,$Q39=Parametres!$G$3),I39,C39)</f>
        <v>0.3</v>
      </c>
      <c r="O39" s="659">
        <f>+IF(OR($Q39=Parametres!$G$2,$Q39=Parametres!$G$3),J39,D39)</f>
        <v>0</v>
      </c>
      <c r="P39" s="655">
        <f>+IF(OR($Q39=Parametres!$G$2,$Q39=Parametres!$G$3),K39,E39)</f>
        <v>0.3</v>
      </c>
      <c r="Q39" s="654" t="str">
        <f t="shared" ref="Q39:S39" si="39">+F39</f>
        <v>1-Mémo</v>
      </c>
      <c r="R39" s="653" t="str">
        <f t="shared" si="39"/>
        <v>42</v>
      </c>
      <c r="S39" s="654" t="str">
        <f t="shared" si="39"/>
        <v>_</v>
      </c>
      <c r="T39" s="656" t="str">
        <f>+VLOOKUP($L39,Data_Validation!$A:$D,1,0)</f>
        <v>423</v>
      </c>
      <c r="U39" s="656">
        <f>+VLOOKUP($L39,Data_Validation!$A:$D,3,0)</f>
        <v>0</v>
      </c>
      <c r="V39" s="656">
        <f>+VLOOKUP($L39,Data_Validation!$A:$D,4,0)</f>
        <v>0</v>
      </c>
      <c r="W39" s="656">
        <f>+VLOOKUP($L39,Data_Validation!$A:$E,5,0)</f>
        <v>0</v>
      </c>
      <c r="X39" s="656">
        <f>+VLOOKUP($L39,Data_Validation!$A:$F,6,0)</f>
        <v>0</v>
      </c>
    </row>
    <row r="40" spans="1:24" ht="15.75" customHeight="1">
      <c r="A40" s="1252" t="s">
        <v>784</v>
      </c>
      <c r="B40" s="1252" t="s">
        <v>2055</v>
      </c>
      <c r="C40" s="1253"/>
      <c r="D40" s="1253"/>
      <c r="E40" s="1253"/>
      <c r="F40" s="1252" t="s">
        <v>2</v>
      </c>
      <c r="G40" s="1252" t="s">
        <v>785</v>
      </c>
      <c r="H40" s="1252" t="s">
        <v>3955</v>
      </c>
      <c r="I40" s="1254">
        <v>1</v>
      </c>
      <c r="J40" s="1254">
        <v>0</v>
      </c>
      <c r="K40" s="1254">
        <v>1</v>
      </c>
      <c r="L40" s="653" t="str">
        <f t="shared" si="2"/>
        <v>500</v>
      </c>
      <c r="M40" s="654" t="str">
        <f t="shared" si="0"/>
        <v>PROPRIETAIRES</v>
      </c>
      <c r="N40" s="655">
        <f>+IF(OR($Q40=Parametres!$G$2,$Q40=Parametres!$G$3),I40,C40)</f>
        <v>1</v>
      </c>
      <c r="O40" s="655">
        <f>+IF(OR($Q40=Parametres!$G$2,$Q40=Parametres!$G$3),J40,D40)</f>
        <v>0</v>
      </c>
      <c r="P40" s="655">
        <f>+IF(OR($Q40=Parametres!$G$2,$Q40=Parametres!$G$3),K40,E40)</f>
        <v>1</v>
      </c>
      <c r="Q40" s="654" t="str">
        <f t="shared" ref="Q40:S40" si="40">+F40</f>
        <v>1-Mémo</v>
      </c>
      <c r="R40" s="653" t="str">
        <f t="shared" si="40"/>
        <v>50</v>
      </c>
      <c r="S40" s="654" t="str">
        <f t="shared" si="40"/>
        <v>_</v>
      </c>
      <c r="T40" s="656" t="str">
        <f>+VLOOKUP($L40,Data_Validation!$A:$D,1,0)</f>
        <v>500</v>
      </c>
      <c r="U40" s="656">
        <f>+VLOOKUP($L40,Data_Validation!$A:$D,3,0)</f>
        <v>0</v>
      </c>
      <c r="V40" s="656">
        <f>+VLOOKUP($L40,Data_Validation!$A:$D,4,0)</f>
        <v>0</v>
      </c>
      <c r="W40" s="656" t="str">
        <f>+VLOOKUP($L40,Data_Validation!$A:$E,5,0)</f>
        <v>$</v>
      </c>
      <c r="X40" s="656">
        <f>+VLOOKUP($L40,Data_Validation!$A:$F,6,0)</f>
        <v>0</v>
      </c>
    </row>
    <row r="41" spans="1:24" ht="15" customHeight="1">
      <c r="A41" s="1252" t="s">
        <v>786</v>
      </c>
      <c r="B41" s="1252" t="s">
        <v>1113</v>
      </c>
      <c r="C41" s="1253"/>
      <c r="D41" s="1253"/>
      <c r="E41" s="1253"/>
      <c r="F41" s="1252" t="s">
        <v>2</v>
      </c>
      <c r="G41" s="1252" t="s">
        <v>785</v>
      </c>
      <c r="H41" s="1252" t="s">
        <v>3955</v>
      </c>
      <c r="I41" s="1254">
        <v>0.5</v>
      </c>
      <c r="J41" s="1254">
        <v>0</v>
      </c>
      <c r="K41" s="1254">
        <v>0.5</v>
      </c>
      <c r="L41" s="653" t="str">
        <f t="shared" si="2"/>
        <v>511</v>
      </c>
      <c r="M41" s="654" t="str">
        <f t="shared" si="0"/>
        <v>DIR. GENERAL NEUFS</v>
      </c>
      <c r="N41" s="655">
        <f>+IF(OR($Q41=Parametres!$G$2,$Q41=Parametres!$G$3),I41,C41)</f>
        <v>0.5</v>
      </c>
      <c r="O41" s="659">
        <f>+IF(OR($Q41=Parametres!$G$2,$Q41=Parametres!$G$3),J41,D41)</f>
        <v>0</v>
      </c>
      <c r="P41" s="655">
        <f>+IF(OR($Q41=Parametres!$G$2,$Q41=Parametres!$G$3),K41,E41)</f>
        <v>0.5</v>
      </c>
      <c r="Q41" s="654" t="str">
        <f t="shared" ref="Q41:S41" si="41">+F41</f>
        <v>1-Mémo</v>
      </c>
      <c r="R41" s="653" t="str">
        <f t="shared" si="41"/>
        <v>50</v>
      </c>
      <c r="S41" s="654" t="str">
        <f t="shared" si="41"/>
        <v>_</v>
      </c>
      <c r="T41" s="656" t="str">
        <f>+VLOOKUP($L41,Data_Validation!$A:$D,1,0)</f>
        <v>511</v>
      </c>
      <c r="U41" s="656">
        <f>+VLOOKUP($L41,Data_Validation!$A:$D,3,0)</f>
        <v>0</v>
      </c>
      <c r="V41" s="656">
        <f>+VLOOKUP($L41,Data_Validation!$A:$D,4,0)</f>
        <v>0</v>
      </c>
      <c r="W41" s="656" t="str">
        <f>+VLOOKUP($L41,Data_Validation!$A:$E,5,0)</f>
        <v>$</v>
      </c>
      <c r="X41" s="656">
        <f>+VLOOKUP($L41,Data_Validation!$A:$F,6,0)</f>
        <v>0</v>
      </c>
    </row>
    <row r="42" spans="1:24" ht="15" customHeight="1">
      <c r="A42" s="1252" t="s">
        <v>787</v>
      </c>
      <c r="B42" s="1252" t="s">
        <v>2087</v>
      </c>
      <c r="C42" s="1253"/>
      <c r="D42" s="1253"/>
      <c r="E42" s="1253"/>
      <c r="F42" s="1252" t="s">
        <v>2</v>
      </c>
      <c r="G42" s="1252" t="s">
        <v>785</v>
      </c>
      <c r="H42" s="1252" t="s">
        <v>3955</v>
      </c>
      <c r="I42" s="1254">
        <v>0.5</v>
      </c>
      <c r="J42" s="1254">
        <v>0</v>
      </c>
      <c r="K42" s="1254">
        <v>0.5</v>
      </c>
      <c r="L42" s="653" t="str">
        <f t="shared" si="2"/>
        <v>512</v>
      </c>
      <c r="M42" s="654" t="str">
        <f t="shared" si="0"/>
        <v>DIR. GENERAL USAGES</v>
      </c>
      <c r="N42" s="655">
        <f>+IF(OR($Q42=Parametres!$G$2,$Q42=Parametres!$G$3),I42,C42)</f>
        <v>0.5</v>
      </c>
      <c r="O42" s="655">
        <f>+IF(OR($Q42=Parametres!$G$2,$Q42=Parametres!$G$3),J42,D42)</f>
        <v>0</v>
      </c>
      <c r="P42" s="655">
        <f>+IF(OR($Q42=Parametres!$G$2,$Q42=Parametres!$G$3),K42,E42)</f>
        <v>0.5</v>
      </c>
      <c r="Q42" s="654" t="str">
        <f t="shared" ref="Q42:S42" si="42">+F42</f>
        <v>1-Mémo</v>
      </c>
      <c r="R42" s="653" t="str">
        <f t="shared" si="42"/>
        <v>50</v>
      </c>
      <c r="S42" s="654" t="str">
        <f t="shared" si="42"/>
        <v>_</v>
      </c>
      <c r="T42" s="656" t="str">
        <f>+VLOOKUP($L42,Data_Validation!$A:$D,1,0)</f>
        <v>512</v>
      </c>
      <c r="U42" s="656">
        <f>+VLOOKUP($L42,Data_Validation!$A:$D,3,0)</f>
        <v>0</v>
      </c>
      <c r="V42" s="656">
        <f>+VLOOKUP($L42,Data_Validation!$A:$D,4,0)</f>
        <v>0</v>
      </c>
      <c r="W42" s="656" t="str">
        <f>+VLOOKUP($L42,Data_Validation!$A:$E,5,0)</f>
        <v>$</v>
      </c>
      <c r="X42" s="656">
        <f>+VLOOKUP($L42,Data_Validation!$A:$F,6,0)</f>
        <v>0</v>
      </c>
    </row>
    <row r="43" spans="1:24" ht="15" customHeight="1">
      <c r="A43" s="1252" t="s">
        <v>788</v>
      </c>
      <c r="B43" s="1252" t="s">
        <v>1120</v>
      </c>
      <c r="C43" s="1253"/>
      <c r="D43" s="1253"/>
      <c r="E43" s="1253"/>
      <c r="F43" s="1252" t="s">
        <v>2</v>
      </c>
      <c r="G43" s="1252" t="s">
        <v>785</v>
      </c>
      <c r="H43" s="1252" t="s">
        <v>3955</v>
      </c>
      <c r="I43" s="1254">
        <v>0.5</v>
      </c>
      <c r="J43" s="1254">
        <v>0</v>
      </c>
      <c r="K43" s="1254">
        <v>0.5</v>
      </c>
      <c r="L43" s="653" t="str">
        <f t="shared" si="2"/>
        <v>514</v>
      </c>
      <c r="M43" s="654" t="str">
        <f t="shared" si="0"/>
        <v>DIR. GENERAL SERVICE</v>
      </c>
      <c r="N43" s="655">
        <f>+IF(OR($Q43=Parametres!$G$2,$Q43=Parametres!$G$3),I43,C43)</f>
        <v>0.5</v>
      </c>
      <c r="O43" s="655">
        <f>+IF(OR($Q43=Parametres!$G$2,$Q43=Parametres!$G$3),J43,D43)</f>
        <v>0</v>
      </c>
      <c r="P43" s="655">
        <f>+IF(OR($Q43=Parametres!$G$2,$Q43=Parametres!$G$3),K43,E43)</f>
        <v>0.5</v>
      </c>
      <c r="Q43" s="654" t="str">
        <f t="shared" ref="Q43:S43" si="43">+F43</f>
        <v>1-Mémo</v>
      </c>
      <c r="R43" s="653" t="str">
        <f t="shared" si="43"/>
        <v>50</v>
      </c>
      <c r="S43" s="654" t="str">
        <f t="shared" si="43"/>
        <v>_</v>
      </c>
      <c r="T43" s="656" t="str">
        <f>+VLOOKUP($L43,Data_Validation!$A:$D,1,0)</f>
        <v>514</v>
      </c>
      <c r="U43" s="656">
        <f>+VLOOKUP($L43,Data_Validation!$A:$D,3,0)</f>
        <v>0</v>
      </c>
      <c r="V43" s="656">
        <f>+VLOOKUP($L43,Data_Validation!$A:$D,4,0)</f>
        <v>0</v>
      </c>
      <c r="W43" s="656" t="str">
        <f>+VLOOKUP($L43,Data_Validation!$A:$E,5,0)</f>
        <v>$</v>
      </c>
      <c r="X43" s="656">
        <f>+VLOOKUP($L43,Data_Validation!$A:$F,6,0)</f>
        <v>0</v>
      </c>
    </row>
    <row r="44" spans="1:24" ht="15.75" customHeight="1">
      <c r="A44" s="1252" t="s">
        <v>789</v>
      </c>
      <c r="B44" s="1252" t="s">
        <v>2110</v>
      </c>
      <c r="C44" s="1253"/>
      <c r="D44" s="1253"/>
      <c r="E44" s="1253"/>
      <c r="F44" s="1252" t="s">
        <v>2</v>
      </c>
      <c r="G44" s="1252" t="s">
        <v>785</v>
      </c>
      <c r="H44" s="1252" t="s">
        <v>3955</v>
      </c>
      <c r="I44" s="1254">
        <v>0.5</v>
      </c>
      <c r="J44" s="1254">
        <v>0</v>
      </c>
      <c r="K44" s="1254">
        <v>0.5</v>
      </c>
      <c r="L44" s="653" t="str">
        <f t="shared" si="2"/>
        <v>517</v>
      </c>
      <c r="M44" s="654" t="str">
        <f t="shared" si="0"/>
        <v>DIR. GENERAL PIECES</v>
      </c>
      <c r="N44" s="655">
        <f>+IF(OR($Q44=Parametres!$G$2,$Q44=Parametres!$G$3),I44,C44)</f>
        <v>0.5</v>
      </c>
      <c r="O44" s="655">
        <f>+IF(OR($Q44=Parametres!$G$2,$Q44=Parametres!$G$3),J44,D44)</f>
        <v>0</v>
      </c>
      <c r="P44" s="655">
        <f>+IF(OR($Q44=Parametres!$G$2,$Q44=Parametres!$G$3),K44,E44)</f>
        <v>0.5</v>
      </c>
      <c r="Q44" s="654" t="str">
        <f t="shared" ref="Q44:S44" si="44">+F44</f>
        <v>1-Mémo</v>
      </c>
      <c r="R44" s="653" t="str">
        <f t="shared" si="44"/>
        <v>50</v>
      </c>
      <c r="S44" s="654" t="str">
        <f t="shared" si="44"/>
        <v>_</v>
      </c>
      <c r="T44" s="656" t="str">
        <f>+VLOOKUP($L44,Data_Validation!$A:$D,1,0)</f>
        <v>517</v>
      </c>
      <c r="U44" s="656">
        <f>+VLOOKUP($L44,Data_Validation!$A:$D,3,0)</f>
        <v>0</v>
      </c>
      <c r="V44" s="656">
        <f>+VLOOKUP($L44,Data_Validation!$A:$D,4,0)</f>
        <v>0</v>
      </c>
      <c r="W44" s="656" t="str">
        <f>+VLOOKUP($L44,Data_Validation!$A:$E,5,0)</f>
        <v>$</v>
      </c>
      <c r="X44" s="656">
        <f>+VLOOKUP($L44,Data_Validation!$A:$F,6,0)</f>
        <v>0</v>
      </c>
    </row>
    <row r="45" spans="1:24" ht="15" customHeight="1">
      <c r="A45" s="1252" t="s">
        <v>790</v>
      </c>
      <c r="B45" s="1252" t="s">
        <v>2119</v>
      </c>
      <c r="C45" s="1253"/>
      <c r="D45" s="1253"/>
      <c r="E45" s="1253"/>
      <c r="F45" s="1252" t="s">
        <v>2</v>
      </c>
      <c r="G45" s="1252" t="s">
        <v>785</v>
      </c>
      <c r="H45" s="1252" t="s">
        <v>3955</v>
      </c>
      <c r="I45" s="1254">
        <v>1.5</v>
      </c>
      <c r="J45" s="1254">
        <v>0</v>
      </c>
      <c r="K45" s="1254">
        <v>1.5</v>
      </c>
      <c r="L45" s="653" t="str">
        <f t="shared" si="2"/>
        <v>521</v>
      </c>
      <c r="M45" s="654" t="str">
        <f t="shared" si="0"/>
        <v>DIR. SERVICE NEUFS</v>
      </c>
      <c r="N45" s="655">
        <f>+IF(OR($Q45=Parametres!$G$2,$Q45=Parametres!$G$3),I45,C45)</f>
        <v>1.5</v>
      </c>
      <c r="O45" s="1154">
        <f>+IF(OR($Q45=Parametres!$G$2,$Q45=Parametres!$G$3),J45,D45)</f>
        <v>0</v>
      </c>
      <c r="P45" s="655">
        <f>+IF(OR($Q45=Parametres!$G$2,$Q45=Parametres!$G$3),K45,E45)</f>
        <v>1.5</v>
      </c>
      <c r="Q45" s="654" t="str">
        <f t="shared" ref="Q45:S45" si="45">+F45</f>
        <v>1-Mémo</v>
      </c>
      <c r="R45" s="653" t="str">
        <f t="shared" si="45"/>
        <v>50</v>
      </c>
      <c r="S45" s="654" t="str">
        <f t="shared" si="45"/>
        <v>_</v>
      </c>
      <c r="T45" s="656" t="str">
        <f>+VLOOKUP($L45,Data_Validation!$A:$D,1,0)</f>
        <v>521</v>
      </c>
      <c r="U45" s="656">
        <f>+VLOOKUP($L45,Data_Validation!$A:$D,3,0)</f>
        <v>0</v>
      </c>
      <c r="V45" s="656">
        <f>+VLOOKUP($L45,Data_Validation!$A:$D,4,0)</f>
        <v>0</v>
      </c>
      <c r="W45" s="656" t="str">
        <f>+VLOOKUP($L45,Data_Validation!$A:$E,5,0)</f>
        <v>$</v>
      </c>
      <c r="X45" s="656">
        <f>+VLOOKUP($L45,Data_Validation!$A:$F,6,0)</f>
        <v>0</v>
      </c>
    </row>
    <row r="46" spans="1:24" ht="15" customHeight="1">
      <c r="A46" s="1252" t="s">
        <v>791</v>
      </c>
      <c r="B46" s="1252" t="s">
        <v>2128</v>
      </c>
      <c r="C46" s="1253"/>
      <c r="D46" s="1253"/>
      <c r="E46" s="1253"/>
      <c r="F46" s="1252" t="s">
        <v>2</v>
      </c>
      <c r="G46" s="1252" t="s">
        <v>785</v>
      </c>
      <c r="H46" s="1252" t="s">
        <v>3955</v>
      </c>
      <c r="I46" s="1254">
        <v>1.5</v>
      </c>
      <c r="J46" s="1254">
        <v>0</v>
      </c>
      <c r="K46" s="1254">
        <v>1.5</v>
      </c>
      <c r="L46" s="653" t="str">
        <f t="shared" si="2"/>
        <v>522</v>
      </c>
      <c r="M46" s="654" t="str">
        <f t="shared" si="0"/>
        <v>DIR. SERVICE USAGES</v>
      </c>
      <c r="N46" s="655">
        <f>+IF(OR($Q46=Parametres!$G$2,$Q46=Parametres!$G$3),I46,C46)</f>
        <v>1.5</v>
      </c>
      <c r="O46" s="1154">
        <f>+IF(OR($Q46=Parametres!$G$2,$Q46=Parametres!$G$3),J46,D46)</f>
        <v>0</v>
      </c>
      <c r="P46" s="655">
        <f>+IF(OR($Q46=Parametres!$G$2,$Q46=Parametres!$G$3),K46,E46)</f>
        <v>1.5</v>
      </c>
      <c r="Q46" s="654" t="str">
        <f t="shared" ref="Q46:S46" si="46">+F46</f>
        <v>1-Mémo</v>
      </c>
      <c r="R46" s="653" t="str">
        <f t="shared" si="46"/>
        <v>50</v>
      </c>
      <c r="S46" s="654" t="str">
        <f t="shared" si="46"/>
        <v>_</v>
      </c>
      <c r="T46" s="656" t="str">
        <f>+VLOOKUP($L46,Data_Validation!$A:$D,1,0)</f>
        <v>522</v>
      </c>
      <c r="U46" s="656">
        <f>+VLOOKUP($L46,Data_Validation!$A:$D,3,0)</f>
        <v>0</v>
      </c>
      <c r="V46" s="656">
        <f>+VLOOKUP($L46,Data_Validation!$A:$D,4,0)</f>
        <v>0</v>
      </c>
      <c r="W46" s="656" t="str">
        <f>+VLOOKUP($L46,Data_Validation!$A:$E,5,0)</f>
        <v>$</v>
      </c>
      <c r="X46" s="656">
        <f>+VLOOKUP($L46,Data_Validation!$A:$F,6,0)</f>
        <v>0</v>
      </c>
    </row>
    <row r="47" spans="1:24" ht="15" customHeight="1">
      <c r="A47" s="1252" t="s">
        <v>792</v>
      </c>
      <c r="B47" s="1252" t="s">
        <v>2131</v>
      </c>
      <c r="C47" s="1253"/>
      <c r="D47" s="1253"/>
      <c r="E47" s="1253"/>
      <c r="F47" s="1252" t="s">
        <v>2</v>
      </c>
      <c r="G47" s="1252" t="s">
        <v>785</v>
      </c>
      <c r="H47" s="1252" t="s">
        <v>3955</v>
      </c>
      <c r="I47" s="1254">
        <v>1</v>
      </c>
      <c r="J47" s="1254">
        <v>0</v>
      </c>
      <c r="K47" s="1254">
        <v>1</v>
      </c>
      <c r="L47" s="653" t="str">
        <f t="shared" si="2"/>
        <v>524</v>
      </c>
      <c r="M47" s="654" t="str">
        <f t="shared" si="0"/>
        <v>DIR. SERVICE SERVICE</v>
      </c>
      <c r="N47" s="655">
        <f>+IF(OR($Q47=Parametres!$G$2,$Q47=Parametres!$G$3),I47,C47)</f>
        <v>1</v>
      </c>
      <c r="O47" s="655">
        <f>+IF(OR($Q47=Parametres!$G$2,$Q47=Parametres!$G$3),J47,D47)</f>
        <v>0</v>
      </c>
      <c r="P47" s="655">
        <f>+IF(OR($Q47=Parametres!$G$2,$Q47=Parametres!$G$3),K47,E47)</f>
        <v>1</v>
      </c>
      <c r="Q47" s="654" t="str">
        <f t="shared" ref="Q47:S47" si="47">+F47</f>
        <v>1-Mémo</v>
      </c>
      <c r="R47" s="653" t="str">
        <f t="shared" si="47"/>
        <v>50</v>
      </c>
      <c r="S47" s="654" t="str">
        <f t="shared" si="47"/>
        <v>_</v>
      </c>
      <c r="T47" s="656" t="str">
        <f>+VLOOKUP($L47,Data_Validation!$A:$D,1,0)</f>
        <v>524</v>
      </c>
      <c r="U47" s="656">
        <f>+VLOOKUP($L47,Data_Validation!$A:$D,3,0)</f>
        <v>0</v>
      </c>
      <c r="V47" s="656">
        <f>+VLOOKUP($L47,Data_Validation!$A:$D,4,0)</f>
        <v>0</v>
      </c>
      <c r="W47" s="656" t="str">
        <f>+VLOOKUP($L47,Data_Validation!$A:$E,5,0)</f>
        <v>$</v>
      </c>
      <c r="X47" s="656">
        <f>+VLOOKUP($L47,Data_Validation!$A:$F,6,0)</f>
        <v>0</v>
      </c>
    </row>
    <row r="48" spans="1:24" ht="15.75" customHeight="1">
      <c r="A48" s="1252" t="s">
        <v>793</v>
      </c>
      <c r="B48" s="1252" t="s">
        <v>2133</v>
      </c>
      <c r="C48" s="1253"/>
      <c r="D48" s="1253"/>
      <c r="E48" s="1253"/>
      <c r="F48" s="1252" t="s">
        <v>2</v>
      </c>
      <c r="G48" s="1252" t="s">
        <v>785</v>
      </c>
      <c r="H48" s="1252" t="s">
        <v>3955</v>
      </c>
      <c r="I48" s="1254">
        <v>1</v>
      </c>
      <c r="J48" s="1254">
        <v>0</v>
      </c>
      <c r="K48" s="1254">
        <v>1</v>
      </c>
      <c r="L48" s="653" t="str">
        <f t="shared" si="2"/>
        <v>527</v>
      </c>
      <c r="M48" s="654" t="str">
        <f t="shared" si="0"/>
        <v>DIR. SERVICE PIECES</v>
      </c>
      <c r="N48" s="655">
        <f>+IF(OR($Q48=Parametres!$G$2,$Q48=Parametres!$G$3),I48,C48)</f>
        <v>1</v>
      </c>
      <c r="O48" s="655">
        <f>+IF(OR($Q48=Parametres!$G$2,$Q48=Parametres!$G$3),J48,D48)</f>
        <v>0</v>
      </c>
      <c r="P48" s="655">
        <f>+IF(OR($Q48=Parametres!$G$2,$Q48=Parametres!$G$3),K48,E48)</f>
        <v>1</v>
      </c>
      <c r="Q48" s="654" t="str">
        <f t="shared" ref="Q48:S48" si="48">+F48</f>
        <v>1-Mémo</v>
      </c>
      <c r="R48" s="653" t="str">
        <f t="shared" si="48"/>
        <v>50</v>
      </c>
      <c r="S48" s="654" t="str">
        <f t="shared" si="48"/>
        <v>_</v>
      </c>
      <c r="T48" s="656" t="str">
        <f>+VLOOKUP($L48,Data_Validation!$A:$D,1,0)</f>
        <v>527</v>
      </c>
      <c r="U48" s="656">
        <f>+VLOOKUP($L48,Data_Validation!$A:$D,3,0)</f>
        <v>0</v>
      </c>
      <c r="V48" s="656">
        <f>+VLOOKUP($L48,Data_Validation!$A:$D,4,0)</f>
        <v>0</v>
      </c>
      <c r="W48" s="656" t="str">
        <f>+VLOOKUP($L48,Data_Validation!$A:$E,5,0)</f>
        <v>$</v>
      </c>
      <c r="X48" s="656">
        <f>+VLOOKUP($L48,Data_Validation!$A:$F,6,0)</f>
        <v>0</v>
      </c>
    </row>
    <row r="49" spans="1:24" ht="15" customHeight="1">
      <c r="A49" s="1252" t="s">
        <v>794</v>
      </c>
      <c r="B49" s="1252" t="s">
        <v>2157</v>
      </c>
      <c r="C49" s="1253"/>
      <c r="D49" s="1253"/>
      <c r="E49" s="1253"/>
      <c r="F49" s="1252" t="s">
        <v>2</v>
      </c>
      <c r="G49" s="1252" t="s">
        <v>3330</v>
      </c>
      <c r="H49" s="1252" t="s">
        <v>3955</v>
      </c>
      <c r="I49" s="1254">
        <v>6</v>
      </c>
      <c r="J49" s="1254">
        <v>0</v>
      </c>
      <c r="K49" s="1254">
        <v>6</v>
      </c>
      <c r="L49" s="653" t="str">
        <f t="shared" si="2"/>
        <v>541</v>
      </c>
      <c r="M49" s="654" t="str">
        <f t="shared" si="0"/>
        <v>VW REP. DES VENTES - NEUF</v>
      </c>
      <c r="N49" s="655">
        <f>+IF(OR($Q49=Parametres!$G$2,$Q49=Parametres!$G$3),I49,C49)</f>
        <v>6</v>
      </c>
      <c r="O49" s="659">
        <f>+IF(OR($Q49=Parametres!$G$2,$Q49=Parametres!$G$3),J49,D49)</f>
        <v>0</v>
      </c>
      <c r="P49" s="655">
        <f>+IF(OR($Q49=Parametres!$G$2,$Q49=Parametres!$G$3),K49,E49)</f>
        <v>6</v>
      </c>
      <c r="Q49" s="654" t="str">
        <f t="shared" ref="Q49:S49" si="49">+F49</f>
        <v>1-Mémo</v>
      </c>
      <c r="R49" s="653" t="str">
        <f t="shared" si="49"/>
        <v>54</v>
      </c>
      <c r="S49" s="654" t="str">
        <f t="shared" si="49"/>
        <v>_</v>
      </c>
      <c r="T49" s="656" t="str">
        <f>+VLOOKUP($L49,Data_Validation!$A:$D,1,0)</f>
        <v>541</v>
      </c>
      <c r="U49" s="656">
        <f>+VLOOKUP($L49,Data_Validation!$A:$D,3,0)</f>
        <v>0</v>
      </c>
      <c r="V49" s="656">
        <f>+VLOOKUP($L49,Data_Validation!$A:$D,4,0)</f>
        <v>0</v>
      </c>
      <c r="W49" s="656" t="str">
        <f>+VLOOKUP($L49,Data_Validation!$A:$E,5,0)</f>
        <v>$</v>
      </c>
      <c r="X49" s="656">
        <f>+VLOOKUP($L49,Data_Validation!$A:$F,6,0)</f>
        <v>0</v>
      </c>
    </row>
    <row r="50" spans="1:24" ht="15" customHeight="1">
      <c r="A50" s="1252" t="s">
        <v>795</v>
      </c>
      <c r="B50" s="1252" t="s">
        <v>2163</v>
      </c>
      <c r="C50" s="1253"/>
      <c r="D50" s="1253"/>
      <c r="E50" s="1253"/>
      <c r="F50" s="1252" t="s">
        <v>2</v>
      </c>
      <c r="G50" s="1252" t="s">
        <v>785</v>
      </c>
      <c r="H50" s="1252" t="s">
        <v>3955</v>
      </c>
      <c r="I50" s="1254">
        <v>3</v>
      </c>
      <c r="J50" s="1254">
        <v>0</v>
      </c>
      <c r="K50" s="1254">
        <v>3</v>
      </c>
      <c r="L50" s="653" t="str">
        <f t="shared" si="2"/>
        <v>542</v>
      </c>
      <c r="M50" s="654" t="str">
        <f t="shared" si="0"/>
        <v>VW REP. DES VENTES - OCC.</v>
      </c>
      <c r="N50" s="655">
        <f>+IF(OR($Q50=Parametres!$G$2,$Q50=Parametres!$G$3),I50,C50)</f>
        <v>3</v>
      </c>
      <c r="O50" s="655">
        <f>+IF(OR($Q50=Parametres!$G$2,$Q50=Parametres!$G$3),J50,D50)</f>
        <v>0</v>
      </c>
      <c r="P50" s="655">
        <f>+IF(OR($Q50=Parametres!$G$2,$Q50=Parametres!$G$3),K50,E50)</f>
        <v>3</v>
      </c>
      <c r="Q50" s="654" t="str">
        <f t="shared" ref="Q50:S50" si="50">+F50</f>
        <v>1-Mémo</v>
      </c>
      <c r="R50" s="653" t="str">
        <f t="shared" si="50"/>
        <v>50</v>
      </c>
      <c r="S50" s="654" t="str">
        <f t="shared" si="50"/>
        <v>_</v>
      </c>
      <c r="T50" s="656" t="str">
        <f>+VLOOKUP($L50,Data_Validation!$A:$D,1,0)</f>
        <v>542</v>
      </c>
      <c r="U50" s="656">
        <f>+VLOOKUP($L50,Data_Validation!$A:$D,3,0)</f>
        <v>0</v>
      </c>
      <c r="V50" s="656">
        <f>+VLOOKUP($L50,Data_Validation!$A:$D,4,0)</f>
        <v>0</v>
      </c>
      <c r="W50" s="656" t="str">
        <f>+VLOOKUP($L50,Data_Validation!$A:$E,5,0)</f>
        <v>$</v>
      </c>
      <c r="X50" s="656">
        <f>+VLOOKUP($L50,Data_Validation!$A:$F,6,0)</f>
        <v>0</v>
      </c>
    </row>
    <row r="51" spans="1:24" ht="15" customHeight="1">
      <c r="A51" s="1252" t="s">
        <v>796</v>
      </c>
      <c r="B51" s="1252" t="s">
        <v>2178</v>
      </c>
      <c r="C51" s="1253"/>
      <c r="D51" s="1253"/>
      <c r="E51" s="1253"/>
      <c r="F51" s="1252" t="s">
        <v>2</v>
      </c>
      <c r="G51" s="1252" t="s">
        <v>785</v>
      </c>
      <c r="H51" s="1252" t="s">
        <v>3955</v>
      </c>
      <c r="I51" s="1254">
        <v>2</v>
      </c>
      <c r="J51" s="1254">
        <v>0</v>
      </c>
      <c r="K51" s="1254">
        <v>2</v>
      </c>
      <c r="L51" s="653" t="str">
        <f t="shared" si="2"/>
        <v>551</v>
      </c>
      <c r="M51" s="654" t="str">
        <f t="shared" si="0"/>
        <v>DIR. COMMERCIAL NEUFS</v>
      </c>
      <c r="N51" s="655">
        <f>+IF(OR($Q51=Parametres!$G$2,$Q51=Parametres!$G$3),I51,C51)</f>
        <v>2</v>
      </c>
      <c r="O51" s="655">
        <f>+IF(OR($Q51=Parametres!$G$2,$Q51=Parametres!$G$3),J51,D51)</f>
        <v>0</v>
      </c>
      <c r="P51" s="655">
        <f>+IF(OR($Q51=Parametres!$G$2,$Q51=Parametres!$G$3),K51,E51)</f>
        <v>2</v>
      </c>
      <c r="Q51" s="654" t="str">
        <f t="shared" ref="Q51:S51" si="51">+F51</f>
        <v>1-Mémo</v>
      </c>
      <c r="R51" s="653" t="str">
        <f t="shared" si="51"/>
        <v>50</v>
      </c>
      <c r="S51" s="654" t="str">
        <f t="shared" si="51"/>
        <v>_</v>
      </c>
      <c r="T51" s="656" t="str">
        <f>+VLOOKUP($L51,Data_Validation!$A:$D,1,0)</f>
        <v>551</v>
      </c>
      <c r="U51" s="656">
        <f>+VLOOKUP($L51,Data_Validation!$A:$D,3,0)</f>
        <v>0</v>
      </c>
      <c r="V51" s="656">
        <f>+VLOOKUP($L51,Data_Validation!$A:$D,4,0)</f>
        <v>0</v>
      </c>
      <c r="W51" s="656" t="str">
        <f>+VLOOKUP($L51,Data_Validation!$A:$E,5,0)</f>
        <v>$</v>
      </c>
      <c r="X51" s="656">
        <f>+VLOOKUP($L51,Data_Validation!$A:$F,6,0)</f>
        <v>0</v>
      </c>
    </row>
    <row r="52" spans="1:24" ht="15.75" customHeight="1">
      <c r="A52" s="1252" t="s">
        <v>797</v>
      </c>
      <c r="B52" s="1252" t="s">
        <v>2181</v>
      </c>
      <c r="C52" s="1253"/>
      <c r="D52" s="1253"/>
      <c r="E52" s="1253"/>
      <c r="F52" s="1252" t="s">
        <v>2</v>
      </c>
      <c r="G52" s="1252" t="s">
        <v>785</v>
      </c>
      <c r="H52" s="1252" t="s">
        <v>3955</v>
      </c>
      <c r="I52" s="1254">
        <v>1</v>
      </c>
      <c r="J52" s="1254">
        <v>0</v>
      </c>
      <c r="K52" s="1254">
        <v>1</v>
      </c>
      <c r="L52" s="653" t="str">
        <f t="shared" si="2"/>
        <v>552</v>
      </c>
      <c r="M52" s="654" t="str">
        <f t="shared" si="0"/>
        <v>DIR. COMMERCIAL USAGES</v>
      </c>
      <c r="N52" s="655">
        <f>+IF(OR($Q52=Parametres!$G$2,$Q52=Parametres!$G$3),I52,C52)</f>
        <v>1</v>
      </c>
      <c r="O52" s="655">
        <f>+IF(OR($Q52=Parametres!$G$2,$Q52=Parametres!$G$3),J52,D52)</f>
        <v>0</v>
      </c>
      <c r="P52" s="655">
        <f>+IF(OR($Q52=Parametres!$G$2,$Q52=Parametres!$G$3),K52,E52)</f>
        <v>1</v>
      </c>
      <c r="Q52" s="654" t="str">
        <f t="shared" ref="Q52:S52" si="52">+F52</f>
        <v>1-Mémo</v>
      </c>
      <c r="R52" s="653" t="str">
        <f t="shared" si="52"/>
        <v>50</v>
      </c>
      <c r="S52" s="654" t="str">
        <f t="shared" si="52"/>
        <v>_</v>
      </c>
      <c r="T52" s="656" t="str">
        <f>+VLOOKUP($L52,Data_Validation!$A:$D,1,0)</f>
        <v>552</v>
      </c>
      <c r="U52" s="656">
        <f>+VLOOKUP($L52,Data_Validation!$A:$D,3,0)</f>
        <v>0</v>
      </c>
      <c r="V52" s="656">
        <f>+VLOOKUP($L52,Data_Validation!$A:$D,4,0)</f>
        <v>0</v>
      </c>
      <c r="W52" s="656" t="str">
        <f>+VLOOKUP($L52,Data_Validation!$A:$E,5,0)</f>
        <v>$</v>
      </c>
      <c r="X52" s="656">
        <f>+VLOOKUP($L52,Data_Validation!$A:$F,6,0)</f>
        <v>0</v>
      </c>
    </row>
    <row r="53" spans="1:24" ht="15" customHeight="1">
      <c r="A53" s="1252" t="s">
        <v>798</v>
      </c>
      <c r="B53" s="1252" t="s">
        <v>3355</v>
      </c>
      <c r="C53" s="1253"/>
      <c r="D53" s="1253"/>
      <c r="E53" s="1253"/>
      <c r="F53" s="1252" t="s">
        <v>2</v>
      </c>
      <c r="G53" s="1252" t="s">
        <v>785</v>
      </c>
      <c r="H53" s="1252" t="s">
        <v>3955</v>
      </c>
      <c r="I53" s="1254">
        <v>1</v>
      </c>
      <c r="J53" s="1254">
        <v>0</v>
      </c>
      <c r="K53" s="1254">
        <v>1</v>
      </c>
      <c r="L53" s="653" t="str">
        <f t="shared" si="2"/>
        <v>564</v>
      </c>
      <c r="M53" s="654" t="str">
        <f t="shared" si="0"/>
        <v>CONTREMAITRE SERVICE</v>
      </c>
      <c r="N53" s="655">
        <f>+IF(OR($Q53=Parametres!$G$2,$Q53=Parametres!$G$3),I53,C53)</f>
        <v>1</v>
      </c>
      <c r="O53" s="655">
        <f>+IF(OR($Q53=Parametres!$G$2,$Q53=Parametres!$G$3),J53,D53)</f>
        <v>0</v>
      </c>
      <c r="P53" s="655">
        <f>+IF(OR($Q53=Parametres!$G$2,$Q53=Parametres!$G$3),K53,E53)</f>
        <v>1</v>
      </c>
      <c r="Q53" s="654" t="str">
        <f t="shared" ref="Q53:S53" si="53">+F53</f>
        <v>1-Mémo</v>
      </c>
      <c r="R53" s="653" t="str">
        <f t="shared" si="53"/>
        <v>50</v>
      </c>
      <c r="S53" s="654" t="str">
        <f t="shared" si="53"/>
        <v>_</v>
      </c>
      <c r="T53" s="656" t="str">
        <f>+VLOOKUP($L53,Data_Validation!$A:$D,1,0)</f>
        <v>564</v>
      </c>
      <c r="U53" s="656">
        <f>+VLOOKUP($L53,Data_Validation!$A:$D,3,0)</f>
        <v>0</v>
      </c>
      <c r="V53" s="656">
        <f>+VLOOKUP($L53,Data_Validation!$A:$D,4,0)</f>
        <v>0</v>
      </c>
      <c r="W53" s="656" t="str">
        <f>+VLOOKUP($L53,Data_Validation!$A:$E,5,0)</f>
        <v>$</v>
      </c>
      <c r="X53" s="656">
        <f>+VLOOKUP($L53,Data_Validation!$A:$F,6,0)</f>
        <v>0</v>
      </c>
    </row>
    <row r="54" spans="1:24" ht="15" customHeight="1">
      <c r="A54" s="1252" t="s">
        <v>799</v>
      </c>
      <c r="B54" s="1252" t="s">
        <v>2276</v>
      </c>
      <c r="C54" s="1253"/>
      <c r="D54" s="1253"/>
      <c r="E54" s="1253"/>
      <c r="F54" s="1252" t="s">
        <v>2</v>
      </c>
      <c r="G54" s="1252" t="s">
        <v>3331</v>
      </c>
      <c r="H54" s="1252" t="s">
        <v>3955</v>
      </c>
      <c r="I54" s="1254">
        <v>4</v>
      </c>
      <c r="J54" s="1254">
        <v>0</v>
      </c>
      <c r="K54" s="1254">
        <v>4</v>
      </c>
      <c r="L54" s="653" t="str">
        <f t="shared" si="2"/>
        <v>614</v>
      </c>
      <c r="M54" s="654" t="str">
        <f t="shared" si="0"/>
        <v>VW CONSEILLERS SERVICE -SERVICE</v>
      </c>
      <c r="N54" s="655">
        <f>+IF(OR($Q54=Parametres!$G$2,$Q54=Parametres!$G$3),I54,C54)</f>
        <v>4</v>
      </c>
      <c r="O54" s="655">
        <f>+IF(OR($Q54=Parametres!$G$2,$Q54=Parametres!$G$3),J54,D54)</f>
        <v>0</v>
      </c>
      <c r="P54" s="655">
        <f>+IF(OR($Q54=Parametres!$G$2,$Q54=Parametres!$G$3),K54,E54)</f>
        <v>4</v>
      </c>
      <c r="Q54" s="654" t="str">
        <f t="shared" ref="Q54:S54" si="54">+F54</f>
        <v>1-Mémo</v>
      </c>
      <c r="R54" s="653" t="str">
        <f t="shared" si="54"/>
        <v>61</v>
      </c>
      <c r="S54" s="654" t="str">
        <f t="shared" si="54"/>
        <v>_</v>
      </c>
      <c r="T54" s="656" t="str">
        <f>+VLOOKUP($L54,Data_Validation!$A:$D,1,0)</f>
        <v>614</v>
      </c>
      <c r="U54" s="656">
        <f>+VLOOKUP($L54,Data_Validation!$A:$D,3,0)</f>
        <v>0</v>
      </c>
      <c r="V54" s="656">
        <f>+VLOOKUP($L54,Data_Validation!$A:$D,4,0)</f>
        <v>0</v>
      </c>
      <c r="W54" s="656" t="str">
        <f>+VLOOKUP($L54,Data_Validation!$A:$E,5,0)</f>
        <v>$</v>
      </c>
      <c r="X54" s="656">
        <f>+VLOOKUP($L54,Data_Validation!$A:$F,6,0)</f>
        <v>0</v>
      </c>
    </row>
    <row r="55" spans="1:24" ht="15" customHeight="1">
      <c r="A55" s="1252" t="s">
        <v>800</v>
      </c>
      <c r="B55" s="1252" t="s">
        <v>1208</v>
      </c>
      <c r="C55" s="1253"/>
      <c r="D55" s="1253"/>
      <c r="E55" s="1253"/>
      <c r="F55" s="1252" t="s">
        <v>2</v>
      </c>
      <c r="G55" s="1252" t="s">
        <v>3331</v>
      </c>
      <c r="H55" s="1252" t="s">
        <v>3955</v>
      </c>
      <c r="I55" s="1254">
        <v>1</v>
      </c>
      <c r="J55" s="1254">
        <v>0</v>
      </c>
      <c r="K55" s="1254">
        <v>1</v>
      </c>
      <c r="L55" s="653" t="str">
        <f t="shared" si="2"/>
        <v>615</v>
      </c>
      <c r="M55" s="654" t="str">
        <f t="shared" si="0"/>
        <v>VW CONSEILLERS SERVICE - PIEC. &amp; CARR.&lt;</v>
      </c>
      <c r="N55" s="655">
        <f>+IF(OR($Q55=Parametres!$G$2,$Q55=Parametres!$G$3),I55,C55)</f>
        <v>1</v>
      </c>
      <c r="O55" s="655">
        <f>+IF(OR($Q55=Parametres!$G$2,$Q55=Parametres!$G$3),J55,D55)</f>
        <v>0</v>
      </c>
      <c r="P55" s="655">
        <f>+IF(OR($Q55=Parametres!$G$2,$Q55=Parametres!$G$3),K55,E55)</f>
        <v>1</v>
      </c>
      <c r="Q55" s="654" t="str">
        <f t="shared" ref="Q55:S55" si="55">+F55</f>
        <v>1-Mémo</v>
      </c>
      <c r="R55" s="653" t="str">
        <f t="shared" si="55"/>
        <v>61</v>
      </c>
      <c r="S55" s="654" t="str">
        <f t="shared" si="55"/>
        <v>_</v>
      </c>
      <c r="T55" s="656" t="str">
        <f>+VLOOKUP($L55,Data_Validation!$A:$D,1,0)</f>
        <v>615</v>
      </c>
      <c r="U55" s="656">
        <f>+VLOOKUP($L55,Data_Validation!$A:$D,3,0)</f>
        <v>0</v>
      </c>
      <c r="V55" s="656">
        <f>+VLOOKUP($L55,Data_Validation!$A:$D,4,0)</f>
        <v>0</v>
      </c>
      <c r="W55" s="656" t="str">
        <f>+VLOOKUP($L55,Data_Validation!$A:$E,5,0)</f>
        <v>$</v>
      </c>
      <c r="X55" s="656">
        <f>+VLOOKUP($L55,Data_Validation!$A:$F,6,0)</f>
        <v>0</v>
      </c>
    </row>
    <row r="56" spans="1:24" ht="15.75" customHeight="1">
      <c r="A56" s="1252" t="s">
        <v>801</v>
      </c>
      <c r="B56" s="1252" t="s">
        <v>2337</v>
      </c>
      <c r="C56" s="1253"/>
      <c r="D56" s="1253"/>
      <c r="E56" s="1253"/>
      <c r="F56" s="1252" t="s">
        <v>2</v>
      </c>
      <c r="G56" s="1252" t="s">
        <v>785</v>
      </c>
      <c r="H56" s="1252" t="s">
        <v>3955</v>
      </c>
      <c r="I56" s="1254">
        <v>1</v>
      </c>
      <c r="J56" s="1254">
        <v>0</v>
      </c>
      <c r="K56" s="1254">
        <v>1</v>
      </c>
      <c r="L56" s="653" t="str">
        <f t="shared" si="2"/>
        <v>621</v>
      </c>
      <c r="M56" s="654" t="str">
        <f t="shared" si="0"/>
        <v>LAVEURS NEUFS</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621</v>
      </c>
      <c r="U56" s="656">
        <f>+VLOOKUP($L56,Data_Validation!$A:$D,3,0)</f>
        <v>0</v>
      </c>
      <c r="V56" s="656">
        <f>+VLOOKUP($L56,Data_Validation!$A:$D,4,0)</f>
        <v>0</v>
      </c>
      <c r="W56" s="656" t="str">
        <f>+VLOOKUP($L56,Data_Validation!$A:$E,5,0)</f>
        <v>$</v>
      </c>
      <c r="X56" s="656">
        <f>+VLOOKUP($L56,Data_Validation!$A:$F,6,0)</f>
        <v>0</v>
      </c>
    </row>
    <row r="57" spans="1:24" ht="15" customHeight="1">
      <c r="A57" s="1252" t="s">
        <v>802</v>
      </c>
      <c r="B57" s="1252" t="s">
        <v>2346</v>
      </c>
      <c r="C57" s="1253"/>
      <c r="D57" s="1253"/>
      <c r="E57" s="1253"/>
      <c r="F57" s="1252" t="s">
        <v>2</v>
      </c>
      <c r="G57" s="1252" t="s">
        <v>785</v>
      </c>
      <c r="H57" s="1252" t="s">
        <v>3955</v>
      </c>
      <c r="I57" s="1254">
        <v>1</v>
      </c>
      <c r="J57" s="1254">
        <v>0</v>
      </c>
      <c r="K57" s="1254">
        <v>1</v>
      </c>
      <c r="L57" s="653" t="str">
        <f t="shared" si="2"/>
        <v>622</v>
      </c>
      <c r="M57" s="654" t="str">
        <f t="shared" si="0"/>
        <v>LAVEURS USAGES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622</v>
      </c>
      <c r="U57" s="656">
        <f>+VLOOKUP($L57,Data_Validation!$A:$D,3,0)</f>
        <v>0</v>
      </c>
      <c r="V57" s="656">
        <f>+VLOOKUP($L57,Data_Validation!$A:$D,4,0)</f>
        <v>0</v>
      </c>
      <c r="W57" s="656" t="str">
        <f>+VLOOKUP($L57,Data_Validation!$A:$E,5,0)</f>
        <v>$</v>
      </c>
      <c r="X57" s="656">
        <f>+VLOOKUP($L57,Data_Validation!$A:$F,6,0)</f>
        <v>0</v>
      </c>
    </row>
    <row r="58" spans="1:24" ht="15" customHeight="1">
      <c r="A58" s="1252" t="s">
        <v>803</v>
      </c>
      <c r="B58" s="1252" t="s">
        <v>2371</v>
      </c>
      <c r="C58" s="1253"/>
      <c r="D58" s="1253"/>
      <c r="E58" s="1253"/>
      <c r="F58" s="1252" t="s">
        <v>2</v>
      </c>
      <c r="G58" s="1252" t="s">
        <v>785</v>
      </c>
      <c r="H58" s="1252" t="s">
        <v>3955</v>
      </c>
      <c r="I58" s="1254">
        <v>7</v>
      </c>
      <c r="J58" s="1254">
        <v>0</v>
      </c>
      <c r="K58" s="1254">
        <v>7</v>
      </c>
      <c r="L58" s="653" t="str">
        <f t="shared" si="2"/>
        <v>624</v>
      </c>
      <c r="M58" s="654" t="str">
        <f t="shared" si="0"/>
        <v>LAVEURS SERVICE</v>
      </c>
      <c r="N58" s="655">
        <f>+IF(OR($Q58=Parametres!$G$2,$Q58=Parametres!$G$3),I58,C58)</f>
        <v>7</v>
      </c>
      <c r="O58" s="655">
        <f>+IF(OR($Q58=Parametres!$G$2,$Q58=Parametres!$G$3),J58,D58)</f>
        <v>0</v>
      </c>
      <c r="P58" s="655">
        <f>+IF(OR($Q58=Parametres!$G$2,$Q58=Parametres!$G$3),K58,E58)</f>
        <v>7</v>
      </c>
      <c r="Q58" s="654" t="str">
        <f t="shared" ref="Q58:S58" si="58">+F58</f>
        <v>1-Mémo</v>
      </c>
      <c r="R58" s="653" t="str">
        <f t="shared" si="58"/>
        <v>50</v>
      </c>
      <c r="S58" s="654" t="str">
        <f t="shared" si="58"/>
        <v>_</v>
      </c>
      <c r="T58" s="656" t="str">
        <f>+VLOOKUP($L58,Data_Validation!$A:$D,1,0)</f>
        <v>624</v>
      </c>
      <c r="U58" s="656">
        <f>+VLOOKUP($L58,Data_Validation!$A:$D,3,0)</f>
        <v>0</v>
      </c>
      <c r="V58" s="656">
        <f>+VLOOKUP($L58,Data_Validation!$A:$D,4,0)</f>
        <v>0</v>
      </c>
      <c r="W58" s="656" t="str">
        <f>+VLOOKUP($L58,Data_Validation!$A:$E,5,0)</f>
        <v>$</v>
      </c>
      <c r="X58" s="656">
        <f>+VLOOKUP($L58,Data_Validation!$A:$F,6,0)</f>
        <v>0</v>
      </c>
    </row>
    <row r="59" spans="1:24" ht="15" customHeight="1">
      <c r="A59" s="1252" t="s">
        <v>804</v>
      </c>
      <c r="B59" s="1252" t="s">
        <v>2469</v>
      </c>
      <c r="C59" s="1253"/>
      <c r="D59" s="1253"/>
      <c r="E59" s="1253"/>
      <c r="F59" s="1252" t="s">
        <v>2</v>
      </c>
      <c r="G59" s="1252" t="s">
        <v>3332</v>
      </c>
      <c r="H59" s="1252" t="s">
        <v>3955</v>
      </c>
      <c r="I59" s="1254">
        <v>12</v>
      </c>
      <c r="J59" s="1254">
        <v>0</v>
      </c>
      <c r="K59" s="1254">
        <v>12</v>
      </c>
      <c r="L59" s="653" t="str">
        <f t="shared" si="2"/>
        <v>644</v>
      </c>
      <c r="M59" s="654" t="str">
        <f t="shared" si="0"/>
        <v>VW TECHNICIENS - SERVICE</v>
      </c>
      <c r="N59" s="655">
        <f>+IF(OR($Q59=Parametres!$G$2,$Q59=Parametres!$G$3),I59,C59)</f>
        <v>12</v>
      </c>
      <c r="O59" s="659">
        <f>+IF(OR($Q59=Parametres!$G$2,$Q59=Parametres!$G$3),J59,D59)</f>
        <v>0</v>
      </c>
      <c r="P59" s="655">
        <f>+IF(OR($Q59=Parametres!$G$2,$Q59=Parametres!$G$3),K59,E59)</f>
        <v>12</v>
      </c>
      <c r="Q59" s="654" t="str">
        <f t="shared" ref="Q59:S59" si="59">+F59</f>
        <v>1-Mémo</v>
      </c>
      <c r="R59" s="653" t="str">
        <f t="shared" si="59"/>
        <v>64</v>
      </c>
      <c r="S59" s="654" t="str">
        <f t="shared" si="59"/>
        <v>_</v>
      </c>
      <c r="T59" s="656" t="str">
        <f>+VLOOKUP($L59,Data_Validation!$A:$D,1,0)</f>
        <v>644</v>
      </c>
      <c r="U59" s="656">
        <f>+VLOOKUP($L59,Data_Validation!$A:$D,3,0)</f>
        <v>0</v>
      </c>
      <c r="V59" s="656">
        <f>+VLOOKUP($L59,Data_Validation!$A:$D,4,0)</f>
        <v>0</v>
      </c>
      <c r="W59" s="656" t="str">
        <f>+VLOOKUP($L59,Data_Validation!$A:$E,5,0)</f>
        <v>$</v>
      </c>
      <c r="X59" s="656">
        <f>+VLOOKUP($L59,Data_Validation!$A:$F,6,0)</f>
        <v>0</v>
      </c>
    </row>
    <row r="60" spans="1:24" ht="15" customHeight="1">
      <c r="A60" s="1252" t="s">
        <v>805</v>
      </c>
      <c r="B60" s="1252" t="s">
        <v>2538</v>
      </c>
      <c r="C60" s="1253"/>
      <c r="D60" s="1253"/>
      <c r="E60" s="1253"/>
      <c r="F60" s="1252" t="s">
        <v>2</v>
      </c>
      <c r="G60" s="1252" t="s">
        <v>785</v>
      </c>
      <c r="H60" s="1252" t="s">
        <v>3955</v>
      </c>
      <c r="I60" s="1254">
        <v>0.2</v>
      </c>
      <c r="J60" s="1254">
        <v>0</v>
      </c>
      <c r="K60" s="1254">
        <v>0.2</v>
      </c>
      <c r="L60" s="653" t="str">
        <f t="shared" si="2"/>
        <v>651</v>
      </c>
      <c r="M60" s="654" t="str">
        <f t="shared" si="0"/>
        <v>DIR. ADMINIS. NEUFS</v>
      </c>
      <c r="N60" s="655">
        <f>+IF(OR($Q60=Parametres!$G$2,$Q60=Parametres!$G$3),I60,C60)</f>
        <v>0.2</v>
      </c>
      <c r="O60" s="655">
        <f>+IF(OR($Q60=Parametres!$G$2,$Q60=Parametres!$G$3),J60,D60)</f>
        <v>0</v>
      </c>
      <c r="P60" s="655">
        <f>+IF(OR($Q60=Parametres!$G$2,$Q60=Parametres!$G$3),K60,E60)</f>
        <v>0.2</v>
      </c>
      <c r="Q60" s="654" t="str">
        <f t="shared" ref="Q60:S60" si="60">+F60</f>
        <v>1-Mémo</v>
      </c>
      <c r="R60" s="653" t="str">
        <f t="shared" si="60"/>
        <v>50</v>
      </c>
      <c r="S60" s="654" t="str">
        <f t="shared" si="60"/>
        <v>_</v>
      </c>
      <c r="T60" s="656" t="str">
        <f>+VLOOKUP($L60,Data_Validation!$A:$D,1,0)</f>
        <v>651</v>
      </c>
      <c r="U60" s="656">
        <f>+VLOOKUP($L60,Data_Validation!$A:$D,3,0)</f>
        <v>0</v>
      </c>
      <c r="V60" s="656">
        <f>+VLOOKUP($L60,Data_Validation!$A:$D,4,0)</f>
        <v>0</v>
      </c>
      <c r="W60" s="656" t="str">
        <f>+VLOOKUP($L60,Data_Validation!$A:$E,5,0)</f>
        <v>$</v>
      </c>
      <c r="X60" s="656">
        <f>+VLOOKUP($L60,Data_Validation!$A:$F,6,0)</f>
        <v>0</v>
      </c>
    </row>
    <row r="61" spans="1:24" ht="15" customHeight="1">
      <c r="A61" s="1252" t="s">
        <v>806</v>
      </c>
      <c r="B61" s="1252" t="s">
        <v>2544</v>
      </c>
      <c r="C61" s="1253"/>
      <c r="D61" s="1253"/>
      <c r="E61" s="1253"/>
      <c r="F61" s="1252" t="s">
        <v>2</v>
      </c>
      <c r="G61" s="1252" t="s">
        <v>785</v>
      </c>
      <c r="H61" s="1252" t="s">
        <v>3955</v>
      </c>
      <c r="I61" s="1254">
        <v>0.2</v>
      </c>
      <c r="J61" s="1254">
        <v>0</v>
      </c>
      <c r="K61" s="1254">
        <v>0.2</v>
      </c>
      <c r="L61" s="653" t="str">
        <f t="shared" si="2"/>
        <v>652</v>
      </c>
      <c r="M61" s="654" t="str">
        <f t="shared" si="0"/>
        <v>DIR. ADMINIS. USAGES</v>
      </c>
      <c r="N61" s="655">
        <f>+IF(OR($Q61=Parametres!$G$2,$Q61=Parametres!$G$3),I61,C61)</f>
        <v>0.2</v>
      </c>
      <c r="O61" s="655">
        <f>+IF(OR($Q61=Parametres!$G$2,$Q61=Parametres!$G$3),J61,D61)</f>
        <v>0</v>
      </c>
      <c r="P61" s="655">
        <f>+IF(OR($Q61=Parametres!$G$2,$Q61=Parametres!$G$3),K61,E61)</f>
        <v>0.2</v>
      </c>
      <c r="Q61" s="654" t="str">
        <f t="shared" ref="Q61:S61" si="61">+F61</f>
        <v>1-Mémo</v>
      </c>
      <c r="R61" s="653" t="str">
        <f t="shared" si="61"/>
        <v>50</v>
      </c>
      <c r="S61" s="654" t="str">
        <f t="shared" si="61"/>
        <v>_</v>
      </c>
      <c r="T61" s="656" t="str">
        <f>+VLOOKUP($L61,Data_Validation!$A:$D,1,0)</f>
        <v>652</v>
      </c>
      <c r="U61" s="656">
        <f>+VLOOKUP($L61,Data_Validation!$A:$D,3,0)</f>
        <v>0</v>
      </c>
      <c r="V61" s="656">
        <f>+VLOOKUP($L61,Data_Validation!$A:$D,4,0)</f>
        <v>0</v>
      </c>
      <c r="W61" s="656" t="str">
        <f>+VLOOKUP($L61,Data_Validation!$A:$E,5,0)</f>
        <v>$</v>
      </c>
      <c r="X61" s="656">
        <f>+VLOOKUP($L61,Data_Validation!$A:$F,6,0)</f>
        <v>0</v>
      </c>
    </row>
    <row r="62" spans="1:24" ht="15" customHeight="1">
      <c r="A62" s="1252" t="s">
        <v>807</v>
      </c>
      <c r="B62" s="1252" t="s">
        <v>2574</v>
      </c>
      <c r="C62" s="1253"/>
      <c r="D62" s="1253"/>
      <c r="E62" s="1253"/>
      <c r="F62" s="1252" t="s">
        <v>2</v>
      </c>
      <c r="G62" s="1252" t="s">
        <v>785</v>
      </c>
      <c r="H62" s="1252" t="s">
        <v>3955</v>
      </c>
      <c r="I62" s="1254">
        <v>0.2</v>
      </c>
      <c r="J62" s="1254">
        <v>0</v>
      </c>
      <c r="K62" s="1254">
        <v>0.2</v>
      </c>
      <c r="L62" s="653" t="str">
        <f t="shared" si="2"/>
        <v>654</v>
      </c>
      <c r="M62" s="654" t="str">
        <f t="shared" si="0"/>
        <v>DIR. ADMINIS. SERVICE</v>
      </c>
      <c r="N62" s="655">
        <f>+IF(OR($Q62=Parametres!$G$2,$Q62=Parametres!$G$3),I62,C62)</f>
        <v>0.2</v>
      </c>
      <c r="O62" s="655">
        <f>+IF(OR($Q62=Parametres!$G$2,$Q62=Parametres!$G$3),J62,D62)</f>
        <v>0</v>
      </c>
      <c r="P62" s="655">
        <f>+IF(OR($Q62=Parametres!$G$2,$Q62=Parametres!$G$3),K62,E62)</f>
        <v>0.2</v>
      </c>
      <c r="Q62" s="654" t="str">
        <f t="shared" ref="Q62:S62" si="62">+F62</f>
        <v>1-Mémo</v>
      </c>
      <c r="R62" s="653" t="str">
        <f t="shared" si="62"/>
        <v>50</v>
      </c>
      <c r="S62" s="654" t="str">
        <f t="shared" si="62"/>
        <v>_</v>
      </c>
      <c r="T62" s="656" t="str">
        <f>+VLOOKUP($L62,Data_Validation!$A:$D,1,0)</f>
        <v>654</v>
      </c>
      <c r="U62" s="656">
        <f>+VLOOKUP($L62,Data_Validation!$A:$D,3,0)</f>
        <v>0</v>
      </c>
      <c r="V62" s="656">
        <f>+VLOOKUP($L62,Data_Validation!$A:$D,4,0)</f>
        <v>0</v>
      </c>
      <c r="W62" s="656" t="str">
        <f>+VLOOKUP($L62,Data_Validation!$A:$E,5,0)</f>
        <v>$</v>
      </c>
      <c r="X62" s="656">
        <f>+VLOOKUP($L62,Data_Validation!$A:$F,6,0)</f>
        <v>0</v>
      </c>
    </row>
    <row r="63" spans="1:24" ht="15" customHeight="1">
      <c r="A63" s="1252" t="s">
        <v>808</v>
      </c>
      <c r="B63" s="1252" t="s">
        <v>1267</v>
      </c>
      <c r="C63" s="1253"/>
      <c r="D63" s="1253"/>
      <c r="E63" s="1253"/>
      <c r="F63" s="1252" t="s">
        <v>2</v>
      </c>
      <c r="G63" s="1252" t="s">
        <v>785</v>
      </c>
      <c r="H63" s="1252" t="s">
        <v>3955</v>
      </c>
      <c r="I63" s="1254">
        <v>0.2</v>
      </c>
      <c r="J63" s="1254">
        <v>0</v>
      </c>
      <c r="K63" s="1254">
        <v>0.2</v>
      </c>
      <c r="L63" s="653" t="str">
        <f t="shared" si="2"/>
        <v>655</v>
      </c>
      <c r="M63" s="654" t="str">
        <f t="shared" si="0"/>
        <v>DIR. ADMINIS. CARROSS.</v>
      </c>
      <c r="N63" s="655">
        <f>+IF(OR($Q63=Parametres!$G$2,$Q63=Parametres!$G$3),I63,C63)</f>
        <v>0.2</v>
      </c>
      <c r="O63" s="659">
        <f>+IF(OR($Q63=Parametres!$G$2,$Q63=Parametres!$G$3),J63,D63)</f>
        <v>0</v>
      </c>
      <c r="P63" s="655">
        <f>+IF(OR($Q63=Parametres!$G$2,$Q63=Parametres!$G$3),K63,E63)</f>
        <v>0.2</v>
      </c>
      <c r="Q63" s="654" t="str">
        <f t="shared" ref="Q63:S63" si="63">+F63</f>
        <v>1-Mémo</v>
      </c>
      <c r="R63" s="653" t="str">
        <f t="shared" si="63"/>
        <v>50</v>
      </c>
      <c r="S63" s="654" t="str">
        <f t="shared" si="63"/>
        <v>_</v>
      </c>
      <c r="T63" s="656" t="str">
        <f>+VLOOKUP($L63,Data_Validation!$A:$D,1,0)</f>
        <v>655</v>
      </c>
      <c r="U63" s="656">
        <f>+VLOOKUP($L63,Data_Validation!$A:$D,3,0)</f>
        <v>0</v>
      </c>
      <c r="V63" s="656">
        <f>+VLOOKUP($L63,Data_Validation!$A:$D,4,0)</f>
        <v>0</v>
      </c>
      <c r="W63" s="656" t="str">
        <f>+VLOOKUP($L63,Data_Validation!$A:$E,5,0)</f>
        <v>$</v>
      </c>
      <c r="X63" s="656">
        <f>+VLOOKUP($L63,Data_Validation!$A:$F,6,0)</f>
        <v>0</v>
      </c>
    </row>
    <row r="64" spans="1:24" ht="15" customHeight="1">
      <c r="A64" s="1252" t="s">
        <v>809</v>
      </c>
      <c r="B64" s="1252" t="s">
        <v>2617</v>
      </c>
      <c r="C64" s="1253"/>
      <c r="D64" s="1253"/>
      <c r="E64" s="1253"/>
      <c r="F64" s="1252" t="s">
        <v>2</v>
      </c>
      <c r="G64" s="1252" t="s">
        <v>785</v>
      </c>
      <c r="H64" s="1252" t="s">
        <v>3955</v>
      </c>
      <c r="I64" s="1254">
        <v>0.2</v>
      </c>
      <c r="J64" s="1254">
        <v>0</v>
      </c>
      <c r="K64" s="1254">
        <v>0.2</v>
      </c>
      <c r="L64" s="653" t="str">
        <f t="shared" si="2"/>
        <v>657</v>
      </c>
      <c r="M64" s="654" t="str">
        <f t="shared" si="0"/>
        <v>DIR. ADMINIS. PIECES</v>
      </c>
      <c r="N64" s="655">
        <f>+IF(OR($Q64=Parametres!$G$2,$Q64=Parametres!$G$3),I64,C64)</f>
        <v>0.2</v>
      </c>
      <c r="O64" s="655">
        <f>+IF(OR($Q64=Parametres!$G$2,$Q64=Parametres!$G$3),J64,D64)</f>
        <v>0</v>
      </c>
      <c r="P64" s="655">
        <f>+IF(OR($Q64=Parametres!$G$2,$Q64=Parametres!$G$3),K64,E64)</f>
        <v>0.2</v>
      </c>
      <c r="Q64" s="654" t="str">
        <f t="shared" ref="Q64:S64" si="64">+F64</f>
        <v>1-Mémo</v>
      </c>
      <c r="R64" s="653" t="str">
        <f t="shared" si="64"/>
        <v>50</v>
      </c>
      <c r="S64" s="654" t="str">
        <f t="shared" si="64"/>
        <v>_</v>
      </c>
      <c r="T64" s="656" t="str">
        <f>+VLOOKUP($L64,Data_Validation!$A:$D,1,0)</f>
        <v>657</v>
      </c>
      <c r="U64" s="656">
        <f>+VLOOKUP($L64,Data_Validation!$A:$D,3,0)</f>
        <v>0</v>
      </c>
      <c r="V64" s="656">
        <f>+VLOOKUP($L64,Data_Validation!$A:$D,4,0)</f>
        <v>0</v>
      </c>
      <c r="W64" s="656" t="str">
        <f>+VLOOKUP($L64,Data_Validation!$A:$E,5,0)</f>
        <v>$</v>
      </c>
      <c r="X64" s="656">
        <f>+VLOOKUP($L64,Data_Validation!$A:$F,6,0)</f>
        <v>0</v>
      </c>
    </row>
    <row r="65" spans="1:24" ht="15" customHeight="1">
      <c r="A65" s="1252" t="s">
        <v>810</v>
      </c>
      <c r="B65" s="1252" t="s">
        <v>2635</v>
      </c>
      <c r="C65" s="1253"/>
      <c r="D65" s="1253"/>
      <c r="E65" s="1253"/>
      <c r="F65" s="1252" t="s">
        <v>2</v>
      </c>
      <c r="G65" s="1252" t="s">
        <v>785</v>
      </c>
      <c r="H65" s="1252" t="s">
        <v>3955</v>
      </c>
      <c r="I65" s="1254">
        <v>1</v>
      </c>
      <c r="J65" s="1254">
        <v>0</v>
      </c>
      <c r="K65" s="1254">
        <v>1</v>
      </c>
      <c r="L65" s="653" t="str">
        <f t="shared" si="2"/>
        <v>661</v>
      </c>
      <c r="M65" s="654" t="str">
        <f t="shared" si="0"/>
        <v>PERSONELS CLER.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661</v>
      </c>
      <c r="U65" s="656">
        <f>+VLOOKUP($L65,Data_Validation!$A:$D,3,0)</f>
        <v>0</v>
      </c>
      <c r="V65" s="656">
        <f>+VLOOKUP($L65,Data_Validation!$A:$D,4,0)</f>
        <v>0</v>
      </c>
      <c r="W65" s="656" t="str">
        <f>+VLOOKUP($L65,Data_Validation!$A:$E,5,0)</f>
        <v>$</v>
      </c>
      <c r="X65" s="656">
        <f>+VLOOKUP($L65,Data_Validation!$A:$F,6,0)</f>
        <v>0</v>
      </c>
    </row>
    <row r="66" spans="1:24" ht="15" customHeight="1">
      <c r="A66" s="1252" t="s">
        <v>811</v>
      </c>
      <c r="B66" s="1252" t="s">
        <v>2638</v>
      </c>
      <c r="C66" s="1253"/>
      <c r="D66" s="1253"/>
      <c r="E66" s="1253"/>
      <c r="F66" s="1252" t="s">
        <v>2</v>
      </c>
      <c r="G66" s="1252" t="s">
        <v>785</v>
      </c>
      <c r="H66" s="1252" t="s">
        <v>3955</v>
      </c>
      <c r="I66" s="1254">
        <v>1</v>
      </c>
      <c r="J66" s="1254">
        <v>0</v>
      </c>
      <c r="K66" s="1254">
        <v>1</v>
      </c>
      <c r="L66" s="653" t="str">
        <f t="shared" si="2"/>
        <v>662</v>
      </c>
      <c r="M66" s="654" t="str">
        <f t="shared" si="0"/>
        <v>PERSONELS CLER.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662</v>
      </c>
      <c r="U66" s="656">
        <f>+VLOOKUP($L66,Data_Validation!$A:$D,3,0)</f>
        <v>0</v>
      </c>
      <c r="V66" s="656">
        <f>+VLOOKUP($L66,Data_Validation!$A:$D,4,0)</f>
        <v>0</v>
      </c>
      <c r="W66" s="656" t="str">
        <f>+VLOOKUP($L66,Data_Validation!$A:$E,5,0)</f>
        <v>$</v>
      </c>
      <c r="X66" s="656">
        <f>+VLOOKUP($L66,Data_Validation!$A:$F,6,0)</f>
        <v>0</v>
      </c>
    </row>
    <row r="67" spans="1:24" ht="15" customHeight="1">
      <c r="A67" s="1252" t="s">
        <v>812</v>
      </c>
      <c r="B67" s="1252" t="s">
        <v>2641</v>
      </c>
      <c r="C67" s="1253"/>
      <c r="D67" s="1253"/>
      <c r="E67" s="1253"/>
      <c r="F67" s="1252" t="s">
        <v>2</v>
      </c>
      <c r="G67" s="1252" t="s">
        <v>785</v>
      </c>
      <c r="H67" s="1252" t="s">
        <v>3955</v>
      </c>
      <c r="I67" s="1254">
        <v>1</v>
      </c>
      <c r="J67" s="1254">
        <v>0</v>
      </c>
      <c r="K67" s="1254">
        <v>1</v>
      </c>
      <c r="L67" s="653" t="str">
        <f t="shared" ref="L67:L130" si="67">TEXT(B67,0)</f>
        <v>664</v>
      </c>
      <c r="M67" s="654" t="str">
        <f t="shared" si="0"/>
        <v>PERSONELS CLER. SERVICE</v>
      </c>
      <c r="N67" s="655">
        <f>+IF(OR($Q67=Parametres!$G$2,$Q67=Parametres!$G$3),I67,C67)</f>
        <v>1</v>
      </c>
      <c r="O67" s="655">
        <f>+IF(OR($Q67=Parametres!$G$2,$Q67=Parametres!$G$3),J67,D67)</f>
        <v>0</v>
      </c>
      <c r="P67" s="655">
        <f>+IF(OR($Q67=Parametres!$G$2,$Q67=Parametres!$G$3),K67,E67)</f>
        <v>1</v>
      </c>
      <c r="Q67" s="654" t="str">
        <f t="shared" ref="Q67:S67" si="68">+F67</f>
        <v>1-Mémo</v>
      </c>
      <c r="R67" s="653" t="str">
        <f t="shared" si="68"/>
        <v>50</v>
      </c>
      <c r="S67" s="654" t="str">
        <f t="shared" si="68"/>
        <v>_</v>
      </c>
      <c r="T67" s="656" t="str">
        <f>+VLOOKUP($L67,Data_Validation!$A:$D,1,0)</f>
        <v>664</v>
      </c>
      <c r="U67" s="656">
        <f>+VLOOKUP($L67,Data_Validation!$A:$D,3,0)</f>
        <v>0</v>
      </c>
      <c r="V67" s="656">
        <f>+VLOOKUP($L67,Data_Validation!$A:$D,4,0)</f>
        <v>0</v>
      </c>
      <c r="W67" s="656" t="str">
        <f>+VLOOKUP($L67,Data_Validation!$A:$E,5,0)</f>
        <v>$</v>
      </c>
      <c r="X67" s="656">
        <f>+VLOOKUP($L67,Data_Validation!$A:$F,6,0)</f>
        <v>0</v>
      </c>
    </row>
    <row r="68" spans="1:24" ht="15" customHeight="1">
      <c r="A68" s="1252" t="s">
        <v>813</v>
      </c>
      <c r="B68" s="1252" t="s">
        <v>2644</v>
      </c>
      <c r="C68" s="1253"/>
      <c r="D68" s="1253"/>
      <c r="E68" s="1253"/>
      <c r="F68" s="1252" t="s">
        <v>2</v>
      </c>
      <c r="G68" s="1252" t="s">
        <v>785</v>
      </c>
      <c r="H68" s="1252" t="s">
        <v>3955</v>
      </c>
      <c r="I68" s="1254">
        <v>1</v>
      </c>
      <c r="J68" s="1254">
        <v>0</v>
      </c>
      <c r="K68" s="1254">
        <v>1</v>
      </c>
      <c r="L68" s="653" t="str">
        <f t="shared" si="67"/>
        <v>667</v>
      </c>
      <c r="M68" s="654" t="str">
        <f t="shared" si="0"/>
        <v>PERSONELS CLER. PIECES</v>
      </c>
      <c r="N68" s="655">
        <f>+IF(OR($Q68=Parametres!$G$2,$Q68=Parametres!$G$3),I68,C68)</f>
        <v>1</v>
      </c>
      <c r="O68" s="659">
        <f>+IF(OR($Q68=Parametres!$G$2,$Q68=Parametres!$G$3),J68,D68)</f>
        <v>0</v>
      </c>
      <c r="P68" s="655">
        <f>+IF(OR($Q68=Parametres!$G$2,$Q68=Parametres!$G$3),K68,E68)</f>
        <v>1</v>
      </c>
      <c r="Q68" s="654" t="str">
        <f t="shared" ref="Q68:S68" si="69">+F68</f>
        <v>1-Mémo</v>
      </c>
      <c r="R68" s="653" t="str">
        <f t="shared" si="69"/>
        <v>50</v>
      </c>
      <c r="S68" s="654" t="str">
        <f t="shared" si="69"/>
        <v>_</v>
      </c>
      <c r="T68" s="656" t="str">
        <f>+VLOOKUP($L68,Data_Validation!$A:$D,1,0)</f>
        <v>667</v>
      </c>
      <c r="U68" s="656">
        <f>+VLOOKUP($L68,Data_Validation!$A:$D,3,0)</f>
        <v>0</v>
      </c>
      <c r="V68" s="656">
        <f>+VLOOKUP($L68,Data_Validation!$A:$D,4,0)</f>
        <v>0</v>
      </c>
      <c r="W68" s="656" t="str">
        <f>+VLOOKUP($L68,Data_Validation!$A:$E,5,0)</f>
        <v>$</v>
      </c>
      <c r="X68" s="656">
        <f>+VLOOKUP($L68,Data_Validation!$A:$F,6,0)</f>
        <v>0</v>
      </c>
    </row>
    <row r="69" spans="1:24" ht="15" customHeight="1">
      <c r="A69" s="1252" t="s">
        <v>814</v>
      </c>
      <c r="B69" s="1252" t="s">
        <v>2722</v>
      </c>
      <c r="C69" s="1253"/>
      <c r="D69" s="1253"/>
      <c r="E69" s="1253"/>
      <c r="F69" s="1252" t="s">
        <v>2</v>
      </c>
      <c r="G69" s="1252" t="s">
        <v>3333</v>
      </c>
      <c r="H69" s="1252" t="s">
        <v>3955</v>
      </c>
      <c r="I69" s="1254">
        <v>3</v>
      </c>
      <c r="J69" s="1254">
        <v>0</v>
      </c>
      <c r="K69" s="1254">
        <v>3</v>
      </c>
      <c r="L69" s="653" t="str">
        <f t="shared" si="67"/>
        <v>677</v>
      </c>
      <c r="M69" s="654" t="str">
        <f t="shared" si="0"/>
        <v>VW PIECES</v>
      </c>
      <c r="N69" s="655">
        <f>+IF(OR($Q69=Parametres!$G$2,$Q69=Parametres!$G$3),I69,C69)</f>
        <v>3</v>
      </c>
      <c r="O69" s="655">
        <f>+IF(OR($Q69=Parametres!$G$2,$Q69=Parametres!$G$3),J69,D69)</f>
        <v>0</v>
      </c>
      <c r="P69" s="655">
        <f>+IF(OR($Q69=Parametres!$G$2,$Q69=Parametres!$G$3),K69,E69)</f>
        <v>3</v>
      </c>
      <c r="Q69" s="654" t="str">
        <f t="shared" ref="Q69:S69" si="70">+F69</f>
        <v>1-Mémo</v>
      </c>
      <c r="R69" s="653" t="str">
        <f t="shared" si="70"/>
        <v>67</v>
      </c>
      <c r="S69" s="654" t="str">
        <f t="shared" si="70"/>
        <v>_</v>
      </c>
      <c r="T69" s="656" t="str">
        <f>+VLOOKUP($L69,Data_Validation!$A:$D,1,0)</f>
        <v>677</v>
      </c>
      <c r="U69" s="656">
        <f>+VLOOKUP($L69,Data_Validation!$A:$D,3,0)</f>
        <v>0</v>
      </c>
      <c r="V69" s="656">
        <f>+VLOOKUP($L69,Data_Validation!$A:$D,4,0)</f>
        <v>0</v>
      </c>
      <c r="W69" s="656" t="str">
        <f>+VLOOKUP($L69,Data_Validation!$A:$E,5,0)</f>
        <v>$</v>
      </c>
      <c r="X69" s="656">
        <f>+VLOOKUP($L69,Data_Validation!$A:$F,6,0)</f>
        <v>0</v>
      </c>
    </row>
    <row r="70" spans="1:24" ht="15" customHeight="1">
      <c r="A70" s="1252" t="s">
        <v>815</v>
      </c>
      <c r="B70" s="1252" t="s">
        <v>817</v>
      </c>
      <c r="C70" s="1254">
        <v>1213.77</v>
      </c>
      <c r="D70" s="1254">
        <v>-374799.09</v>
      </c>
      <c r="E70" s="1254">
        <v>-373585.32</v>
      </c>
      <c r="F70" s="1252" t="s">
        <v>816</v>
      </c>
      <c r="G70" s="1252" t="s">
        <v>817</v>
      </c>
      <c r="H70" s="1252" t="s">
        <v>3955</v>
      </c>
      <c r="I70" s="1253"/>
      <c r="J70" s="1253"/>
      <c r="K70" s="1253"/>
      <c r="L70" s="653" t="str">
        <f t="shared" si="67"/>
        <v>1102</v>
      </c>
      <c r="M70" s="654" t="str">
        <f t="shared" si="0"/>
        <v>BANQUE DE COMMERCE C/C</v>
      </c>
      <c r="N70" s="655">
        <f>+IF(OR($Q70=Parametres!$G$2,$Q70=Parametres!$G$3),I70,C70)</f>
        <v>1213.77</v>
      </c>
      <c r="O70" s="655">
        <f>+IF(OR($Q70=Parametres!$G$2,$Q70=Parametres!$G$3),J70,D70)</f>
        <v>-374799.09</v>
      </c>
      <c r="P70" s="655">
        <f>+IF(OR($Q70=Parametres!$G$2,$Q70=Parametres!$G$3),K70,E70)</f>
        <v>-373585.32</v>
      </c>
      <c r="Q70" s="654" t="str">
        <f t="shared" ref="Q70:S70" si="71">+F70</f>
        <v>2-Actifs</v>
      </c>
      <c r="R70" s="653" t="str">
        <f t="shared" si="71"/>
        <v>1102</v>
      </c>
      <c r="S70" s="654" t="str">
        <f t="shared" si="71"/>
        <v>_</v>
      </c>
      <c r="T70" s="656" t="str">
        <f>+VLOOKUP($L70,Data_Validation!$A:$D,1,0)</f>
        <v>1102</v>
      </c>
      <c r="U70" s="656" t="str">
        <f>+VLOOKUP($L70,Data_Validation!$A:$D,3,0)</f>
        <v>Bilan</v>
      </c>
      <c r="V70" s="656" t="str">
        <f>+VLOOKUP($L70,Data_Validation!$A:$D,4,0)</f>
        <v>Encaisse</v>
      </c>
      <c r="W70" s="656" t="str">
        <f>+VLOOKUP($L70,Data_Validation!$A:$E,5,0)</f>
        <v>$</v>
      </c>
      <c r="X70" s="656">
        <f>+VLOOKUP($L70,Data_Validation!$A:$F,6,0)</f>
        <v>0</v>
      </c>
    </row>
    <row r="71" spans="1:24" ht="15" customHeight="1">
      <c r="A71" s="1252" t="s">
        <v>3887</v>
      </c>
      <c r="B71" s="1252" t="s">
        <v>3888</v>
      </c>
      <c r="C71" s="1254">
        <v>545.95000000000005</v>
      </c>
      <c r="D71" s="1254">
        <v>510.33</v>
      </c>
      <c r="E71" s="1254">
        <v>1056.28</v>
      </c>
      <c r="F71" s="1252" t="s">
        <v>816</v>
      </c>
      <c r="G71" s="1252" t="s">
        <v>817</v>
      </c>
      <c r="H71" s="1252" t="s">
        <v>3955</v>
      </c>
      <c r="I71" s="1253"/>
      <c r="J71" s="1253"/>
      <c r="K71" s="1253"/>
      <c r="L71" s="653" t="str">
        <f t="shared" si="67"/>
        <v>1109</v>
      </c>
      <c r="M71" s="654" t="str">
        <f t="shared" si="0"/>
        <v>KIMOBY</v>
      </c>
      <c r="N71" s="655">
        <f>+IF(OR($Q71=Parametres!$G$2,$Q71=Parametres!$G$3),I71,C71)</f>
        <v>545.95000000000005</v>
      </c>
      <c r="O71" s="655">
        <f>+IF(OR($Q71=Parametres!$G$2,$Q71=Parametres!$G$3),J71,D71)</f>
        <v>510.33</v>
      </c>
      <c r="P71" s="655">
        <f>+IF(OR($Q71=Parametres!$G$2,$Q71=Parametres!$G$3),K71,E71)</f>
        <v>1056.28</v>
      </c>
      <c r="Q71" s="654" t="str">
        <f t="shared" ref="Q71:S71" si="72">+F71</f>
        <v>2-Actifs</v>
      </c>
      <c r="R71" s="653" t="str">
        <f t="shared" si="72"/>
        <v>1102</v>
      </c>
      <c r="S71" s="654" t="str">
        <f t="shared" si="72"/>
        <v>_</v>
      </c>
      <c r="T71" s="656" t="str">
        <f>+VLOOKUP($L71,Data_Validation!$A:$D,1,0)</f>
        <v>1109</v>
      </c>
      <c r="U71" s="656" t="str">
        <f>+VLOOKUP($L71,Data_Validation!$A:$D,3,0)</f>
        <v>Bilan</v>
      </c>
      <c r="V71" s="656" t="str">
        <f>+VLOOKUP($L71,Data_Validation!$A:$D,4,0)</f>
        <v>Encaisse</v>
      </c>
      <c r="W71" s="656" t="str">
        <f>+VLOOKUP($L71,Data_Validation!$A:$E,5,0)</f>
        <v>$</v>
      </c>
      <c r="X71" s="656">
        <f>+VLOOKUP($L71,Data_Validation!$A:$F,6,0)</f>
        <v>0</v>
      </c>
    </row>
    <row r="72" spans="1:24" ht="15" customHeight="1">
      <c r="A72" s="1252" t="s">
        <v>819</v>
      </c>
      <c r="B72" s="1252" t="s">
        <v>3360</v>
      </c>
      <c r="C72" s="1254">
        <v>400000</v>
      </c>
      <c r="D72" s="1254">
        <v>0</v>
      </c>
      <c r="E72" s="1254">
        <v>400000</v>
      </c>
      <c r="F72" s="1252" t="s">
        <v>816</v>
      </c>
      <c r="G72" s="1252" t="s">
        <v>817</v>
      </c>
      <c r="H72" s="1252" t="s">
        <v>3955</v>
      </c>
      <c r="I72" s="1253"/>
      <c r="J72" s="1253"/>
      <c r="K72" s="1253"/>
      <c r="L72" s="653" t="str">
        <f t="shared" si="67"/>
        <v>1111</v>
      </c>
      <c r="M72" s="654" t="str">
        <f t="shared" si="0"/>
        <v>REMBOURSEMENTS FLOORPLAN</v>
      </c>
      <c r="N72" s="655">
        <f>+IF(OR($Q72=Parametres!$G$2,$Q72=Parametres!$G$3),I72,C72)</f>
        <v>400000</v>
      </c>
      <c r="O72" s="659">
        <f>+IF(OR($Q72=Parametres!$G$2,$Q72=Parametres!$G$3),J72,D72)</f>
        <v>0</v>
      </c>
      <c r="P72" s="655">
        <f>+IF(OR($Q72=Parametres!$G$2,$Q72=Parametres!$G$3),K72,E72)</f>
        <v>400000</v>
      </c>
      <c r="Q72" s="654" t="str">
        <f t="shared" ref="Q72:S72" si="73">+F72</f>
        <v>2-Actifs</v>
      </c>
      <c r="R72" s="653" t="str">
        <f t="shared" si="73"/>
        <v>1102</v>
      </c>
      <c r="S72" s="654" t="str">
        <f t="shared" si="73"/>
        <v>_</v>
      </c>
      <c r="T72" s="656" t="str">
        <f>+VLOOKUP($L72,Data_Validation!$A:$D,1,0)</f>
        <v>1111</v>
      </c>
      <c r="U72" s="656" t="str">
        <f>+VLOOKUP($L72,Data_Validation!$A:$D,3,0)</f>
        <v>Bilan</v>
      </c>
      <c r="V72" s="656" t="str">
        <f>+VLOOKUP($L72,Data_Validation!$A:$D,4,0)</f>
        <v>Encaisse</v>
      </c>
      <c r="W72" s="656" t="str">
        <f>+VLOOKUP($L72,Data_Validation!$A:$E,5,0)</f>
        <v>$</v>
      </c>
      <c r="X72" s="656">
        <f>+VLOOKUP($L72,Data_Validation!$A:$F,6,0)</f>
        <v>0</v>
      </c>
    </row>
    <row r="73" spans="1:24" ht="15" customHeight="1">
      <c r="A73" s="1252" t="s">
        <v>820</v>
      </c>
      <c r="B73" s="1252" t="s">
        <v>1452</v>
      </c>
      <c r="C73" s="1254">
        <v>208.82</v>
      </c>
      <c r="D73" s="1254">
        <v>0</v>
      </c>
      <c r="E73" s="1254">
        <v>208.82</v>
      </c>
      <c r="F73" s="1252" t="s">
        <v>816</v>
      </c>
      <c r="G73" s="1252" t="s">
        <v>817</v>
      </c>
      <c r="H73" s="1252" t="s">
        <v>3955</v>
      </c>
      <c r="I73" s="1253"/>
      <c r="J73" s="1253"/>
      <c r="K73" s="1253"/>
      <c r="L73" s="653" t="str">
        <f t="shared" si="67"/>
        <v>1182</v>
      </c>
      <c r="M73" s="654" t="str">
        <f t="shared" si="0"/>
        <v>PETITE CAISSE</v>
      </c>
      <c r="N73" s="655">
        <f>+IF(OR($Q73=Parametres!$G$2,$Q73=Parametres!$G$3),I73,C73)</f>
        <v>208.82</v>
      </c>
      <c r="O73" s="655">
        <f>+IF(OR($Q73=Parametres!$G$2,$Q73=Parametres!$G$3),J73,D73)</f>
        <v>0</v>
      </c>
      <c r="P73" s="655">
        <f>+IF(OR($Q73=Parametres!$G$2,$Q73=Parametres!$G$3),K73,E73)</f>
        <v>208.82</v>
      </c>
      <c r="Q73" s="654" t="str">
        <f t="shared" ref="Q73:S73" si="74">+F73</f>
        <v>2-Actifs</v>
      </c>
      <c r="R73" s="653" t="str">
        <f t="shared" si="74"/>
        <v>1102</v>
      </c>
      <c r="S73" s="654" t="str">
        <f t="shared" si="74"/>
        <v>_</v>
      </c>
      <c r="T73" s="656" t="str">
        <f>+VLOOKUP($L73,Data_Validation!$A:$D,1,0)</f>
        <v>1182</v>
      </c>
      <c r="U73" s="656" t="str">
        <f>+VLOOKUP($L73,Data_Validation!$A:$D,3,0)</f>
        <v>Bilan</v>
      </c>
      <c r="V73" s="656" t="str">
        <f>+VLOOKUP($L73,Data_Validation!$A:$D,4,0)</f>
        <v>Encaisse</v>
      </c>
      <c r="W73" s="656" t="str">
        <f>+VLOOKUP($L73,Data_Validation!$A:$E,5,0)</f>
        <v>$</v>
      </c>
      <c r="X73" s="656">
        <f>+VLOOKUP($L73,Data_Validation!$A:$F,6,0)</f>
        <v>0</v>
      </c>
    </row>
    <row r="74" spans="1:24" ht="15" customHeight="1">
      <c r="A74" s="1252" t="s">
        <v>3666</v>
      </c>
      <c r="B74" s="1252" t="s">
        <v>3362</v>
      </c>
      <c r="C74" s="1254">
        <v>184.62</v>
      </c>
      <c r="D74" s="1254">
        <v>-184.62</v>
      </c>
      <c r="E74" s="1254">
        <v>0</v>
      </c>
      <c r="F74" s="1252" t="s">
        <v>816</v>
      </c>
      <c r="G74" s="1252" t="s">
        <v>821</v>
      </c>
      <c r="H74" s="1252" t="s">
        <v>3955</v>
      </c>
      <c r="I74" s="1253"/>
      <c r="J74" s="1253"/>
      <c r="K74" s="1253"/>
      <c r="L74" s="653" t="str">
        <f t="shared" si="67"/>
        <v>1189</v>
      </c>
      <c r="M74" s="654" t="str">
        <f t="shared" si="0"/>
        <v>VENTE AU COMPTANT (PIECES)</v>
      </c>
      <c r="N74" s="655">
        <f>+IF(OR($Q74=Parametres!$G$2,$Q74=Parametres!$G$3),I74,C74)</f>
        <v>184.62</v>
      </c>
      <c r="O74" s="655">
        <f>+IF(OR($Q74=Parametres!$G$2,$Q74=Parametres!$G$3),J74,D74)</f>
        <v>-184.62</v>
      </c>
      <c r="P74" s="655">
        <f>+IF(OR($Q74=Parametres!$G$2,$Q74=Parametres!$G$3),K74,E74)</f>
        <v>0</v>
      </c>
      <c r="Q74" s="654" t="str">
        <f t="shared" ref="Q74:S74" si="75">+F74</f>
        <v>2-Actifs</v>
      </c>
      <c r="R74" s="653" t="str">
        <f t="shared" si="75"/>
        <v>1382</v>
      </c>
      <c r="S74" s="654" t="str">
        <f t="shared" si="75"/>
        <v>_</v>
      </c>
      <c r="T74" s="656" t="str">
        <f>+VLOOKUP($L74,Data_Validation!$A:$D,1,0)</f>
        <v>1189</v>
      </c>
      <c r="U74" s="656" t="str">
        <f>+VLOOKUP($L74,Data_Validation!$A:$D,3,0)</f>
        <v>Bilan</v>
      </c>
      <c r="V74" s="656" t="str">
        <f>+VLOOKUP($L74,Data_Validation!$A:$D,4,0)</f>
        <v>Encaisse</v>
      </c>
      <c r="W74" s="656" t="str">
        <f>+VLOOKUP($L74,Data_Validation!$A:$E,5,0)</f>
        <v>$</v>
      </c>
      <c r="X74" s="656">
        <f>+VLOOKUP($L74,Data_Validation!$A:$F,6,0)</f>
        <v>0</v>
      </c>
    </row>
    <row r="75" spans="1:24" ht="15" customHeight="1">
      <c r="A75" s="1252" t="s">
        <v>822</v>
      </c>
      <c r="B75" s="1252" t="s">
        <v>823</v>
      </c>
      <c r="C75" s="1254">
        <v>1180748.5900000001</v>
      </c>
      <c r="D75" s="1254">
        <v>62272.05</v>
      </c>
      <c r="E75" s="1254">
        <v>1243020.6399999999</v>
      </c>
      <c r="F75" s="1252" t="s">
        <v>816</v>
      </c>
      <c r="G75" s="1252" t="s">
        <v>823</v>
      </c>
      <c r="H75" s="1252" t="s">
        <v>3955</v>
      </c>
      <c r="I75" s="1253"/>
      <c r="J75" s="1253"/>
      <c r="K75" s="1253"/>
      <c r="L75" s="653" t="str">
        <f t="shared" si="67"/>
        <v>1202</v>
      </c>
      <c r="M75" s="654" t="str">
        <f t="shared" si="0"/>
        <v>CONTRATS EN TRANSIT</v>
      </c>
      <c r="N75" s="655">
        <f>+IF(OR($Q75=Parametres!$G$2,$Q75=Parametres!$G$3),I75,C75)</f>
        <v>1180748.5900000001</v>
      </c>
      <c r="O75" s="655">
        <f>+IF(OR($Q75=Parametres!$G$2,$Q75=Parametres!$G$3),J75,D75)</f>
        <v>62272.05</v>
      </c>
      <c r="P75" s="655">
        <f>+IF(OR($Q75=Parametres!$G$2,$Q75=Parametres!$G$3),K75,E75)</f>
        <v>1243020.6399999999</v>
      </c>
      <c r="Q75" s="654" t="str">
        <f t="shared" ref="Q75:S75" si="76">+F75</f>
        <v>2-Actifs</v>
      </c>
      <c r="R75" s="653" t="str">
        <f t="shared" si="76"/>
        <v>1202</v>
      </c>
      <c r="S75" s="654" t="str">
        <f t="shared" si="76"/>
        <v>_</v>
      </c>
      <c r="T75" s="656" t="str">
        <f>+VLOOKUP($L75,Data_Validation!$A:$D,1,0)</f>
        <v>1202</v>
      </c>
      <c r="U75" s="656" t="str">
        <f>+VLOOKUP($L75,Data_Validation!$A:$D,3,0)</f>
        <v>Bilan</v>
      </c>
      <c r="V75" s="656" t="str">
        <f>+VLOOKUP($L75,Data_Validation!$A:$D,4,0)</f>
        <v>Recevables Contrats en Transit</v>
      </c>
      <c r="W75" s="656" t="str">
        <f>+VLOOKUP($L75,Data_Validation!$A:$E,5,0)</f>
        <v>$</v>
      </c>
      <c r="X75" s="656">
        <f>+VLOOKUP($L75,Data_Validation!$A:$F,6,0)</f>
        <v>0</v>
      </c>
    </row>
    <row r="76" spans="1:24" ht="15" customHeight="1">
      <c r="A76" s="1252" t="s">
        <v>824</v>
      </c>
      <c r="B76" s="1252" t="s">
        <v>825</v>
      </c>
      <c r="C76" s="1254">
        <v>-68831.240000000005</v>
      </c>
      <c r="D76" s="1254">
        <v>35020.36</v>
      </c>
      <c r="E76" s="1254">
        <v>-33810.879999999997</v>
      </c>
      <c r="F76" s="1252" t="s">
        <v>816</v>
      </c>
      <c r="G76" s="1252" t="s">
        <v>825</v>
      </c>
      <c r="H76" s="1252" t="s">
        <v>3955</v>
      </c>
      <c r="I76" s="1253"/>
      <c r="J76" s="1253"/>
      <c r="K76" s="1253"/>
      <c r="L76" s="653" t="str">
        <f t="shared" si="67"/>
        <v>1302</v>
      </c>
      <c r="M76" s="654" t="str">
        <f t="shared" si="0"/>
        <v>RECEVABLE-CLIENT-VEHICULE</v>
      </c>
      <c r="N76" s="655">
        <f>+IF(OR($Q76=Parametres!$G$2,$Q76=Parametres!$G$3),I76,C76)</f>
        <v>-68831.240000000005</v>
      </c>
      <c r="O76" s="655">
        <f>+IF(OR($Q76=Parametres!$G$2,$Q76=Parametres!$G$3),J76,D76)</f>
        <v>35020.36</v>
      </c>
      <c r="P76" s="655">
        <f>+IF(OR($Q76=Parametres!$G$2,$Q76=Parametres!$G$3),K76,E76)</f>
        <v>-33810.879999999997</v>
      </c>
      <c r="Q76" s="654" t="str">
        <f t="shared" ref="Q76:S76" si="77">+F76</f>
        <v>2-Actifs</v>
      </c>
      <c r="R76" s="653" t="str">
        <f t="shared" si="77"/>
        <v>1302</v>
      </c>
      <c r="S76" s="654" t="str">
        <f t="shared" si="77"/>
        <v>_</v>
      </c>
      <c r="T76" s="656" t="str">
        <f>+VLOOKUP($L76,Data_Validation!$A:$D,1,0)</f>
        <v>1302</v>
      </c>
      <c r="U76" s="656" t="str">
        <f>+VLOOKUP($L76,Data_Validation!$A:$D,3,0)</f>
        <v>Bilan</v>
      </c>
      <c r="V76" s="656" t="str">
        <f>+VLOOKUP($L76,Data_Validation!$A:$D,4,0)</f>
        <v>Recevables Véhicules</v>
      </c>
      <c r="W76" s="656" t="str">
        <f>+VLOOKUP($L76,Data_Validation!$A:$E,5,0)</f>
        <v>$</v>
      </c>
      <c r="X76" s="656">
        <f>+VLOOKUP($L76,Data_Validation!$A:$F,6,0)</f>
        <v>0</v>
      </c>
    </row>
    <row r="77" spans="1:24" ht="15" customHeight="1">
      <c r="A77" s="1252" t="s">
        <v>826</v>
      </c>
      <c r="B77" s="1252" t="s">
        <v>1459</v>
      </c>
      <c r="C77" s="1254">
        <v>387790.26</v>
      </c>
      <c r="D77" s="1254">
        <v>89038.64</v>
      </c>
      <c r="E77" s="1254">
        <v>476828.9</v>
      </c>
      <c r="F77" s="1252" t="s">
        <v>816</v>
      </c>
      <c r="G77" s="1252" t="s">
        <v>825</v>
      </c>
      <c r="H77" s="1252" t="s">
        <v>3955</v>
      </c>
      <c r="I77" s="1253"/>
      <c r="J77" s="1253"/>
      <c r="K77" s="1253"/>
      <c r="L77" s="653" t="str">
        <f t="shared" si="67"/>
        <v>1303</v>
      </c>
      <c r="M77" s="654" t="str">
        <f t="shared" si="0"/>
        <v>RECEVABLES LPA ET AU GROS</v>
      </c>
      <c r="N77" s="655">
        <f>+IF(OR($Q77=Parametres!$G$2,$Q77=Parametres!$G$3),I77,C77)</f>
        <v>387790.26</v>
      </c>
      <c r="O77" s="655">
        <f>+IF(OR($Q77=Parametres!$G$2,$Q77=Parametres!$G$3),J77,D77)</f>
        <v>89038.64</v>
      </c>
      <c r="P77" s="655">
        <f>+IF(OR($Q77=Parametres!$G$2,$Q77=Parametres!$G$3),K77,E77)</f>
        <v>476828.9</v>
      </c>
      <c r="Q77" s="654" t="str">
        <f t="shared" ref="Q77:S77" si="78">+F77</f>
        <v>2-Actifs</v>
      </c>
      <c r="R77" s="653" t="str">
        <f t="shared" si="78"/>
        <v>1302</v>
      </c>
      <c r="S77" s="654" t="str">
        <f t="shared" si="78"/>
        <v>_</v>
      </c>
      <c r="T77" s="656" t="str">
        <f>+VLOOKUP($L77,Data_Validation!$A:$D,1,0)</f>
        <v>1303</v>
      </c>
      <c r="U77" s="656" t="str">
        <f>+VLOOKUP($L77,Data_Validation!$A:$D,3,0)</f>
        <v>Bilan</v>
      </c>
      <c r="V77" s="656" t="str">
        <f>+VLOOKUP($L77,Data_Validation!$A:$D,4,0)</f>
        <v>Recevables Véhicules</v>
      </c>
      <c r="W77" s="656" t="str">
        <f>+VLOOKUP($L77,Data_Validation!$A:$E,5,0)</f>
        <v>$</v>
      </c>
      <c r="X77" s="656">
        <f>+VLOOKUP($L77,Data_Validation!$A:$F,6,0)</f>
        <v>0</v>
      </c>
    </row>
    <row r="78" spans="1:24" ht="15" customHeight="1">
      <c r="A78" s="1252" t="s">
        <v>827</v>
      </c>
      <c r="B78" s="1252" t="s">
        <v>828</v>
      </c>
      <c r="C78" s="1254">
        <v>283303.51</v>
      </c>
      <c r="D78" s="1254">
        <v>4635.43</v>
      </c>
      <c r="E78" s="1254">
        <v>287938.94</v>
      </c>
      <c r="F78" s="1252" t="s">
        <v>816</v>
      </c>
      <c r="G78" s="1252" t="s">
        <v>828</v>
      </c>
      <c r="H78" s="1252" t="s">
        <v>3955</v>
      </c>
      <c r="I78" s="1253"/>
      <c r="J78" s="1253"/>
      <c r="K78" s="1253"/>
      <c r="L78" s="653" t="str">
        <f t="shared" si="67"/>
        <v>1304</v>
      </c>
      <c r="M78" s="654" t="str">
        <f t="shared" si="0"/>
        <v>RECEVABLES PIECES &amp; SERVICE</v>
      </c>
      <c r="N78" s="655">
        <f>+IF(OR($Q78=Parametres!$G$2,$Q78=Parametres!$G$3),I78,C78)</f>
        <v>283303.51</v>
      </c>
      <c r="O78" s="655">
        <f>+IF(OR($Q78=Parametres!$G$2,$Q78=Parametres!$G$3),J78,D78)</f>
        <v>4635.43</v>
      </c>
      <c r="P78" s="655">
        <f>+IF(OR($Q78=Parametres!$G$2,$Q78=Parametres!$G$3),K78,E78)</f>
        <v>287938.94</v>
      </c>
      <c r="Q78" s="654" t="str">
        <f t="shared" ref="Q78:S78" si="79">+F78</f>
        <v>2-Actifs</v>
      </c>
      <c r="R78" s="653" t="str">
        <f t="shared" si="79"/>
        <v>1304</v>
      </c>
      <c r="S78" s="654" t="str">
        <f t="shared" si="79"/>
        <v>_</v>
      </c>
      <c r="T78" s="656" t="str">
        <f>+VLOOKUP($L78,Data_Validation!$A:$D,1,0)</f>
        <v>1304</v>
      </c>
      <c r="U78" s="656" t="str">
        <f>+VLOOKUP($L78,Data_Validation!$A:$D,3,0)</f>
        <v>Bilan</v>
      </c>
      <c r="V78" s="656" t="str">
        <f>+VLOOKUP($L78,Data_Validation!$A:$D,4,0)</f>
        <v>Recevables Pièces et Service</v>
      </c>
      <c r="W78" s="656" t="str">
        <f>+VLOOKUP($L78,Data_Validation!$A:$E,5,0)</f>
        <v>$</v>
      </c>
      <c r="X78" s="656">
        <f>+VLOOKUP($L78,Data_Validation!$A:$F,6,0)</f>
        <v>0</v>
      </c>
    </row>
    <row r="79" spans="1:24" ht="15" customHeight="1">
      <c r="A79" s="1252" t="s">
        <v>829</v>
      </c>
      <c r="B79" s="1252" t="s">
        <v>1464</v>
      </c>
      <c r="C79" s="1254">
        <v>2358.58</v>
      </c>
      <c r="D79" s="1254">
        <v>-6015.23</v>
      </c>
      <c r="E79" s="1254">
        <v>-3656.65</v>
      </c>
      <c r="F79" s="1252" t="s">
        <v>816</v>
      </c>
      <c r="G79" s="1252" t="s">
        <v>828</v>
      </c>
      <c r="H79" s="1252" t="s">
        <v>3955</v>
      </c>
      <c r="I79" s="1253"/>
      <c r="J79" s="1253"/>
      <c r="K79" s="1253"/>
      <c r="L79" s="653" t="str">
        <f t="shared" si="67"/>
        <v>1305</v>
      </c>
      <c r="M79" s="654" t="str">
        <f t="shared" si="0"/>
        <v>RECEVABLES CARROSSERIE</v>
      </c>
      <c r="N79" s="655">
        <f>+IF(OR($Q79=Parametres!$G$2,$Q79=Parametres!$G$3),I79,C79)</f>
        <v>2358.58</v>
      </c>
      <c r="O79" s="655">
        <f>+IF(OR($Q79=Parametres!$G$2,$Q79=Parametres!$G$3),J79,D79)</f>
        <v>-6015.23</v>
      </c>
      <c r="P79" s="655">
        <f>+IF(OR($Q79=Parametres!$G$2,$Q79=Parametres!$G$3),K79,E79)</f>
        <v>-3656.65</v>
      </c>
      <c r="Q79" s="654" t="str">
        <f t="shared" ref="Q79:S79" si="80">+F79</f>
        <v>2-Actifs</v>
      </c>
      <c r="R79" s="653" t="str">
        <f t="shared" si="80"/>
        <v>1304</v>
      </c>
      <c r="S79" s="654" t="str">
        <f t="shared" si="80"/>
        <v>_</v>
      </c>
      <c r="T79" s="656" t="str">
        <f>+VLOOKUP($L79,Data_Validation!$A:$D,1,0)</f>
        <v>1305</v>
      </c>
      <c r="U79" s="656" t="str">
        <f>+VLOOKUP($L79,Data_Validation!$A:$D,3,0)</f>
        <v>Bilan</v>
      </c>
      <c r="V79" s="656" t="str">
        <f>+VLOOKUP($L79,Data_Validation!$A:$D,4,0)</f>
        <v>Recevables Carrosserie</v>
      </c>
      <c r="W79" s="656" t="str">
        <f>+VLOOKUP($L79,Data_Validation!$A:$E,5,0)</f>
        <v>$</v>
      </c>
      <c r="X79" s="656">
        <f>+VLOOKUP($L79,Data_Validation!$A:$F,6,0)</f>
        <v>0</v>
      </c>
    </row>
    <row r="80" spans="1:24" ht="15.75" customHeight="1">
      <c r="A80" s="1252" t="s">
        <v>830</v>
      </c>
      <c r="B80" s="1252" t="s">
        <v>3363</v>
      </c>
      <c r="C80" s="1254">
        <v>24884.71</v>
      </c>
      <c r="D80" s="1254">
        <v>-24884.71</v>
      </c>
      <c r="E80" s="1254">
        <v>0</v>
      </c>
      <c r="F80" s="1252" t="s">
        <v>816</v>
      </c>
      <c r="G80" s="1252" t="s">
        <v>828</v>
      </c>
      <c r="H80" s="1252" t="s">
        <v>3955</v>
      </c>
      <c r="I80" s="1253"/>
      <c r="J80" s="1253"/>
      <c r="K80" s="1253"/>
      <c r="L80" s="653" t="str">
        <f t="shared" si="67"/>
        <v>1306</v>
      </c>
      <c r="M80" s="654" t="str">
        <f t="shared" si="0"/>
        <v>RECEVABLES INTERCO</v>
      </c>
      <c r="N80" s="655">
        <f>+IF(OR($Q80=Parametres!$G$2,$Q80=Parametres!$G$3),I80,C80)</f>
        <v>24884.71</v>
      </c>
      <c r="O80" s="655">
        <f>+IF(OR($Q80=Parametres!$G$2,$Q80=Parametres!$G$3),J80,D80)</f>
        <v>-24884.71</v>
      </c>
      <c r="P80" s="655">
        <f>+IF(OR($Q80=Parametres!$G$2,$Q80=Parametres!$G$3),K80,E80)</f>
        <v>0</v>
      </c>
      <c r="Q80" s="654" t="str">
        <f t="shared" ref="Q80:S80" si="81">+F80</f>
        <v>2-Actifs</v>
      </c>
      <c r="R80" s="653" t="str">
        <f t="shared" si="81"/>
        <v>1304</v>
      </c>
      <c r="S80" s="654" t="str">
        <f t="shared" si="81"/>
        <v>_</v>
      </c>
      <c r="T80" s="656" t="str">
        <f>+VLOOKUP($L80,Data_Validation!$A:$D,1,0)</f>
        <v>1306</v>
      </c>
      <c r="U80" s="656" t="str">
        <f>+VLOOKUP($L80,Data_Validation!$A:$D,3,0)</f>
        <v>Bilan</v>
      </c>
      <c r="V80" s="656" t="str">
        <f>+VLOOKUP($L80,Data_Validation!$A:$D,4,0)</f>
        <v>Recevables Intercos</v>
      </c>
      <c r="W80" s="656" t="str">
        <f>+VLOOKUP($L80,Data_Validation!$A:$E,5,0)</f>
        <v>$</v>
      </c>
      <c r="X80" s="656">
        <f>+VLOOKUP($L80,Data_Validation!$A:$F,6,0)</f>
        <v>0</v>
      </c>
    </row>
    <row r="81" spans="1:24" ht="15" customHeight="1">
      <c r="A81" s="1252" t="s">
        <v>831</v>
      </c>
      <c r="B81" s="1252" t="s">
        <v>3364</v>
      </c>
      <c r="C81" s="1254">
        <v>0</v>
      </c>
      <c r="D81" s="1254">
        <v>52300</v>
      </c>
      <c r="E81" s="1254">
        <v>52300</v>
      </c>
      <c r="F81" s="1252" t="s">
        <v>816</v>
      </c>
      <c r="G81" s="1252" t="s">
        <v>825</v>
      </c>
      <c r="H81" s="1252" t="s">
        <v>3955</v>
      </c>
      <c r="I81" s="1200"/>
      <c r="J81" s="1200"/>
      <c r="K81" s="1200"/>
      <c r="L81" s="653" t="str">
        <f t="shared" si="67"/>
        <v>1307</v>
      </c>
      <c r="M81" s="654" t="str">
        <f t="shared" si="0"/>
        <v>RECEVABLES INTERCO VEHICULE</v>
      </c>
      <c r="N81" s="655">
        <f>+IF(OR($Q81=Parametres!$G$2,$Q81=Parametres!$G$3),I81,C81)</f>
        <v>0</v>
      </c>
      <c r="O81" s="655">
        <f>+IF(OR($Q81=Parametres!$G$2,$Q81=Parametres!$G$3),J81,D81)</f>
        <v>52300</v>
      </c>
      <c r="P81" s="655">
        <f>+IF(OR($Q81=Parametres!$G$2,$Q81=Parametres!$G$3),K81,E81)</f>
        <v>52300</v>
      </c>
      <c r="Q81" s="654" t="str">
        <f t="shared" ref="Q81:S81" si="82">+F81</f>
        <v>2-Actifs</v>
      </c>
      <c r="R81" s="653" t="str">
        <f t="shared" si="82"/>
        <v>1302</v>
      </c>
      <c r="S81" s="654" t="str">
        <f t="shared" si="82"/>
        <v>_</v>
      </c>
      <c r="T81" s="656" t="str">
        <f>+VLOOKUP($L81,Data_Validation!$A:$D,1,0)</f>
        <v>1307</v>
      </c>
      <c r="U81" s="656" t="str">
        <f>+VLOOKUP($L81,Data_Validation!$A:$D,3,0)</f>
        <v>Bilan</v>
      </c>
      <c r="V81" s="656" t="str">
        <f>+VLOOKUP($L81,Data_Validation!$A:$D,4,0)</f>
        <v>Recevables Intercos</v>
      </c>
      <c r="W81" s="656" t="str">
        <f>+VLOOKUP($L81,Data_Validation!$A:$E,5,0)</f>
        <v>$</v>
      </c>
      <c r="X81" s="656">
        <f>+VLOOKUP($L81,Data_Validation!$A:$F,6,0)</f>
        <v>0</v>
      </c>
    </row>
    <row r="82" spans="1:24" ht="15" customHeight="1">
      <c r="A82" s="1252" t="s">
        <v>832</v>
      </c>
      <c r="B82" s="1252" t="s">
        <v>1467</v>
      </c>
      <c r="C82" s="1254">
        <v>5613</v>
      </c>
      <c r="D82" s="1254">
        <v>-1863</v>
      </c>
      <c r="E82" s="1254">
        <v>3750</v>
      </c>
      <c r="F82" s="1252" t="s">
        <v>816</v>
      </c>
      <c r="G82" s="1252" t="s">
        <v>833</v>
      </c>
      <c r="H82" s="1252" t="s">
        <v>3955</v>
      </c>
      <c r="I82" s="1200"/>
      <c r="J82" s="1200"/>
      <c r="K82" s="1200"/>
      <c r="L82" s="653" t="str">
        <f t="shared" si="67"/>
        <v>1312</v>
      </c>
      <c r="M82" s="654" t="str">
        <f t="shared" si="0"/>
        <v>RESEVE VOLKS</v>
      </c>
      <c r="N82" s="655">
        <f>+IF(OR($Q82=Parametres!$G$2,$Q82=Parametres!$G$3),I82,C82)</f>
        <v>5613</v>
      </c>
      <c r="O82" s="655">
        <f>+IF(OR($Q82=Parametres!$G$2,$Q82=Parametres!$G$3),J82,D82)</f>
        <v>-1863</v>
      </c>
      <c r="P82" s="655">
        <f>+IF(OR($Q82=Parametres!$G$2,$Q82=Parametres!$G$3),K82,E82)</f>
        <v>3750</v>
      </c>
      <c r="Q82" s="654" t="str">
        <f t="shared" ref="Q82:S82" si="83">+F82</f>
        <v>2-Actifs</v>
      </c>
      <c r="R82" s="653" t="str">
        <f t="shared" si="83"/>
        <v>1314</v>
      </c>
      <c r="S82" s="654" t="str">
        <f t="shared" si="83"/>
        <v>_</v>
      </c>
      <c r="T82" s="656" t="str">
        <f>+VLOOKUP($L82,Data_Validation!$A:$D,1,0)</f>
        <v>1312</v>
      </c>
      <c r="U82" s="656" t="str">
        <f>+VLOOKUP($L82,Data_Validation!$A:$D,3,0)</f>
        <v>Bilan</v>
      </c>
      <c r="V82" s="656" t="str">
        <f>+VLOOKUP($L82,Data_Validation!$A:$D,4,0)</f>
        <v>Recevables Manufacturier</v>
      </c>
      <c r="W82" s="656" t="str">
        <f>+VLOOKUP($L82,Data_Validation!$A:$E,5,0)</f>
        <v>$</v>
      </c>
      <c r="X82" s="656">
        <f>+VLOOKUP($L82,Data_Validation!$A:$F,6,0)</f>
        <v>0</v>
      </c>
    </row>
    <row r="83" spans="1:24" ht="15" customHeight="1">
      <c r="A83" s="1252" t="s">
        <v>834</v>
      </c>
      <c r="B83" s="1252" t="s">
        <v>835</v>
      </c>
      <c r="C83" s="1254">
        <v>36980.14</v>
      </c>
      <c r="D83" s="1254">
        <v>-5961.6</v>
      </c>
      <c r="E83" s="1254">
        <v>31018.54</v>
      </c>
      <c r="F83" s="1252" t="s">
        <v>816</v>
      </c>
      <c r="G83" s="1252" t="s">
        <v>835</v>
      </c>
      <c r="H83" s="1252" t="s">
        <v>3955</v>
      </c>
      <c r="I83" s="1200"/>
      <c r="J83" s="1200"/>
      <c r="K83" s="1200"/>
      <c r="L83" s="653" t="str">
        <f t="shared" si="67"/>
        <v>1332</v>
      </c>
      <c r="M83" s="654" t="str">
        <f t="shared" si="0"/>
        <v>RECLAM. RECEVABLE-GARANTIE</v>
      </c>
      <c r="N83" s="655">
        <f>+IF(OR($Q83=Parametres!$G$2,$Q83=Parametres!$G$3),I83,C83)</f>
        <v>36980.14</v>
      </c>
      <c r="O83" s="655">
        <f>+IF(OR($Q83=Parametres!$G$2,$Q83=Parametres!$G$3),J83,D83)</f>
        <v>-5961.6</v>
      </c>
      <c r="P83" s="655">
        <f>+IF(OR($Q83=Parametres!$G$2,$Q83=Parametres!$G$3),K83,E83)</f>
        <v>31018.54</v>
      </c>
      <c r="Q83" s="654" t="str">
        <f t="shared" ref="Q83:S83" si="84">+F83</f>
        <v>2-Actifs</v>
      </c>
      <c r="R83" s="653" t="str">
        <f t="shared" si="84"/>
        <v>1332</v>
      </c>
      <c r="S83" s="654" t="str">
        <f t="shared" si="84"/>
        <v>_</v>
      </c>
      <c r="T83" s="656" t="str">
        <f>+VLOOKUP($L83,Data_Validation!$A:$D,1,0)</f>
        <v>1332</v>
      </c>
      <c r="U83" s="656" t="str">
        <f>+VLOOKUP($L83,Data_Validation!$A:$D,3,0)</f>
        <v>Bilan</v>
      </c>
      <c r="V83" s="656" t="str">
        <f>+VLOOKUP($L83,Data_Validation!$A:$D,4,0)</f>
        <v>Recevables Garantie Manufacturier</v>
      </c>
      <c r="W83" s="656" t="str">
        <f>+VLOOKUP($L83,Data_Validation!$A:$E,5,0)</f>
        <v>$</v>
      </c>
      <c r="X83" s="656">
        <f>+VLOOKUP($L83,Data_Validation!$A:$F,6,0)</f>
        <v>0</v>
      </c>
    </row>
    <row r="84" spans="1:24" ht="15.75" customHeight="1">
      <c r="A84" s="1252" t="s">
        <v>836</v>
      </c>
      <c r="B84" s="1252" t="s">
        <v>1472</v>
      </c>
      <c r="C84" s="1254">
        <v>-38484.699999999997</v>
      </c>
      <c r="D84" s="1254">
        <v>-17319.02</v>
      </c>
      <c r="E84" s="1254">
        <v>-55803.72</v>
      </c>
      <c r="F84" s="1252" t="s">
        <v>816</v>
      </c>
      <c r="G84" s="1252" t="s">
        <v>821</v>
      </c>
      <c r="H84" s="1252" t="s">
        <v>3955</v>
      </c>
      <c r="I84" s="1200"/>
      <c r="J84" s="1200"/>
      <c r="K84" s="1200"/>
      <c r="L84" s="653" t="str">
        <f t="shared" si="67"/>
        <v>1340</v>
      </c>
      <c r="M84" s="654" t="str">
        <f t="shared" si="0"/>
        <v>GARANTIE PPM</v>
      </c>
      <c r="N84" s="655">
        <f>+IF(OR($Q84=Parametres!$G$2,$Q84=Parametres!$G$3),I84,C84)</f>
        <v>-38484.699999999997</v>
      </c>
      <c r="O84" s="655">
        <f>+IF(OR($Q84=Parametres!$G$2,$Q84=Parametres!$G$3),J84,D84)</f>
        <v>-17319.02</v>
      </c>
      <c r="P84" s="661">
        <f>+IF(OR($Q84=Parametres!$G$2,$Q84=Parametres!$G$3),K84,E84)</f>
        <v>-55803.72</v>
      </c>
      <c r="Q84" s="654" t="str">
        <f t="shared" ref="Q84:S84" si="85">+F84</f>
        <v>2-Actifs</v>
      </c>
      <c r="R84" s="653" t="str">
        <f t="shared" si="85"/>
        <v>1382</v>
      </c>
      <c r="S84" s="654" t="str">
        <f t="shared" si="85"/>
        <v>_</v>
      </c>
      <c r="T84" s="656" t="str">
        <f>+VLOOKUP($L84,Data_Validation!$A:$D,1,0)</f>
        <v>1340</v>
      </c>
      <c r="U84" s="656" t="str">
        <f>+VLOOKUP($L84,Data_Validation!$A:$D,3,0)</f>
        <v>Bilan</v>
      </c>
      <c r="V84" s="656" t="str">
        <f>+VLOOKUP($L84,Data_Validation!$A:$D,4,0)</f>
        <v>recevables Autres</v>
      </c>
      <c r="W84" s="656" t="str">
        <f>+VLOOKUP($L84,Data_Validation!$A:$E,5,0)</f>
        <v>$</v>
      </c>
      <c r="X84" s="656">
        <f>+VLOOKUP($L84,Data_Validation!$A:$F,6,0)</f>
        <v>0</v>
      </c>
    </row>
    <row r="85" spans="1:24" ht="15" customHeight="1">
      <c r="A85" s="1252" t="s">
        <v>837</v>
      </c>
      <c r="B85" s="1252" t="s">
        <v>1475</v>
      </c>
      <c r="C85" s="1254">
        <v>56900</v>
      </c>
      <c r="D85" s="1254">
        <v>-41400</v>
      </c>
      <c r="E85" s="1254">
        <v>15500</v>
      </c>
      <c r="F85" s="1252" t="s">
        <v>816</v>
      </c>
      <c r="G85" s="1252" t="s">
        <v>833</v>
      </c>
      <c r="H85" s="1252" t="s">
        <v>3955</v>
      </c>
      <c r="I85" s="1200"/>
      <c r="J85" s="1200"/>
      <c r="K85" s="1200"/>
      <c r="L85" s="653" t="str">
        <f t="shared" si="67"/>
        <v>1352</v>
      </c>
      <c r="M85" s="654" t="str">
        <f t="shared" si="0"/>
        <v>RECEV. MANUFACTURIER VOLKS</v>
      </c>
      <c r="N85" s="655">
        <f>+IF(OR($Q85=Parametres!$G$2,$Q85=Parametres!$G$3),I85,C85)</f>
        <v>56900</v>
      </c>
      <c r="O85" s="655">
        <f>+IF(OR($Q85=Parametres!$G$2,$Q85=Parametres!$G$3),J85,D85)</f>
        <v>-41400</v>
      </c>
      <c r="P85" s="661">
        <f>+IF(OR($Q85=Parametres!$G$2,$Q85=Parametres!$G$3),K85,E85)</f>
        <v>15500</v>
      </c>
      <c r="Q85" s="654" t="str">
        <f t="shared" ref="Q85:S85" si="86">+F85</f>
        <v>2-Actifs</v>
      </c>
      <c r="R85" s="653" t="str">
        <f t="shared" si="86"/>
        <v>1314</v>
      </c>
      <c r="S85" s="654" t="str">
        <f t="shared" si="86"/>
        <v>_</v>
      </c>
      <c r="T85" s="656" t="str">
        <f>+VLOOKUP($L85,Data_Validation!$A:$D,1,0)</f>
        <v>1352</v>
      </c>
      <c r="U85" s="656" t="str">
        <f>+VLOOKUP($L85,Data_Validation!$A:$D,3,0)</f>
        <v>Bilan</v>
      </c>
      <c r="V85" s="656" t="str">
        <f>+VLOOKUP($L85,Data_Validation!$A:$D,4,0)</f>
        <v>Recevables Manufacturier</v>
      </c>
      <c r="W85" s="656" t="str">
        <f>+VLOOKUP($L85,Data_Validation!$A:$E,5,0)</f>
        <v>$</v>
      </c>
      <c r="X85" s="656">
        <f>+VLOOKUP($L85,Data_Validation!$A:$F,6,0)</f>
        <v>0</v>
      </c>
    </row>
    <row r="86" spans="1:24" ht="15" customHeight="1">
      <c r="A86" s="1252" t="s">
        <v>3939</v>
      </c>
      <c r="B86" s="1252" t="s">
        <v>1478</v>
      </c>
      <c r="C86" s="1254">
        <v>-2616.4499999999998</v>
      </c>
      <c r="D86" s="1254">
        <v>-357.72</v>
      </c>
      <c r="E86" s="1254">
        <v>-2974.17</v>
      </c>
      <c r="F86" s="1252" t="s">
        <v>816</v>
      </c>
      <c r="G86" s="1252" t="s">
        <v>868</v>
      </c>
      <c r="H86" s="1252" t="s">
        <v>3955</v>
      </c>
      <c r="I86" s="1200"/>
      <c r="J86" s="1200"/>
      <c r="K86" s="1200"/>
      <c r="L86" s="653" t="str">
        <f t="shared" si="67"/>
        <v>1364</v>
      </c>
      <c r="M86" s="654" t="str">
        <f t="shared" si="0"/>
        <v>FPA FLOORPLAN</v>
      </c>
      <c r="N86" s="655">
        <f>+IF(OR($Q86=Parametres!$G$2,$Q86=Parametres!$G$3),I86,C86)</f>
        <v>-2616.4499999999998</v>
      </c>
      <c r="O86" s="655">
        <f>+IF(OR($Q86=Parametres!$G$2,$Q86=Parametres!$G$3),J86,D86)</f>
        <v>-357.72</v>
      </c>
      <c r="P86" s="661">
        <f>+IF(OR($Q86=Parametres!$G$2,$Q86=Parametres!$G$3),K86,E86)</f>
        <v>-2974.17</v>
      </c>
      <c r="Q86" s="654" t="str">
        <f t="shared" ref="Q86:S86" si="87">+F86</f>
        <v>2-Actifs</v>
      </c>
      <c r="R86" s="653" t="str">
        <f t="shared" si="87"/>
        <v>1500</v>
      </c>
      <c r="S86" s="654" t="str">
        <f t="shared" si="87"/>
        <v>_</v>
      </c>
      <c r="T86" s="656" t="str">
        <f>+VLOOKUP($L86,Data_Validation!$A:$D,1,0)</f>
        <v>1364</v>
      </c>
      <c r="U86" s="656" t="str">
        <f>+VLOOKUP($L86,Data_Validation!$A:$D,3,0)</f>
        <v>Bilan</v>
      </c>
      <c r="V86" s="656" t="str">
        <f>+VLOOKUP($L86,Data_Validation!$A:$D,4,0)</f>
        <v>recevables Autres</v>
      </c>
      <c r="W86" s="656" t="str">
        <f>+VLOOKUP($L86,Data_Validation!$A:$E,5,0)</f>
        <v>$</v>
      </c>
      <c r="X86" s="656">
        <f>+VLOOKUP($L86,Data_Validation!$A:$F,6,0)</f>
        <v>0</v>
      </c>
    </row>
    <row r="87" spans="1:24" ht="15" customHeight="1">
      <c r="A87" s="1252" t="s">
        <v>838</v>
      </c>
      <c r="B87" s="1252" t="s">
        <v>839</v>
      </c>
      <c r="C87" s="1254">
        <v>-25000</v>
      </c>
      <c r="D87" s="1254">
        <v>0</v>
      </c>
      <c r="E87" s="1254">
        <v>-25000</v>
      </c>
      <c r="F87" s="1252" t="s">
        <v>816</v>
      </c>
      <c r="G87" s="1252" t="s">
        <v>839</v>
      </c>
      <c r="H87" s="1252" t="s">
        <v>3955</v>
      </c>
      <c r="I87" s="1200"/>
      <c r="J87" s="1200"/>
      <c r="K87" s="1200"/>
      <c r="L87" s="653" t="str">
        <f t="shared" si="67"/>
        <v>1399</v>
      </c>
      <c r="M87" s="654" t="str">
        <f t="shared" si="0"/>
        <v>RESERVE CREANCE DOUTEUSES</v>
      </c>
      <c r="N87" s="655">
        <f>+IF(OR($Q87=Parametres!$G$2,$Q87=Parametres!$G$3),I87,C87)</f>
        <v>-25000</v>
      </c>
      <c r="O87" s="655">
        <f>+IF(OR($Q87=Parametres!$G$2,$Q87=Parametres!$G$3),J87,D87)</f>
        <v>0</v>
      </c>
      <c r="P87" s="661">
        <f>+IF(OR($Q87=Parametres!$G$2,$Q87=Parametres!$G$3),K87,E87)</f>
        <v>-25000</v>
      </c>
      <c r="Q87" s="654" t="str">
        <f t="shared" ref="Q87:S87" si="88">+F87</f>
        <v>2-Actifs</v>
      </c>
      <c r="R87" s="653" t="str">
        <f t="shared" si="88"/>
        <v>1399</v>
      </c>
      <c r="S87" s="654" t="str">
        <f t="shared" si="88"/>
        <v>_</v>
      </c>
      <c r="T87" s="656" t="str">
        <f>+VLOOKUP($L87,Data_Validation!$A:$D,1,0)</f>
        <v>1399</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52" t="s">
        <v>840</v>
      </c>
      <c r="B88" s="1252" t="s">
        <v>841</v>
      </c>
      <c r="C88" s="1254">
        <v>4757014.17</v>
      </c>
      <c r="D88" s="1254">
        <v>-767114.95</v>
      </c>
      <c r="E88" s="1254">
        <v>3989899.22</v>
      </c>
      <c r="F88" s="1252" t="s">
        <v>816</v>
      </c>
      <c r="G88" s="1252" t="s">
        <v>841</v>
      </c>
      <c r="H88" s="1252" t="s">
        <v>3955</v>
      </c>
      <c r="I88" s="1200"/>
      <c r="J88" s="1200"/>
      <c r="K88" s="1200"/>
      <c r="L88" s="653" t="str">
        <f t="shared" si="67"/>
        <v>1402</v>
      </c>
      <c r="M88" s="654" t="str">
        <f t="shared" si="0"/>
        <v>VEHIC. NEUFS VOLKS</v>
      </c>
      <c r="N88" s="655">
        <f>+IF(OR($Q88=Parametres!$G$2,$Q88=Parametres!$G$3),I88,C88)</f>
        <v>4757014.17</v>
      </c>
      <c r="O88" s="655">
        <f>+IF(OR($Q88=Parametres!$G$2,$Q88=Parametres!$G$3),J88,D88)</f>
        <v>-767114.95</v>
      </c>
      <c r="P88" s="655">
        <f>+IF(OR($Q88=Parametres!$G$2,$Q88=Parametres!$G$3),K88,E88)</f>
        <v>3989899.22</v>
      </c>
      <c r="Q88" s="654" t="str">
        <f t="shared" ref="Q88:S88" si="89">+F88</f>
        <v>2-Actifs</v>
      </c>
      <c r="R88" s="653" t="str">
        <f t="shared" si="89"/>
        <v>1402</v>
      </c>
      <c r="S88" s="654" t="str">
        <f t="shared" si="89"/>
        <v>_</v>
      </c>
      <c r="T88" s="656" t="str">
        <f>+VLOOKUP($L88,Data_Validation!$A:$D,1,0)</f>
        <v>1402</v>
      </c>
      <c r="U88" s="656" t="str">
        <f>+VLOOKUP($L88,Data_Validation!$A:$D,3,0)</f>
        <v>Bilan</v>
      </c>
      <c r="V88" s="656" t="str">
        <f>+VLOOKUP($L88,Data_Validation!$A:$D,4,0)</f>
        <v>Inventaire Véhicules Neufs</v>
      </c>
      <c r="W88" s="656" t="str">
        <f>+VLOOKUP($L88,Data_Validation!$A:$E,5,0)</f>
        <v>$</v>
      </c>
      <c r="X88" s="656">
        <f>+VLOOKUP($L88,Data_Validation!$A:$F,6,0)</f>
        <v>0</v>
      </c>
    </row>
    <row r="89" spans="1:24" ht="15" customHeight="1">
      <c r="A89" s="1252" t="s">
        <v>844</v>
      </c>
      <c r="B89" s="1252" t="s">
        <v>1487</v>
      </c>
      <c r="C89" s="1254">
        <v>-58940</v>
      </c>
      <c r="D89" s="1254">
        <v>-2853</v>
      </c>
      <c r="E89" s="1254">
        <v>-61793</v>
      </c>
      <c r="F89" s="1252" t="s">
        <v>816</v>
      </c>
      <c r="G89" s="1252" t="s">
        <v>841</v>
      </c>
      <c r="H89" s="1252" t="s">
        <v>3955</v>
      </c>
      <c r="I89" s="1200"/>
      <c r="J89" s="1200"/>
      <c r="K89" s="1200"/>
      <c r="L89" s="653" t="str">
        <f t="shared" si="67"/>
        <v>1403</v>
      </c>
      <c r="M89" s="654" t="str">
        <f t="shared" si="0"/>
        <v>BRUISING VOLKS VEH. NEUFS</v>
      </c>
      <c r="N89" s="655">
        <f>+IF(OR($Q89=Parametres!$G$2,$Q89=Parametres!$G$3),I89,C89)</f>
        <v>-58940</v>
      </c>
      <c r="O89" s="659">
        <f>+IF(OR($Q89=Parametres!$G$2,$Q89=Parametres!$G$3),J89,D89)</f>
        <v>-2853</v>
      </c>
      <c r="P89" s="655">
        <f>+IF(OR($Q89=Parametres!$G$2,$Q89=Parametres!$G$3),K89,E89)</f>
        <v>-61793</v>
      </c>
      <c r="Q89" s="654" t="str">
        <f t="shared" ref="Q89:S89" si="90">+F89</f>
        <v>2-Actifs</v>
      </c>
      <c r="R89" s="653" t="str">
        <f t="shared" si="90"/>
        <v>1402</v>
      </c>
      <c r="S89" s="654" t="str">
        <f t="shared" si="90"/>
        <v>_</v>
      </c>
      <c r="T89" s="656" t="str">
        <f>+VLOOKUP($L89,Data_Validation!$A:$D,1,0)</f>
        <v>1403</v>
      </c>
      <c r="U89" s="656" t="str">
        <f>+VLOOKUP($L89,Data_Validation!$A:$D,3,0)</f>
        <v>Bilan</v>
      </c>
      <c r="V89" s="656" t="str">
        <f>+VLOOKUP($L89,Data_Validation!$A:$D,4,0)</f>
        <v>Inventaire Véhicules Neufs</v>
      </c>
      <c r="W89" s="656" t="str">
        <f>+VLOOKUP($L89,Data_Validation!$A:$E,5,0)</f>
        <v>$</v>
      </c>
      <c r="X89" s="656">
        <f>+VLOOKUP($L89,Data_Validation!$A:$F,6,0)</f>
        <v>0</v>
      </c>
    </row>
    <row r="90" spans="1:24" ht="15" customHeight="1">
      <c r="A90" s="1252" t="s">
        <v>845</v>
      </c>
      <c r="B90" s="1252" t="s">
        <v>846</v>
      </c>
      <c r="C90" s="1254">
        <v>-64590.13</v>
      </c>
      <c r="D90" s="1254">
        <v>-16200</v>
      </c>
      <c r="E90" s="1254">
        <v>-80790.13</v>
      </c>
      <c r="F90" s="1252" t="s">
        <v>816</v>
      </c>
      <c r="G90" s="1252" t="s">
        <v>846</v>
      </c>
      <c r="H90" s="1252" t="s">
        <v>3955</v>
      </c>
      <c r="I90" s="1200"/>
      <c r="J90" s="1200"/>
      <c r="K90" s="1200"/>
      <c r="L90" s="653" t="str">
        <f t="shared" si="67"/>
        <v>1413</v>
      </c>
      <c r="M90" s="654" t="str">
        <f t="shared" si="0"/>
        <v>BRUISING USED CAR</v>
      </c>
      <c r="N90" s="655">
        <f>+IF(OR($Q90=Parametres!$G$2,$Q90=Parametres!$G$3),I90,C90)</f>
        <v>-64590.13</v>
      </c>
      <c r="O90" s="655">
        <f>+IF(OR($Q90=Parametres!$G$2,$Q90=Parametres!$G$3),J90,D90)</f>
        <v>-16200</v>
      </c>
      <c r="P90" s="662">
        <f>+IF(OR($Q90=Parametres!$G$2,$Q90=Parametres!$G$3),K90,E90)</f>
        <v>-80790.13</v>
      </c>
      <c r="Q90" s="654" t="str">
        <f t="shared" ref="Q90:S90" si="91">+F90</f>
        <v>2-Actifs</v>
      </c>
      <c r="R90" s="653" t="str">
        <f t="shared" si="91"/>
        <v>1413</v>
      </c>
      <c r="S90" s="654" t="str">
        <f t="shared" si="91"/>
        <v>_</v>
      </c>
      <c r="T90" s="656" t="str">
        <f>+VLOOKUP($L90,Data_Validation!$A:$D,1,0)</f>
        <v>1413</v>
      </c>
      <c r="U90" s="656" t="str">
        <f>+VLOOKUP($L90,Data_Validation!$A:$D,3,0)</f>
        <v>Bilan</v>
      </c>
      <c r="V90" s="656" t="str">
        <f>+VLOOKUP($L90,Data_Validation!$A:$D,4,0)</f>
        <v>Inventaire Véhicules Usagés</v>
      </c>
      <c r="W90" s="656" t="str">
        <f>+VLOOKUP($L90,Data_Validation!$A:$E,5,0)</f>
        <v>$</v>
      </c>
      <c r="X90" s="656">
        <f>+VLOOKUP($L90,Data_Validation!$A:$F,6,0)</f>
        <v>0</v>
      </c>
    </row>
    <row r="91" spans="1:24" ht="15" customHeight="1">
      <c r="A91" s="1252" t="s">
        <v>847</v>
      </c>
      <c r="B91" s="1252" t="s">
        <v>848</v>
      </c>
      <c r="C91" s="1254">
        <v>1066752.19</v>
      </c>
      <c r="D91" s="1254">
        <v>584543.62</v>
      </c>
      <c r="E91" s="1254">
        <v>1651295.81</v>
      </c>
      <c r="F91" s="1252" t="s">
        <v>816</v>
      </c>
      <c r="G91" s="1252" t="s">
        <v>848</v>
      </c>
      <c r="H91" s="1252" t="s">
        <v>3955</v>
      </c>
      <c r="I91" s="1200"/>
      <c r="J91" s="1200"/>
      <c r="K91" s="1200"/>
      <c r="L91" s="653" t="str">
        <f t="shared" si="67"/>
        <v>1416</v>
      </c>
      <c r="M91" s="654" t="str">
        <f t="shared" si="0"/>
        <v>INV. VEH. USAGE VW</v>
      </c>
      <c r="N91" s="655">
        <f>+IF(OR($Q91=Parametres!$G$2,$Q91=Parametres!$G$3),I91,C91)</f>
        <v>1066752.19</v>
      </c>
      <c r="O91" s="655">
        <f>+IF(OR($Q91=Parametres!$G$2,$Q91=Parametres!$G$3),J91,D91)</f>
        <v>584543.62</v>
      </c>
      <c r="P91" s="662">
        <f>+IF(OR($Q91=Parametres!$G$2,$Q91=Parametres!$G$3),K91,E91)</f>
        <v>1651295.81</v>
      </c>
      <c r="Q91" s="654" t="str">
        <f t="shared" ref="Q91:S91" si="92">+F91</f>
        <v>2-Actifs</v>
      </c>
      <c r="R91" s="653" t="str">
        <f t="shared" si="92"/>
        <v>1416</v>
      </c>
      <c r="S91" s="654" t="str">
        <f t="shared" si="92"/>
        <v>_</v>
      </c>
      <c r="T91" s="656" t="str">
        <f>+VLOOKUP($L91,Data_Validation!$A:$D,1,0)</f>
        <v>1416</v>
      </c>
      <c r="U91" s="656" t="str">
        <f>+VLOOKUP($L91,Data_Validation!$A:$D,3,0)</f>
        <v>Bilan</v>
      </c>
      <c r="V91" s="656" t="str">
        <f>+VLOOKUP($L91,Data_Validation!$A:$D,4,0)</f>
        <v>Inventaire Véhicules Usagés</v>
      </c>
      <c r="W91" s="656" t="str">
        <f>+VLOOKUP($L91,Data_Validation!$A:$E,5,0)</f>
        <v>$</v>
      </c>
      <c r="X91" s="656">
        <f>+VLOOKUP($L91,Data_Validation!$A:$F,6,0)</f>
        <v>0</v>
      </c>
    </row>
    <row r="92" spans="1:24" ht="15" customHeight="1">
      <c r="A92" s="1252" t="s">
        <v>851</v>
      </c>
      <c r="B92" s="1252" t="s">
        <v>852</v>
      </c>
      <c r="C92" s="1254">
        <v>-6666.95</v>
      </c>
      <c r="D92" s="1254">
        <v>-1541.8</v>
      </c>
      <c r="E92" s="1254">
        <v>-8208.75</v>
      </c>
      <c r="F92" s="1252" t="s">
        <v>816</v>
      </c>
      <c r="G92" s="1252" t="s">
        <v>852</v>
      </c>
      <c r="H92" s="1252" t="s">
        <v>3955</v>
      </c>
      <c r="I92" s="1200"/>
      <c r="J92" s="1200"/>
      <c r="K92" s="1200"/>
      <c r="L92" s="653" t="str">
        <f t="shared" si="67"/>
        <v>1423</v>
      </c>
      <c r="M92" s="654" t="str">
        <f t="shared" si="0"/>
        <v>RESERVE DEMO</v>
      </c>
      <c r="N92" s="655">
        <f>+IF(OR($Q92=Parametres!$G$2,$Q92=Parametres!$G$3),I92,C92)</f>
        <v>-6666.95</v>
      </c>
      <c r="O92" s="655">
        <f>+IF(OR($Q92=Parametres!$G$2,$Q92=Parametres!$G$3),J92,D92)</f>
        <v>-1541.8</v>
      </c>
      <c r="P92" s="662">
        <f>+IF(OR($Q92=Parametres!$G$2,$Q92=Parametres!$G$3),K92,E92)</f>
        <v>-8208.75</v>
      </c>
      <c r="Q92" s="654" t="str">
        <f t="shared" ref="Q92:S92" si="93">+F92</f>
        <v>2-Actifs</v>
      </c>
      <c r="R92" s="653" t="str">
        <f t="shared" si="93"/>
        <v>1423</v>
      </c>
      <c r="S92" s="654" t="str">
        <f t="shared" si="93"/>
        <v>_</v>
      </c>
      <c r="T92" s="656" t="str">
        <f>+VLOOKUP($L92,Data_Validation!$A:$D,1,0)</f>
        <v>1423</v>
      </c>
      <c r="U92" s="656" t="str">
        <f>+VLOOKUP($L92,Data_Validation!$A:$D,3,0)</f>
        <v>Bilan</v>
      </c>
      <c r="V92" s="656" t="str">
        <f>+VLOOKUP($L92,Data_Validation!$A:$D,4,0)</f>
        <v>Inventaire Véhicules Neufs</v>
      </c>
      <c r="W92" s="656" t="str">
        <f>+VLOOKUP($L92,Data_Validation!$A:$E,5,0)</f>
        <v>$</v>
      </c>
      <c r="X92" s="656">
        <f>+VLOOKUP($L92,Data_Validation!$A:$F,6,0)</f>
        <v>0</v>
      </c>
    </row>
    <row r="93" spans="1:24" ht="15" customHeight="1">
      <c r="A93" s="1252" t="s">
        <v>853</v>
      </c>
      <c r="B93" s="1252" t="s">
        <v>3366</v>
      </c>
      <c r="C93" s="1254">
        <v>-6402.14</v>
      </c>
      <c r="D93" s="1254">
        <v>-1545.14</v>
      </c>
      <c r="E93" s="1254">
        <v>-7947.28</v>
      </c>
      <c r="F93" s="1252" t="s">
        <v>816</v>
      </c>
      <c r="G93" s="1252" t="s">
        <v>854</v>
      </c>
      <c r="H93" s="1252" t="s">
        <v>3955</v>
      </c>
      <c r="I93" s="1200"/>
      <c r="J93" s="1200"/>
      <c r="K93" s="1200"/>
      <c r="L93" s="653" t="str">
        <f t="shared" si="67"/>
        <v>1433</v>
      </c>
      <c r="M93" s="654" t="str">
        <f t="shared" si="0"/>
        <v>RESERVE COURTOISIE</v>
      </c>
      <c r="N93" s="655">
        <f>+IF(OR($Q93=Parametres!$G$2,$Q93=Parametres!$G$3),I93,C93)</f>
        <v>-6402.14</v>
      </c>
      <c r="O93" s="655">
        <f>+IF(OR($Q93=Parametres!$G$2,$Q93=Parametres!$G$3),J93,D93)</f>
        <v>-1545.14</v>
      </c>
      <c r="P93" s="662">
        <f>+IF(OR($Q93=Parametres!$G$2,$Q93=Parametres!$G$3),K93,E93)</f>
        <v>-7947.28</v>
      </c>
      <c r="Q93" s="654" t="str">
        <f t="shared" ref="Q93:S93" si="94">+F93</f>
        <v>2-Actifs</v>
      </c>
      <c r="R93" s="653" t="str">
        <f t="shared" si="94"/>
        <v>143</v>
      </c>
      <c r="S93" s="654" t="str">
        <f t="shared" si="94"/>
        <v>_</v>
      </c>
      <c r="T93" s="656" t="str">
        <f>+VLOOKUP($L93,Data_Validation!$A:$D,1,0)</f>
        <v>1433</v>
      </c>
      <c r="U93" s="656" t="str">
        <f>+VLOOKUP($L93,Data_Validation!$A:$D,3,0)</f>
        <v>Bilan</v>
      </c>
      <c r="V93" s="656" t="str">
        <f>+VLOOKUP($L93,Data_Validation!$A:$D,4,0)</f>
        <v>Inventaire Véhicules Neufs</v>
      </c>
      <c r="W93" s="656" t="str">
        <f>+VLOOKUP($L93,Data_Validation!$A:$E,5,0)</f>
        <v>$</v>
      </c>
      <c r="X93" s="656">
        <f>+VLOOKUP($L93,Data_Validation!$A:$F,6,0)</f>
        <v>0</v>
      </c>
    </row>
    <row r="94" spans="1:24" ht="15.75" customHeight="1">
      <c r="A94" s="1252" t="s">
        <v>855</v>
      </c>
      <c r="B94" s="1252" t="s">
        <v>856</v>
      </c>
      <c r="C94" s="1254">
        <v>376241.52</v>
      </c>
      <c r="D94" s="1254">
        <v>7456.84</v>
      </c>
      <c r="E94" s="1254">
        <v>383698.36</v>
      </c>
      <c r="F94" s="1252" t="s">
        <v>816</v>
      </c>
      <c r="G94" s="1252" t="s">
        <v>856</v>
      </c>
      <c r="H94" s="1252" t="s">
        <v>3955</v>
      </c>
      <c r="I94" s="1200"/>
      <c r="J94" s="1200"/>
      <c r="K94" s="1200"/>
      <c r="L94" s="653" t="str">
        <f t="shared" si="67"/>
        <v>1442</v>
      </c>
      <c r="M94" s="654" t="str">
        <f t="shared" si="0"/>
        <v>PIECES &amp; ACCESSOIRES NEUFS</v>
      </c>
      <c r="N94" s="655">
        <f>+IF(OR($Q94=Parametres!$G$2,$Q94=Parametres!$G$3),I94,C94)</f>
        <v>376241.52</v>
      </c>
      <c r="O94" s="655">
        <f>+IF(OR($Q94=Parametres!$G$2,$Q94=Parametres!$G$3),J94,D94)</f>
        <v>7456.84</v>
      </c>
      <c r="P94" s="655">
        <f>+IF(OR($Q94=Parametres!$G$2,$Q94=Parametres!$G$3),K94,E94)</f>
        <v>383698.36</v>
      </c>
      <c r="Q94" s="654" t="str">
        <f t="shared" ref="Q94:S94" si="95">+F94</f>
        <v>2-Actifs</v>
      </c>
      <c r="R94" s="653" t="str">
        <f t="shared" si="95"/>
        <v>1442</v>
      </c>
      <c r="S94" s="654" t="str">
        <f t="shared" si="95"/>
        <v>_</v>
      </c>
      <c r="T94" s="656" t="str">
        <f>+VLOOKUP($L94,Data_Validation!$A:$D,1,0)</f>
        <v>1442</v>
      </c>
      <c r="U94" s="656" t="str">
        <f>+VLOOKUP($L94,Data_Validation!$A:$D,3,0)</f>
        <v>Bilan</v>
      </c>
      <c r="V94" s="656" t="str">
        <f>+VLOOKUP($L94,Data_Validation!$A:$D,4,0)</f>
        <v>Inventaire Pièces, Pneus, Huile</v>
      </c>
      <c r="W94" s="656" t="str">
        <f>+VLOOKUP($L94,Data_Validation!$A:$E,5,0)</f>
        <v>$</v>
      </c>
      <c r="X94" s="656">
        <f>+VLOOKUP($L94,Data_Validation!$A:$F,6,0)</f>
        <v>0</v>
      </c>
    </row>
    <row r="95" spans="1:24" ht="15" customHeight="1">
      <c r="A95" s="1252" t="s">
        <v>857</v>
      </c>
      <c r="B95" s="1252" t="s">
        <v>3367</v>
      </c>
      <c r="C95" s="1254">
        <v>6819.1</v>
      </c>
      <c r="D95" s="1254">
        <v>-167282.46</v>
      </c>
      <c r="E95" s="1254">
        <v>-160463.35999999999</v>
      </c>
      <c r="F95" s="1252" t="s">
        <v>816</v>
      </c>
      <c r="G95" s="1252" t="s">
        <v>856</v>
      </c>
      <c r="H95" s="1252" t="s">
        <v>3955</v>
      </c>
      <c r="I95" s="1200"/>
      <c r="J95" s="1200"/>
      <c r="K95" s="1200"/>
      <c r="L95" s="653" t="str">
        <f t="shared" si="67"/>
        <v>1448</v>
      </c>
      <c r="M95" s="654" t="str">
        <f t="shared" si="0"/>
        <v>AUTRES MARQUES P&amp;A</v>
      </c>
      <c r="N95" s="655">
        <f>+IF(OR($Q95=Parametres!$G$2,$Q95=Parametres!$G$3),I95,C95)</f>
        <v>6819.1</v>
      </c>
      <c r="O95" s="655">
        <f>+IF(OR($Q95=Parametres!$G$2,$Q95=Parametres!$G$3),J95,D95)</f>
        <v>-167282.46</v>
      </c>
      <c r="P95" s="655">
        <f>+IF(OR($Q95=Parametres!$G$2,$Q95=Parametres!$G$3),K95,E95)</f>
        <v>-160463.35999999999</v>
      </c>
      <c r="Q95" s="654" t="str">
        <f t="shared" ref="Q95:S95" si="96">+F95</f>
        <v>2-Actifs</v>
      </c>
      <c r="R95" s="653" t="str">
        <f t="shared" si="96"/>
        <v>1442</v>
      </c>
      <c r="S95" s="654" t="str">
        <f t="shared" si="96"/>
        <v>_</v>
      </c>
      <c r="T95" s="656" t="str">
        <f>+VLOOKUP($L95,Data_Validation!$A:$D,1,0)</f>
        <v>1448</v>
      </c>
      <c r="U95" s="656" t="str">
        <f>+VLOOKUP($L95,Data_Validation!$A:$D,3,0)</f>
        <v>Bilan</v>
      </c>
      <c r="V95" s="656" t="str">
        <f>+VLOOKUP($L95,Data_Validation!$A:$D,4,0)</f>
        <v>Inventaire Pièces, Pneus, Huile</v>
      </c>
      <c r="W95" s="656" t="str">
        <f>+VLOOKUP($L95,Data_Validation!$A:$E,5,0)</f>
        <v>$</v>
      </c>
      <c r="X95" s="656">
        <f>+VLOOKUP($L95,Data_Validation!$A:$F,6,0)</f>
        <v>0</v>
      </c>
    </row>
    <row r="96" spans="1:24" ht="15" customHeight="1">
      <c r="A96" s="1252" t="s">
        <v>858</v>
      </c>
      <c r="B96" s="1252" t="s">
        <v>1498</v>
      </c>
      <c r="C96" s="1254">
        <v>51886.54</v>
      </c>
      <c r="D96" s="1254">
        <v>238463.15</v>
      </c>
      <c r="E96" s="1254">
        <v>290349.69</v>
      </c>
      <c r="F96" s="1252" t="s">
        <v>816</v>
      </c>
      <c r="G96" s="1252" t="s">
        <v>856</v>
      </c>
      <c r="H96" s="1252" t="s">
        <v>3955</v>
      </c>
      <c r="I96" s="1200"/>
      <c r="J96" s="1200"/>
      <c r="K96" s="1200"/>
      <c r="L96" s="653" t="str">
        <f t="shared" si="67"/>
        <v>1452</v>
      </c>
      <c r="M96" s="654" t="str">
        <f t="shared" si="0"/>
        <v>PNEUS</v>
      </c>
      <c r="N96" s="655">
        <f>+IF(OR($Q96=Parametres!$G$2,$Q96=Parametres!$G$3),I96,C96)</f>
        <v>51886.54</v>
      </c>
      <c r="O96" s="655">
        <f>+IF(OR($Q96=Parametres!$G$2,$Q96=Parametres!$G$3),J96,D96)</f>
        <v>238463.15</v>
      </c>
      <c r="P96" s="662">
        <f>+IF(OR($Q96=Parametres!$G$2,$Q96=Parametres!$G$3),K96,E96)</f>
        <v>290349.69</v>
      </c>
      <c r="Q96" s="654" t="str">
        <f t="shared" ref="Q96:S96" si="97">+F96</f>
        <v>2-Actifs</v>
      </c>
      <c r="R96" s="653" t="str">
        <f t="shared" si="97"/>
        <v>1442</v>
      </c>
      <c r="S96" s="654" t="str">
        <f t="shared" si="97"/>
        <v>_</v>
      </c>
      <c r="T96" s="656" t="str">
        <f>+VLOOKUP($L96,Data_Validation!$A:$D,1,0)</f>
        <v>1452</v>
      </c>
      <c r="U96" s="656" t="str">
        <f>+VLOOKUP($L96,Data_Validation!$A:$D,3,0)</f>
        <v>Bilan</v>
      </c>
      <c r="V96" s="656" t="str">
        <f>+VLOOKUP($L96,Data_Validation!$A:$D,4,0)</f>
        <v>Inventaire Pièces, Pneus, Huile</v>
      </c>
      <c r="W96" s="656" t="str">
        <f>+VLOOKUP($L96,Data_Validation!$A:$E,5,0)</f>
        <v>$</v>
      </c>
      <c r="X96" s="656">
        <f>+VLOOKUP($L96,Data_Validation!$A:$F,6,0)</f>
        <v>0</v>
      </c>
    </row>
    <row r="97" spans="1:24" ht="15" customHeight="1">
      <c r="A97" s="1252" t="s">
        <v>859</v>
      </c>
      <c r="B97" s="1252" t="s">
        <v>860</v>
      </c>
      <c r="C97" s="1254">
        <v>0</v>
      </c>
      <c r="D97" s="1254">
        <v>24926.34</v>
      </c>
      <c r="E97" s="1254">
        <v>24926.34</v>
      </c>
      <c r="F97" s="1252" t="s">
        <v>816</v>
      </c>
      <c r="G97" s="1252" t="s">
        <v>860</v>
      </c>
      <c r="H97" s="1252" t="s">
        <v>3955</v>
      </c>
      <c r="I97" s="651"/>
      <c r="J97" s="651"/>
      <c r="K97" s="651"/>
      <c r="L97" s="653" t="str">
        <f t="shared" si="67"/>
        <v>1456</v>
      </c>
      <c r="M97" s="654" t="str">
        <f t="shared" si="0"/>
        <v>PIECES VW NON ORIGINE</v>
      </c>
      <c r="N97" s="655">
        <f>+IF(OR($Q97=Parametres!$G$2,$Q97=Parametres!$G$3),I97,C97)</f>
        <v>0</v>
      </c>
      <c r="O97" s="659">
        <f>+IF(OR($Q97=Parametres!$G$2,$Q97=Parametres!$G$3),J97,D97)</f>
        <v>24926.34</v>
      </c>
      <c r="P97" s="655">
        <f>+IF(OR($Q97=Parametres!$G$2,$Q97=Parametres!$G$3),K97,E97)</f>
        <v>24926.34</v>
      </c>
      <c r="Q97" s="654" t="str">
        <f t="shared" ref="Q97:S97" si="98">+F97</f>
        <v>2-Actifs</v>
      </c>
      <c r="R97" s="653" t="str">
        <f t="shared" si="98"/>
        <v>1456</v>
      </c>
      <c r="S97" s="654" t="str">
        <f t="shared" si="98"/>
        <v>_</v>
      </c>
      <c r="T97" s="656" t="str">
        <f>+VLOOKUP($L97,Data_Validation!$A:$D,1,0)</f>
        <v>1456</v>
      </c>
      <c r="U97" s="656" t="str">
        <f>+VLOOKUP($L97,Data_Validation!$A:$D,3,0)</f>
        <v>Bilan</v>
      </c>
      <c r="V97" s="656" t="str">
        <f>+VLOOKUP($L97,Data_Validation!$A:$D,4,0)</f>
        <v>Inventaire Pièces, Pneus, Huile</v>
      </c>
      <c r="W97" s="656" t="str">
        <f>+VLOOKUP($L97,Data_Validation!$A:$E,5,0)</f>
        <v>$</v>
      </c>
      <c r="X97" s="656">
        <f>+VLOOKUP($L97,Data_Validation!$A:$F,6,0)</f>
        <v>0</v>
      </c>
    </row>
    <row r="98" spans="1:24" ht="15" customHeight="1">
      <c r="A98" s="1252" t="s">
        <v>861</v>
      </c>
      <c r="B98" s="1252" t="s">
        <v>862</v>
      </c>
      <c r="C98" s="1254">
        <v>15893.03</v>
      </c>
      <c r="D98" s="1254">
        <v>3331.67</v>
      </c>
      <c r="E98" s="1254">
        <v>19224.7</v>
      </c>
      <c r="F98" s="1252" t="s">
        <v>816</v>
      </c>
      <c r="G98" s="1252" t="s">
        <v>862</v>
      </c>
      <c r="H98" s="1252" t="s">
        <v>3955</v>
      </c>
      <c r="I98" s="651"/>
      <c r="J98" s="651"/>
      <c r="K98" s="651"/>
      <c r="L98" s="653" t="str">
        <f t="shared" si="67"/>
        <v>1472</v>
      </c>
      <c r="M98" s="654" t="str">
        <f t="shared" si="0"/>
        <v>WIP M-O VW</v>
      </c>
      <c r="N98" s="655">
        <f>+IF(OR($Q98=Parametres!$G$2,$Q98=Parametres!$G$3),I98,C98)</f>
        <v>15893.03</v>
      </c>
      <c r="O98" s="659">
        <f>+IF(OR($Q98=Parametres!$G$2,$Q98=Parametres!$G$3),J98,D98)</f>
        <v>3331.67</v>
      </c>
      <c r="P98" s="655">
        <f>+IF(OR($Q98=Parametres!$G$2,$Q98=Parametres!$G$3),K98,E98)</f>
        <v>19224.7</v>
      </c>
      <c r="Q98" s="654" t="str">
        <f t="shared" ref="Q98:S98" si="99">+F98</f>
        <v>2-Actifs</v>
      </c>
      <c r="R98" s="653" t="str">
        <f t="shared" si="99"/>
        <v>1472</v>
      </c>
      <c r="S98" s="654" t="str">
        <f t="shared" si="99"/>
        <v>_</v>
      </c>
      <c r="T98" s="656" t="str">
        <f>+VLOOKUP($L98,Data_Validation!$A:$D,1,0)</f>
        <v>1472</v>
      </c>
      <c r="U98" s="656" t="str">
        <f>+VLOOKUP($L98,Data_Validation!$A:$D,3,0)</f>
        <v>Bilan</v>
      </c>
      <c r="V98" s="656" t="str">
        <f>+VLOOKUP($L98,Data_Validation!$A:$D,4,0)</f>
        <v>Travaux en Cours</v>
      </c>
      <c r="W98" s="656" t="str">
        <f>+VLOOKUP($L98,Data_Validation!$A:$E,5,0)</f>
        <v>$</v>
      </c>
      <c r="X98" s="656">
        <f>+VLOOKUP($L98,Data_Validation!$A:$F,6,0)</f>
        <v>0</v>
      </c>
    </row>
    <row r="99" spans="1:24" ht="15.75" customHeight="1">
      <c r="A99" s="1252" t="s">
        <v>863</v>
      </c>
      <c r="B99" s="1252" t="s">
        <v>1505</v>
      </c>
      <c r="C99" s="1254">
        <v>-28672.36</v>
      </c>
      <c r="D99" s="1254">
        <v>679.21</v>
      </c>
      <c r="E99" s="1254">
        <v>-27993.15</v>
      </c>
      <c r="F99" s="1252" t="s">
        <v>816</v>
      </c>
      <c r="G99" s="1252" t="s">
        <v>862</v>
      </c>
      <c r="H99" s="1252" t="s">
        <v>3955</v>
      </c>
      <c r="I99" s="651"/>
      <c r="J99" s="651"/>
      <c r="K99" s="651"/>
      <c r="L99" s="653" t="str">
        <f t="shared" si="67"/>
        <v>1474</v>
      </c>
      <c r="M99" s="654" t="str">
        <f t="shared" si="0"/>
        <v>INVENTAIRE SOUS-TRAITANTS</v>
      </c>
      <c r="N99" s="655">
        <f>+IF(OR($Q99=Parametres!$G$2,$Q99=Parametres!$G$3),I99,C99)</f>
        <v>-28672.36</v>
      </c>
      <c r="O99" s="659">
        <f>+IF(OR($Q99=Parametres!$G$2,$Q99=Parametres!$G$3),J99,D99)</f>
        <v>679.21</v>
      </c>
      <c r="P99" s="655">
        <f>+IF(OR($Q99=Parametres!$G$2,$Q99=Parametres!$G$3),K99,E99)</f>
        <v>-27993.15</v>
      </c>
      <c r="Q99" s="654" t="str">
        <f t="shared" ref="Q99:S99" si="100">+F99</f>
        <v>2-Actifs</v>
      </c>
      <c r="R99" s="653" t="str">
        <f t="shared" si="100"/>
        <v>1472</v>
      </c>
      <c r="S99" s="654" t="str">
        <f t="shared" si="100"/>
        <v>_</v>
      </c>
      <c r="T99" s="656" t="str">
        <f>+VLOOKUP($L99,Data_Validation!$A:$D,1,0)</f>
        <v>1474</v>
      </c>
      <c r="U99" s="656" t="str">
        <f>+VLOOKUP($L99,Data_Validation!$A:$D,3,0)</f>
        <v>Bilan</v>
      </c>
      <c r="V99" s="656" t="str">
        <f>+VLOOKUP($L99,Data_Validation!$A:$D,4,0)</f>
        <v>Sous-Traitance</v>
      </c>
      <c r="W99" s="656" t="str">
        <f>+VLOOKUP($L99,Data_Validation!$A:$E,5,0)</f>
        <v>$</v>
      </c>
      <c r="X99" s="656">
        <f>+VLOOKUP($L99,Data_Validation!$A:$F,6,0)</f>
        <v>0</v>
      </c>
    </row>
    <row r="100" spans="1:24" ht="15" customHeight="1">
      <c r="A100" s="1252" t="s">
        <v>864</v>
      </c>
      <c r="B100" s="1252" t="s">
        <v>1508</v>
      </c>
      <c r="C100" s="1254">
        <v>55261.86</v>
      </c>
      <c r="D100" s="1254">
        <v>-4979.66</v>
      </c>
      <c r="E100" s="1254">
        <v>50282.2</v>
      </c>
      <c r="F100" s="1252" t="s">
        <v>816</v>
      </c>
      <c r="G100" s="1252" t="s">
        <v>856</v>
      </c>
      <c r="H100" s="1252" t="s">
        <v>3955</v>
      </c>
      <c r="I100" s="652"/>
      <c r="J100" s="652"/>
      <c r="K100" s="652"/>
      <c r="L100" s="653" t="str">
        <f t="shared" si="67"/>
        <v>1492</v>
      </c>
      <c r="M100" s="654" t="str">
        <f t="shared" si="0"/>
        <v>CARBURANT, HUILE, GRAISSE</v>
      </c>
      <c r="N100" s="655">
        <f>+IF(OR($Q100=Parametres!$G$2,$Q100=Parametres!$G$3),I100,C100)</f>
        <v>55261.86</v>
      </c>
      <c r="O100" s="659">
        <f>+IF(OR($Q100=Parametres!$G$2,$Q100=Parametres!$G$3),J100,D100)</f>
        <v>-4979.66</v>
      </c>
      <c r="P100" s="655">
        <f>+IF(OR($Q100=Parametres!$G$2,$Q100=Parametres!$G$3),K100,E100)</f>
        <v>50282.2</v>
      </c>
      <c r="Q100" s="654" t="str">
        <f t="shared" ref="Q100:S100" si="101">+F100</f>
        <v>2-Actifs</v>
      </c>
      <c r="R100" s="653" t="str">
        <f t="shared" si="101"/>
        <v>1442</v>
      </c>
      <c r="S100" s="654" t="str">
        <f t="shared" si="101"/>
        <v>_</v>
      </c>
      <c r="T100" s="656" t="str">
        <f>+VLOOKUP($L100,Data_Validation!$A:$D,1,0)</f>
        <v>1492</v>
      </c>
      <c r="U100" s="656" t="str">
        <f>+VLOOKUP($L100,Data_Validation!$A:$D,3,0)</f>
        <v>Bilan</v>
      </c>
      <c r="V100" s="656" t="str">
        <f>+VLOOKUP($L100,Data_Validation!$A:$D,4,0)</f>
        <v>Inventaire Pièces, Pneus, Huile</v>
      </c>
      <c r="W100" s="656" t="str">
        <f>+VLOOKUP($L100,Data_Validation!$A:$E,5,0)</f>
        <v>$</v>
      </c>
      <c r="X100" s="656">
        <f>+VLOOKUP($L100,Data_Validation!$A:$F,6,0)</f>
        <v>0</v>
      </c>
    </row>
    <row r="101" spans="1:24" ht="15" customHeight="1">
      <c r="A101" s="1252" t="s">
        <v>871</v>
      </c>
      <c r="B101" s="1252" t="s">
        <v>1525</v>
      </c>
      <c r="C101" s="1254">
        <v>5914.8</v>
      </c>
      <c r="D101" s="1254">
        <v>0</v>
      </c>
      <c r="E101" s="1254">
        <v>5914.8</v>
      </c>
      <c r="F101" s="1252" t="s">
        <v>816</v>
      </c>
      <c r="G101" s="1252" t="s">
        <v>868</v>
      </c>
      <c r="H101" s="1252" t="s">
        <v>3955</v>
      </c>
      <c r="I101" s="652"/>
      <c r="J101" s="652"/>
      <c r="K101" s="652"/>
      <c r="L101" s="653" t="str">
        <f t="shared" si="67"/>
        <v>1510</v>
      </c>
      <c r="M101" s="654" t="str">
        <f t="shared" si="0"/>
        <v>DIAMOND KOTE (NANO)</v>
      </c>
      <c r="N101" s="655">
        <f>+IF(OR($Q101=Parametres!$G$2,$Q101=Parametres!$G$3),I101,C101)</f>
        <v>5914.8</v>
      </c>
      <c r="O101" s="655">
        <f>+IF(OR($Q101=Parametres!$G$2,$Q101=Parametres!$G$3),J101,D101)</f>
        <v>0</v>
      </c>
      <c r="P101" s="655">
        <f>+IF(OR($Q101=Parametres!$G$2,$Q101=Parametres!$G$3),K101,E101)</f>
        <v>5914.8</v>
      </c>
      <c r="Q101" s="654" t="str">
        <f t="shared" ref="Q101:S101" si="102">+F101</f>
        <v>2-Actifs</v>
      </c>
      <c r="R101" s="653" t="str">
        <f t="shared" si="102"/>
        <v>1500</v>
      </c>
      <c r="S101" s="654" t="str">
        <f t="shared" si="102"/>
        <v>_</v>
      </c>
      <c r="T101" s="656" t="str">
        <f>+VLOOKUP($L101,Data_Validation!$A:$D,1,0)</f>
        <v>1510</v>
      </c>
      <c r="U101" s="656" t="str">
        <f>+VLOOKUP($L101,Data_Validation!$A:$D,3,0)</f>
        <v>Bilan</v>
      </c>
      <c r="V101" s="656" t="str">
        <f>+VLOOKUP($L101,Data_Validation!$A:$D,4,0)</f>
        <v>Frais Payés d'Avance</v>
      </c>
      <c r="W101" s="656" t="str">
        <f>+VLOOKUP($L101,Data_Validation!$A:$E,5,0)</f>
        <v>$</v>
      </c>
      <c r="X101" s="656">
        <f>+VLOOKUP($L101,Data_Validation!$A:$F,6,0)</f>
        <v>0</v>
      </c>
    </row>
    <row r="102" spans="1:24" ht="15" customHeight="1">
      <c r="A102" s="1252" t="s">
        <v>872</v>
      </c>
      <c r="B102" s="1252" t="s">
        <v>1528</v>
      </c>
      <c r="C102" s="1254">
        <v>13267.71</v>
      </c>
      <c r="D102" s="1254">
        <v>-1105.6400000000001</v>
      </c>
      <c r="E102" s="1254">
        <v>12162.07</v>
      </c>
      <c r="F102" s="1252" t="s">
        <v>816</v>
      </c>
      <c r="G102" s="1252" t="s">
        <v>868</v>
      </c>
      <c r="H102" s="1252" t="s">
        <v>3955</v>
      </c>
      <c r="I102" s="651"/>
      <c r="J102" s="651"/>
      <c r="K102" s="651"/>
      <c r="L102" s="653" t="str">
        <f t="shared" si="67"/>
        <v>1520</v>
      </c>
      <c r="M102" s="654" t="str">
        <f t="shared" si="0"/>
        <v>FPA IMMATRICULATION</v>
      </c>
      <c r="N102" s="655">
        <f>+IF(OR($Q102=Parametres!$G$2,$Q102=Parametres!$G$3),I102,C102)</f>
        <v>13267.71</v>
      </c>
      <c r="O102" s="655">
        <f>+IF(OR($Q102=Parametres!$G$2,$Q102=Parametres!$G$3),J102,D102)</f>
        <v>-1105.6400000000001</v>
      </c>
      <c r="P102" s="655">
        <f>+IF(OR($Q102=Parametres!$G$2,$Q102=Parametres!$G$3),K102,E102)</f>
        <v>12162.07</v>
      </c>
      <c r="Q102" s="654" t="str">
        <f t="shared" ref="Q102:S102" si="103">+F102</f>
        <v>2-Actifs</v>
      </c>
      <c r="R102" s="653" t="str">
        <f t="shared" si="103"/>
        <v>1500</v>
      </c>
      <c r="S102" s="654" t="str">
        <f t="shared" si="103"/>
        <v>_</v>
      </c>
      <c r="T102" s="656" t="str">
        <f>+VLOOKUP($L102,Data_Validation!$A:$D,1,0)</f>
        <v>1520</v>
      </c>
      <c r="U102" s="656" t="str">
        <f>+VLOOKUP($L102,Data_Validation!$A:$D,3,0)</f>
        <v>Bilan</v>
      </c>
      <c r="V102" s="656" t="str">
        <f>+VLOOKUP($L102,Data_Validation!$A:$D,4,0)</f>
        <v>Frais Payés d'Avance</v>
      </c>
      <c r="W102" s="656" t="str">
        <f>+VLOOKUP($L102,Data_Validation!$A:$E,5,0)</f>
        <v>$</v>
      </c>
      <c r="X102" s="656">
        <f>+VLOOKUP($L102,Data_Validation!$A:$F,6,0)</f>
        <v>0</v>
      </c>
    </row>
    <row r="103" spans="1:24" ht="15.75" customHeight="1">
      <c r="A103" s="1252" t="s">
        <v>3954</v>
      </c>
      <c r="B103" s="1252" t="s">
        <v>1531</v>
      </c>
      <c r="C103" s="1254">
        <v>75</v>
      </c>
      <c r="D103" s="1254">
        <v>600</v>
      </c>
      <c r="E103" s="1254">
        <v>675</v>
      </c>
      <c r="F103" s="1252" t="s">
        <v>816</v>
      </c>
      <c r="G103" s="1252" t="s">
        <v>868</v>
      </c>
      <c r="H103" s="1252" t="s">
        <v>3955</v>
      </c>
      <c r="I103" s="651"/>
      <c r="J103" s="651"/>
      <c r="K103" s="651"/>
      <c r="L103" s="653" t="str">
        <f t="shared" si="67"/>
        <v>1522</v>
      </c>
      <c r="M103" s="654" t="str">
        <f t="shared" si="0"/>
        <v>FPA recours coll</v>
      </c>
      <c r="N103" s="655">
        <f>+IF(OR($Q103=Parametres!$G$2,$Q103=Parametres!$G$3),I103,C103)</f>
        <v>75</v>
      </c>
      <c r="O103" s="655">
        <f>+IF(OR($Q103=Parametres!$G$2,$Q103=Parametres!$G$3),J103,D103)</f>
        <v>600</v>
      </c>
      <c r="P103" s="655">
        <f>+IF(OR($Q103=Parametres!$G$2,$Q103=Parametres!$G$3),K103,E103)</f>
        <v>675</v>
      </c>
      <c r="Q103" s="654" t="str">
        <f t="shared" ref="Q103:S103" si="104">+F103</f>
        <v>2-Actifs</v>
      </c>
      <c r="R103" s="653" t="str">
        <f t="shared" si="104"/>
        <v>1500</v>
      </c>
      <c r="S103" s="654" t="str">
        <f t="shared" si="104"/>
        <v>_</v>
      </c>
      <c r="T103" s="656" t="str">
        <f>+VLOOKUP($L103,Data_Validation!$A:$D,1,0)</f>
        <v>1522</v>
      </c>
      <c r="U103" s="656" t="str">
        <f>+VLOOKUP($L103,Data_Validation!$A:$D,3,0)</f>
        <v>Bilan</v>
      </c>
      <c r="V103" s="656" t="str">
        <f>+VLOOKUP($L103,Data_Validation!$A:$D,4,0)</f>
        <v>Frais Payés d'Avance</v>
      </c>
      <c r="W103" s="656" t="str">
        <f>+VLOOKUP($L103,Data_Validation!$A:$E,5,0)</f>
        <v>$</v>
      </c>
      <c r="X103" s="656">
        <f>+VLOOKUP($L103,Data_Validation!$A:$F,6,0)</f>
        <v>0</v>
      </c>
    </row>
    <row r="104" spans="1:24" ht="15" customHeight="1">
      <c r="A104" s="1252" t="s">
        <v>873</v>
      </c>
      <c r="B104" s="1252" t="s">
        <v>1540</v>
      </c>
      <c r="C104" s="1254">
        <v>2509</v>
      </c>
      <c r="D104" s="1254">
        <v>0</v>
      </c>
      <c r="E104" s="1254">
        <v>2509</v>
      </c>
      <c r="F104" s="1252" t="s">
        <v>816</v>
      </c>
      <c r="G104" s="1252" t="s">
        <v>868</v>
      </c>
      <c r="H104" s="1252" t="s">
        <v>3955</v>
      </c>
      <c r="I104" s="651"/>
      <c r="J104" s="651"/>
      <c r="K104" s="651"/>
      <c r="L104" s="653" t="str">
        <f t="shared" si="67"/>
        <v>1532</v>
      </c>
      <c r="M104" s="654" t="str">
        <f t="shared" si="0"/>
        <v>FPA C.C.A.M.Q.</v>
      </c>
      <c r="N104" s="655">
        <f>+IF(OR($Q104=Parametres!$G$2,$Q104=Parametres!$G$3),I104,C104)</f>
        <v>2509</v>
      </c>
      <c r="O104" s="655">
        <f>+IF(OR($Q104=Parametres!$G$2,$Q104=Parametres!$G$3),J104,D104)</f>
        <v>0</v>
      </c>
      <c r="P104" s="655">
        <f>+IF(OR($Q104=Parametres!$G$2,$Q104=Parametres!$G$3),K104,E104)</f>
        <v>2509</v>
      </c>
      <c r="Q104" s="654" t="str">
        <f t="shared" ref="Q104:S104" si="105">+F104</f>
        <v>2-Actifs</v>
      </c>
      <c r="R104" s="653" t="str">
        <f t="shared" si="105"/>
        <v>1500</v>
      </c>
      <c r="S104" s="654" t="str">
        <f t="shared" si="105"/>
        <v>_</v>
      </c>
      <c r="T104" s="656" t="str">
        <f>+VLOOKUP($L104,Data_Validation!$A:$D,1,0)</f>
        <v>1532</v>
      </c>
      <c r="U104" s="656" t="str">
        <f>+VLOOKUP($L104,Data_Validation!$A:$D,3,0)</f>
        <v>Bilan</v>
      </c>
      <c r="V104" s="656" t="str">
        <f>+VLOOKUP($L104,Data_Validation!$A:$D,4,0)</f>
        <v>Frais Payés d'Avance</v>
      </c>
      <c r="W104" s="656" t="str">
        <f>+VLOOKUP($L104,Data_Validation!$A:$E,5,0)</f>
        <v>$</v>
      </c>
      <c r="X104" s="656">
        <f>+VLOOKUP($L104,Data_Validation!$A:$F,6,0)</f>
        <v>0</v>
      </c>
    </row>
    <row r="105" spans="1:24" ht="15" customHeight="1">
      <c r="A105" s="1252" t="s">
        <v>879</v>
      </c>
      <c r="B105" s="1252" t="s">
        <v>3370</v>
      </c>
      <c r="C105" s="1254">
        <v>85784.95</v>
      </c>
      <c r="D105" s="1254">
        <v>0</v>
      </c>
      <c r="E105" s="1254">
        <v>85784.95</v>
      </c>
      <c r="F105" s="1252" t="s">
        <v>816</v>
      </c>
      <c r="G105" s="1252" t="s">
        <v>868</v>
      </c>
      <c r="H105" s="1252" t="s">
        <v>3955</v>
      </c>
      <c r="I105" s="651"/>
      <c r="J105" s="651"/>
      <c r="K105" s="651"/>
      <c r="L105" s="653" t="str">
        <f t="shared" si="67"/>
        <v>1553</v>
      </c>
      <c r="M105" s="654" t="str">
        <f t="shared" si="0"/>
        <v>CSST A PAYER OU RECEVOIR</v>
      </c>
      <c r="N105" s="655">
        <f>+IF(OR($Q105=Parametres!$G$2,$Q105=Parametres!$G$3),I105,C105)</f>
        <v>85784.95</v>
      </c>
      <c r="O105" s="655">
        <f>+IF(OR($Q105=Parametres!$G$2,$Q105=Parametres!$G$3),J105,D105)</f>
        <v>0</v>
      </c>
      <c r="P105" s="655">
        <f>+IF(OR($Q105=Parametres!$G$2,$Q105=Parametres!$G$3),K105,E105)</f>
        <v>85784.95</v>
      </c>
      <c r="Q105" s="654" t="str">
        <f t="shared" ref="Q105:S105" si="106">+F105</f>
        <v>2-Actifs</v>
      </c>
      <c r="R105" s="653" t="str">
        <f t="shared" si="106"/>
        <v>1500</v>
      </c>
      <c r="S105" s="654" t="str">
        <f t="shared" si="106"/>
        <v>_</v>
      </c>
      <c r="T105" s="656" t="str">
        <f>+VLOOKUP($L105,Data_Validation!$A:$D,1,0)</f>
        <v>1553</v>
      </c>
      <c r="U105" s="656" t="str">
        <f>+VLOOKUP($L105,Data_Validation!$A:$D,3,0)</f>
        <v>Bilan</v>
      </c>
      <c r="V105" s="656" t="str">
        <f>+VLOOKUP($L105,Data_Validation!$A:$D,4,0)</f>
        <v>Frais Payés d'Avance</v>
      </c>
      <c r="W105" s="656" t="str">
        <f>+VLOOKUP($L105,Data_Validation!$A:$E,5,0)</f>
        <v>$</v>
      </c>
      <c r="X105" s="656">
        <f>+VLOOKUP($L105,Data_Validation!$A:$F,6,0)</f>
        <v>0</v>
      </c>
    </row>
    <row r="106" spans="1:24" ht="15" customHeight="1">
      <c r="A106" s="1252" t="s">
        <v>880</v>
      </c>
      <c r="B106" s="1252" t="s">
        <v>1564</v>
      </c>
      <c r="C106" s="1254">
        <v>1444.03</v>
      </c>
      <c r="D106" s="1254">
        <v>18508.03</v>
      </c>
      <c r="E106" s="1254">
        <v>19952.060000000001</v>
      </c>
      <c r="F106" s="1252" t="s">
        <v>816</v>
      </c>
      <c r="G106" s="1252" t="s">
        <v>868</v>
      </c>
      <c r="H106" s="1252" t="s">
        <v>3955</v>
      </c>
      <c r="I106" s="651"/>
      <c r="J106" s="651"/>
      <c r="K106" s="651"/>
      <c r="L106" s="653" t="str">
        <f t="shared" si="67"/>
        <v>1582</v>
      </c>
      <c r="M106" s="654" t="str">
        <f t="shared" si="0"/>
        <v>FPA TAXES MUNICIPALES</v>
      </c>
      <c r="N106" s="655">
        <f>+IF(OR($Q106=Parametres!$G$2,$Q106=Parametres!$G$3),I106,C106)</f>
        <v>1444.03</v>
      </c>
      <c r="O106" s="655">
        <f>+IF(OR($Q106=Parametres!$G$2,$Q106=Parametres!$G$3),J106,D106)</f>
        <v>18508.03</v>
      </c>
      <c r="P106" s="655">
        <f>+IF(OR($Q106=Parametres!$G$2,$Q106=Parametres!$G$3),K106,E106)</f>
        <v>19952.060000000001</v>
      </c>
      <c r="Q106" s="654" t="str">
        <f t="shared" ref="Q106:S106" si="107">+F106</f>
        <v>2-Actifs</v>
      </c>
      <c r="R106" s="653" t="str">
        <f t="shared" si="107"/>
        <v>1500</v>
      </c>
      <c r="S106" s="654" t="str">
        <f t="shared" si="107"/>
        <v>_</v>
      </c>
      <c r="T106" s="656" t="str">
        <f>+VLOOKUP($L106,Data_Validation!$A:$D,1,0)</f>
        <v>1582</v>
      </c>
      <c r="U106" s="656" t="str">
        <f>+VLOOKUP($L106,Data_Validation!$A:$D,3,0)</f>
        <v>Bilan</v>
      </c>
      <c r="V106" s="656" t="str">
        <f>+VLOOKUP($L106,Data_Validation!$A:$D,4,0)</f>
        <v>Frais Payés d'Avance</v>
      </c>
      <c r="W106" s="656" t="str">
        <f>+VLOOKUP($L106,Data_Validation!$A:$E,5,0)</f>
        <v>$</v>
      </c>
      <c r="X106" s="656">
        <f>+VLOOKUP($L106,Data_Validation!$A:$F,6,0)</f>
        <v>0</v>
      </c>
    </row>
    <row r="107" spans="1:24" ht="15" customHeight="1">
      <c r="A107" s="1252" t="s">
        <v>881</v>
      </c>
      <c r="B107" s="1252" t="s">
        <v>1570</v>
      </c>
      <c r="C107" s="1254">
        <v>218.19</v>
      </c>
      <c r="D107" s="1254">
        <v>-500</v>
      </c>
      <c r="E107" s="1254">
        <v>-281.81</v>
      </c>
      <c r="F107" s="1252" t="s">
        <v>816</v>
      </c>
      <c r="G107" s="1252" t="s">
        <v>868</v>
      </c>
      <c r="H107" s="1252" t="s">
        <v>3955</v>
      </c>
      <c r="I107" s="651"/>
      <c r="J107" s="651"/>
      <c r="K107" s="651"/>
      <c r="L107" s="653" t="str">
        <f t="shared" si="67"/>
        <v>1586</v>
      </c>
      <c r="M107" s="654" t="str">
        <f t="shared" si="0"/>
        <v>FPA TAXES SCOLAIRES</v>
      </c>
      <c r="N107" s="655">
        <f>+IF(OR($Q107=Parametres!$G$2,$Q107=Parametres!$G$3),I107,C107)</f>
        <v>218.19</v>
      </c>
      <c r="O107" s="655">
        <f>+IF(OR($Q107=Parametres!$G$2,$Q107=Parametres!$G$3),J107,D107)</f>
        <v>-500</v>
      </c>
      <c r="P107" s="655">
        <f>+IF(OR($Q107=Parametres!$G$2,$Q107=Parametres!$G$3),K107,E107)</f>
        <v>-281.81</v>
      </c>
      <c r="Q107" s="654" t="str">
        <f t="shared" ref="Q107:S107" si="108">+F107</f>
        <v>2-Actifs</v>
      </c>
      <c r="R107" s="653" t="str">
        <f t="shared" si="108"/>
        <v>1500</v>
      </c>
      <c r="S107" s="654" t="str">
        <f t="shared" si="108"/>
        <v>_</v>
      </c>
      <c r="T107" s="656" t="str">
        <f>+VLOOKUP($L107,Data_Validation!$A:$D,1,0)</f>
        <v>1586</v>
      </c>
      <c r="U107" s="656" t="str">
        <f>+VLOOKUP($L107,Data_Validation!$A:$D,3,0)</f>
        <v>Bilan</v>
      </c>
      <c r="V107" s="656" t="str">
        <f>+VLOOKUP($L107,Data_Validation!$A:$D,4,0)</f>
        <v>Frais Payés d'Avance</v>
      </c>
      <c r="W107" s="656" t="str">
        <f>+VLOOKUP($L107,Data_Validation!$A:$E,5,0)</f>
        <v>$</v>
      </c>
      <c r="X107" s="656">
        <f>+VLOOKUP($L107,Data_Validation!$A:$F,6,0)</f>
        <v>0</v>
      </c>
    </row>
    <row r="108" spans="1:24" ht="15" customHeight="1">
      <c r="A108" s="1252" t="s">
        <v>883</v>
      </c>
      <c r="B108" s="1252" t="s">
        <v>1573</v>
      </c>
      <c r="C108" s="1254">
        <v>-24465.55</v>
      </c>
      <c r="D108" s="1254">
        <v>-52548.54</v>
      </c>
      <c r="E108" s="1254">
        <v>-77014.09</v>
      </c>
      <c r="F108" s="1252" t="s">
        <v>816</v>
      </c>
      <c r="G108" s="1252" t="s">
        <v>868</v>
      </c>
      <c r="H108" s="1252" t="s">
        <v>3955</v>
      </c>
      <c r="I108" s="651"/>
      <c r="J108" s="651"/>
      <c r="K108" s="651"/>
      <c r="L108" s="653" t="str">
        <f t="shared" si="67"/>
        <v>1592</v>
      </c>
      <c r="M108" s="654" t="str">
        <f t="shared" si="0"/>
        <v>FPA AUTRES</v>
      </c>
      <c r="N108" s="655">
        <f>+IF(OR($Q108=Parametres!$G$2,$Q108=Parametres!$G$3),I108,C108)</f>
        <v>-24465.55</v>
      </c>
      <c r="O108" s="655">
        <f>+IF(OR($Q108=Parametres!$G$2,$Q108=Parametres!$G$3),J108,D108)</f>
        <v>-52548.54</v>
      </c>
      <c r="P108" s="655">
        <f>+IF(OR($Q108=Parametres!$G$2,$Q108=Parametres!$G$3),K108,E108)</f>
        <v>-77014.09</v>
      </c>
      <c r="Q108" s="654" t="str">
        <f t="shared" ref="Q108:S108" si="109">+F108</f>
        <v>2-Actifs</v>
      </c>
      <c r="R108" s="653" t="str">
        <f t="shared" si="109"/>
        <v>1500</v>
      </c>
      <c r="S108" s="654" t="str">
        <f t="shared" si="109"/>
        <v>_</v>
      </c>
      <c r="T108" s="656" t="str">
        <f>+VLOOKUP($L108,Data_Validation!$A:$D,1,0)</f>
        <v>1592</v>
      </c>
      <c r="U108" s="656" t="str">
        <f>+VLOOKUP($L108,Data_Validation!$A:$D,3,0)</f>
        <v>Bilan</v>
      </c>
      <c r="V108" s="656" t="str">
        <f>+VLOOKUP($L108,Data_Validation!$A:$D,4,0)</f>
        <v>Frais Payés d'Avance</v>
      </c>
      <c r="W108" s="656" t="str">
        <f>+VLOOKUP($L108,Data_Validation!$A:$E,5,0)</f>
        <v>$</v>
      </c>
      <c r="X108" s="656">
        <f>+VLOOKUP($L108,Data_Validation!$A:$F,6,0)</f>
        <v>0</v>
      </c>
    </row>
    <row r="109" spans="1:24" ht="15.75" customHeight="1">
      <c r="A109" s="1252" t="s">
        <v>884</v>
      </c>
      <c r="B109" s="1252" t="s">
        <v>1585</v>
      </c>
      <c r="C109" s="1254">
        <v>148504.63</v>
      </c>
      <c r="D109" s="1254">
        <v>0</v>
      </c>
      <c r="E109" s="1254">
        <v>148504.63</v>
      </c>
      <c r="F109" s="1252" t="s">
        <v>816</v>
      </c>
      <c r="G109" s="1252" t="s">
        <v>885</v>
      </c>
      <c r="H109" s="1252" t="s">
        <v>3955</v>
      </c>
      <c r="I109" s="651"/>
      <c r="J109" s="651"/>
      <c r="K109" s="651"/>
      <c r="L109" s="653" t="str">
        <f t="shared" si="67"/>
        <v>1732</v>
      </c>
      <c r="M109" s="654" t="str">
        <f t="shared" si="0"/>
        <v>AMELIOR. LOCATIVES</v>
      </c>
      <c r="N109" s="655">
        <f>+IF(OR($Q109=Parametres!$G$2,$Q109=Parametres!$G$3),I109,C109)</f>
        <v>148504.63</v>
      </c>
      <c r="O109" s="655">
        <f>+IF(OR($Q109=Parametres!$G$2,$Q109=Parametres!$G$3),J109,D109)</f>
        <v>0</v>
      </c>
      <c r="P109" s="655">
        <f>+IF(OR($Q109=Parametres!$G$2,$Q109=Parametres!$G$3),K109,E109)</f>
        <v>148504.63</v>
      </c>
      <c r="Q109" s="654" t="str">
        <f t="shared" ref="Q109:S109" si="110">+F109</f>
        <v>2-Actifs</v>
      </c>
      <c r="R109" s="653" t="str">
        <f t="shared" si="110"/>
        <v>1700</v>
      </c>
      <c r="S109" s="654" t="str">
        <f t="shared" si="110"/>
        <v>_</v>
      </c>
      <c r="T109" s="656" t="str">
        <f>+VLOOKUP($L109,Data_Validation!$A:$D,1,0)</f>
        <v>1732</v>
      </c>
      <c r="U109" s="656" t="str">
        <f>+VLOOKUP($L109,Data_Validation!$A:$D,3,0)</f>
        <v>Bilan</v>
      </c>
      <c r="V109" s="656" t="str">
        <f>+VLOOKUP($L109,Data_Validation!$A:$D,4,0)</f>
        <v>Améliorations Locatives</v>
      </c>
      <c r="W109" s="656" t="str">
        <f>+VLOOKUP($L109,Data_Validation!$A:$E,5,0)</f>
        <v>$</v>
      </c>
      <c r="X109" s="656">
        <f>+VLOOKUP($L109,Data_Validation!$A:$F,6,0)</f>
        <v>0</v>
      </c>
    </row>
    <row r="110" spans="1:24" ht="15" customHeight="1">
      <c r="A110" s="1252" t="s">
        <v>886</v>
      </c>
      <c r="B110" s="1252" t="s">
        <v>1588</v>
      </c>
      <c r="C110" s="1254">
        <v>-124705.78</v>
      </c>
      <c r="D110" s="1254">
        <v>0</v>
      </c>
      <c r="E110" s="1254">
        <v>-124705.78</v>
      </c>
      <c r="F110" s="1252" t="s">
        <v>816</v>
      </c>
      <c r="G110" s="1252" t="s">
        <v>885</v>
      </c>
      <c r="H110" s="1252" t="s">
        <v>3955</v>
      </c>
      <c r="I110" s="651"/>
      <c r="J110" s="651"/>
      <c r="K110" s="651"/>
      <c r="L110" s="653" t="str">
        <f t="shared" si="67"/>
        <v>1733</v>
      </c>
      <c r="M110" s="654" t="str">
        <f t="shared" si="0"/>
        <v>AMORT. CUM. AMEL. LOCAT.</v>
      </c>
      <c r="N110" s="655">
        <f>+IF(OR($Q110=Parametres!$G$2,$Q110=Parametres!$G$3),I110,C110)</f>
        <v>-124705.78</v>
      </c>
      <c r="O110" s="659">
        <f>+IF(OR($Q110=Parametres!$G$2,$Q110=Parametres!$G$3),J110,D110)</f>
        <v>0</v>
      </c>
      <c r="P110" s="655">
        <f>+IF(OR($Q110=Parametres!$G$2,$Q110=Parametres!$G$3),K110,E110)</f>
        <v>-124705.78</v>
      </c>
      <c r="Q110" s="654" t="str">
        <f t="shared" ref="Q110:S110" si="111">+F110</f>
        <v>2-Actifs</v>
      </c>
      <c r="R110" s="653" t="str">
        <f t="shared" si="111"/>
        <v>1700</v>
      </c>
      <c r="S110" s="654" t="str">
        <f t="shared" si="111"/>
        <v>_</v>
      </c>
      <c r="T110" s="656" t="str">
        <f>+VLOOKUP($L110,Data_Validation!$A:$D,1,0)</f>
        <v>1733</v>
      </c>
      <c r="U110" s="656" t="str">
        <f>+VLOOKUP($L110,Data_Validation!$A:$D,3,0)</f>
        <v>Bilan</v>
      </c>
      <c r="V110" s="656" t="str">
        <f>+VLOOKUP($L110,Data_Validation!$A:$D,4,0)</f>
        <v>Améliorations Locatives</v>
      </c>
      <c r="W110" s="656" t="str">
        <f>+VLOOKUP($L110,Data_Validation!$A:$E,5,0)</f>
        <v>$</v>
      </c>
      <c r="X110" s="656">
        <f>+VLOOKUP($L110,Data_Validation!$A:$F,6,0)</f>
        <v>0</v>
      </c>
    </row>
    <row r="111" spans="1:24" ht="15" customHeight="1">
      <c r="A111" s="1252" t="s">
        <v>3350</v>
      </c>
      <c r="B111" s="1252" t="s">
        <v>3372</v>
      </c>
      <c r="C111" s="1254">
        <v>10527.65</v>
      </c>
      <c r="D111" s="1254">
        <v>0</v>
      </c>
      <c r="E111" s="1254">
        <v>10527.65</v>
      </c>
      <c r="F111" s="1252" t="s">
        <v>816</v>
      </c>
      <c r="G111" s="1252" t="s">
        <v>885</v>
      </c>
      <c r="H111" s="1252" t="s">
        <v>3955</v>
      </c>
      <c r="I111" s="651"/>
      <c r="J111" s="651"/>
      <c r="K111" s="651"/>
      <c r="L111" s="653" t="str">
        <f t="shared" si="67"/>
        <v>1734</v>
      </c>
      <c r="M111" s="654" t="str">
        <f t="shared" si="0"/>
        <v>AMELIOR. LOCATIVES CPO</v>
      </c>
      <c r="N111" s="655">
        <f>+IF(OR($Q111=Parametres!$G$2,$Q111=Parametres!$G$3),I111,C111)</f>
        <v>10527.65</v>
      </c>
      <c r="O111" s="655">
        <f>+IF(OR($Q111=Parametres!$G$2,$Q111=Parametres!$G$3),J111,D111)</f>
        <v>0</v>
      </c>
      <c r="P111" s="655">
        <f>+IF(OR($Q111=Parametres!$G$2,$Q111=Parametres!$G$3),K111,E111)</f>
        <v>10527.65</v>
      </c>
      <c r="Q111" s="654" t="str">
        <f t="shared" ref="Q111:S111" si="112">+F111</f>
        <v>2-Actifs</v>
      </c>
      <c r="R111" s="653" t="str">
        <f t="shared" si="112"/>
        <v>1700</v>
      </c>
      <c r="S111" s="654" t="str">
        <f t="shared" si="112"/>
        <v>_</v>
      </c>
      <c r="T111" s="656" t="str">
        <f>+VLOOKUP($L111,Data_Validation!$A:$D,1,0)</f>
        <v>1734</v>
      </c>
      <c r="U111" s="656" t="str">
        <f>+VLOOKUP($L111,Data_Validation!$A:$D,3,0)</f>
        <v>Bilan</v>
      </c>
      <c r="V111" s="656" t="str">
        <f>+VLOOKUP($L111,Data_Validation!$A:$D,4,0)</f>
        <v>Améliorations Locatives</v>
      </c>
      <c r="W111" s="656" t="str">
        <f>+VLOOKUP($L111,Data_Validation!$A:$E,5,0)</f>
        <v>$</v>
      </c>
      <c r="X111" s="656">
        <f>+VLOOKUP($L111,Data_Validation!$A:$F,6,0)</f>
        <v>0</v>
      </c>
    </row>
    <row r="112" spans="1:24" ht="15" customHeight="1">
      <c r="A112" s="1252" t="s">
        <v>3928</v>
      </c>
      <c r="B112" s="1252" t="s">
        <v>3929</v>
      </c>
      <c r="C112" s="1254">
        <v>-2105.5300000000002</v>
      </c>
      <c r="D112" s="1254">
        <v>0</v>
      </c>
      <c r="E112" s="1254">
        <v>-2105.5300000000002</v>
      </c>
      <c r="F112" s="1252" t="s">
        <v>816</v>
      </c>
      <c r="G112" s="1252" t="s">
        <v>885</v>
      </c>
      <c r="H112" s="1252" t="s">
        <v>3955</v>
      </c>
      <c r="I112" s="651"/>
      <c r="J112" s="651"/>
      <c r="K112" s="651"/>
      <c r="L112" s="653" t="str">
        <f t="shared" si="67"/>
        <v>1735</v>
      </c>
      <c r="M112" s="654" t="str">
        <f t="shared" si="0"/>
        <v>AMORT. CUM. AMEL. LOCAT. CPO</v>
      </c>
      <c r="N112" s="655">
        <f>+IF(OR($Q112=Parametres!$G$2,$Q112=Parametres!$G$3),I112,C112)</f>
        <v>-2105.5300000000002</v>
      </c>
      <c r="O112" s="655">
        <f>+IF(OR($Q112=Parametres!$G$2,$Q112=Parametres!$G$3),J112,D112)</f>
        <v>0</v>
      </c>
      <c r="P112" s="655">
        <f>+IF(OR($Q112=Parametres!$G$2,$Q112=Parametres!$G$3),K112,E112)</f>
        <v>-2105.5300000000002</v>
      </c>
      <c r="Q112" s="654" t="str">
        <f t="shared" ref="Q112:S112" si="113">+F112</f>
        <v>2-Actifs</v>
      </c>
      <c r="R112" s="653" t="str">
        <f t="shared" si="113"/>
        <v>1700</v>
      </c>
      <c r="S112" s="654" t="str">
        <f t="shared" si="113"/>
        <v>_</v>
      </c>
      <c r="T112" s="656" t="str">
        <f>+VLOOKUP($L112,Data_Validation!$A:$D,1,0)</f>
        <v>1735</v>
      </c>
      <c r="U112" s="656" t="str">
        <f>+VLOOKUP($L112,Data_Validation!$A:$D,3,0)</f>
        <v>Bilan</v>
      </c>
      <c r="V112" s="656" t="str">
        <f>+VLOOKUP($L112,Data_Validation!$A:$D,4,0)</f>
        <v>Améliorations Locatives</v>
      </c>
      <c r="W112" s="656" t="str">
        <f>+VLOOKUP($L112,Data_Validation!$A:$E,5,0)</f>
        <v>$</v>
      </c>
      <c r="X112" s="656">
        <f>+VLOOKUP($L112,Data_Validation!$A:$F,6,0)</f>
        <v>0</v>
      </c>
    </row>
    <row r="113" spans="1:24" ht="15.75" customHeight="1">
      <c r="A113" s="1252" t="s">
        <v>3406</v>
      </c>
      <c r="B113" s="1252" t="s">
        <v>3407</v>
      </c>
      <c r="C113" s="1254">
        <v>10346332.07</v>
      </c>
      <c r="D113" s="1254">
        <v>635</v>
      </c>
      <c r="E113" s="1254">
        <v>10346967.07</v>
      </c>
      <c r="F113" s="1252" t="s">
        <v>816</v>
      </c>
      <c r="G113" s="1252" t="s">
        <v>885</v>
      </c>
      <c r="H113" s="1252" t="s">
        <v>3955</v>
      </c>
      <c r="I113" s="651"/>
      <c r="J113" s="651"/>
      <c r="K113" s="651"/>
      <c r="L113" s="653" t="str">
        <f t="shared" si="67"/>
        <v>1740</v>
      </c>
      <c r="M113" s="654" t="str">
        <f t="shared" si="0"/>
        <v>PROJET VOLKS - RENOVATION</v>
      </c>
      <c r="N113" s="655">
        <f>+IF(OR($Q113=Parametres!$G$2,$Q113=Parametres!$G$3),I113,C113)</f>
        <v>10346332.07</v>
      </c>
      <c r="O113" s="655">
        <f>+IF(OR($Q113=Parametres!$G$2,$Q113=Parametres!$G$3),J113,D113)</f>
        <v>635</v>
      </c>
      <c r="P113" s="655">
        <f>+IF(OR($Q113=Parametres!$G$2,$Q113=Parametres!$G$3),K113,E113)</f>
        <v>10346967.07</v>
      </c>
      <c r="Q113" s="654" t="str">
        <f t="shared" ref="Q113:S113" si="114">+F113</f>
        <v>2-Actifs</v>
      </c>
      <c r="R113" s="653" t="str">
        <f t="shared" si="114"/>
        <v>1700</v>
      </c>
      <c r="S113" s="654" t="str">
        <f t="shared" si="114"/>
        <v>_</v>
      </c>
      <c r="T113" s="656" t="str">
        <f>+VLOOKUP($L113,Data_Validation!$A:$D,1,0)</f>
        <v>1740</v>
      </c>
      <c r="U113" s="656" t="str">
        <f>+VLOOKUP($L113,Data_Validation!$A:$D,3,0)</f>
        <v>Bilan</v>
      </c>
      <c r="V113" s="656" t="str">
        <f>+VLOOKUP($L113,Data_Validation!$A:$D,4,0)</f>
        <v>Améliorations Locatives</v>
      </c>
      <c r="W113" s="656" t="str">
        <f>+VLOOKUP($L113,Data_Validation!$A:$E,5,0)</f>
        <v>$</v>
      </c>
      <c r="X113" s="656">
        <f>+VLOOKUP($L113,Data_Validation!$A:$F,6,0)</f>
        <v>0</v>
      </c>
    </row>
    <row r="114" spans="1:24" ht="15" customHeight="1">
      <c r="A114" s="1252" t="s">
        <v>3930</v>
      </c>
      <c r="B114" s="1252" t="s">
        <v>3931</v>
      </c>
      <c r="C114" s="1254">
        <v>-299908.76</v>
      </c>
      <c r="D114" s="1254">
        <v>-42648</v>
      </c>
      <c r="E114" s="1254">
        <v>-342556.76</v>
      </c>
      <c r="F114" s="1252" t="s">
        <v>816</v>
      </c>
      <c r="G114" s="1252" t="s">
        <v>885</v>
      </c>
      <c r="H114" s="1252" t="s">
        <v>3955</v>
      </c>
      <c r="I114" s="651"/>
      <c r="J114" s="651"/>
      <c r="K114" s="651"/>
      <c r="L114" s="653" t="str">
        <f t="shared" si="67"/>
        <v>1741</v>
      </c>
      <c r="M114" s="654" t="str">
        <f t="shared" si="0"/>
        <v>AMORT.CUMUL.PROJET VOLKS</v>
      </c>
      <c r="N114" s="655">
        <f>+IF(OR($Q114=Parametres!$G$2,$Q114=Parametres!$G$3),I114,C114)</f>
        <v>-299908.76</v>
      </c>
      <c r="O114" s="655">
        <f>+IF(OR($Q114=Parametres!$G$2,$Q114=Parametres!$G$3),J114,D114)</f>
        <v>-42648</v>
      </c>
      <c r="P114" s="655">
        <f>+IF(OR($Q114=Parametres!$G$2,$Q114=Parametres!$G$3),K114,E114)</f>
        <v>-342556.76</v>
      </c>
      <c r="Q114" s="654" t="str">
        <f t="shared" ref="Q114:S114" si="115">+F114</f>
        <v>2-Actifs</v>
      </c>
      <c r="R114" s="653" t="str">
        <f t="shared" si="115"/>
        <v>1700</v>
      </c>
      <c r="S114" s="654" t="str">
        <f t="shared" si="115"/>
        <v>_</v>
      </c>
      <c r="T114" s="656" t="str">
        <f>+VLOOKUP($L114,Data_Validation!$A:$D,1,0)</f>
        <v>1741</v>
      </c>
      <c r="U114" s="656" t="str">
        <f>+VLOOKUP($L114,Data_Validation!$A:$D,3,0)</f>
        <v>Bilan</v>
      </c>
      <c r="V114" s="656" t="str">
        <f>+VLOOKUP($L114,Data_Validation!$A:$D,4,0)</f>
        <v>Améliorations Locatives</v>
      </c>
      <c r="W114" s="656" t="str">
        <f>+VLOOKUP($L114,Data_Validation!$A:$E,5,0)</f>
        <v>$</v>
      </c>
      <c r="X114" s="656">
        <f>+VLOOKUP($L114,Data_Validation!$A:$F,6,0)</f>
        <v>0</v>
      </c>
    </row>
    <row r="115" spans="1:24" ht="15" customHeight="1">
      <c r="A115" s="1252" t="s">
        <v>887</v>
      </c>
      <c r="B115" s="1252" t="s">
        <v>1591</v>
      </c>
      <c r="C115" s="1254">
        <v>1277064.52</v>
      </c>
      <c r="D115" s="1254">
        <v>0</v>
      </c>
      <c r="E115" s="1254">
        <v>1277064.52</v>
      </c>
      <c r="F115" s="1252" t="s">
        <v>816</v>
      </c>
      <c r="G115" s="1252" t="s">
        <v>885</v>
      </c>
      <c r="H115" s="1252" t="s">
        <v>3955</v>
      </c>
      <c r="I115" s="652"/>
      <c r="J115" s="652"/>
      <c r="K115" s="652"/>
      <c r="L115" s="653" t="str">
        <f t="shared" si="67"/>
        <v>1742</v>
      </c>
      <c r="M115" s="654" t="str">
        <f t="shared" si="0"/>
        <v>MACHINERIE &amp; EQUIPEMENT</v>
      </c>
      <c r="N115" s="655">
        <f>+IF(OR($Q115=Parametres!$G$2,$Q115=Parametres!$G$3),I115,C115)</f>
        <v>1277064.52</v>
      </c>
      <c r="O115" s="655">
        <f>+IF(OR($Q115=Parametres!$G$2,$Q115=Parametres!$G$3),J115,D115)</f>
        <v>0</v>
      </c>
      <c r="P115" s="655">
        <f>+IF(OR($Q115=Parametres!$G$2,$Q115=Parametres!$G$3),K115,E115)</f>
        <v>1277064.52</v>
      </c>
      <c r="Q115" s="654" t="str">
        <f t="shared" ref="Q115:S115" si="116">+F115</f>
        <v>2-Actifs</v>
      </c>
      <c r="R115" s="653" t="str">
        <f t="shared" si="116"/>
        <v>1700</v>
      </c>
      <c r="S115" s="654" t="str">
        <f t="shared" si="116"/>
        <v>_</v>
      </c>
      <c r="T115" s="656" t="str">
        <f>+VLOOKUP($L115,Data_Validation!$A:$D,1,0)</f>
        <v>1742</v>
      </c>
      <c r="U115" s="656" t="str">
        <f>+VLOOKUP($L115,Data_Validation!$A:$D,3,0)</f>
        <v>Bilan</v>
      </c>
      <c r="V115" s="656" t="str">
        <f>+VLOOKUP($L115,Data_Validation!$A:$D,4,0)</f>
        <v>Équipements Service</v>
      </c>
      <c r="W115" s="656" t="str">
        <f>+VLOOKUP($L115,Data_Validation!$A:$E,5,0)</f>
        <v>$</v>
      </c>
      <c r="X115" s="656">
        <f>+VLOOKUP($L115,Data_Validation!$A:$F,6,0)</f>
        <v>0</v>
      </c>
    </row>
    <row r="116" spans="1:24" ht="15" customHeight="1">
      <c r="A116" s="1252" t="s">
        <v>888</v>
      </c>
      <c r="B116" s="1252" t="s">
        <v>1594</v>
      </c>
      <c r="C116" s="1254">
        <v>-908806.16</v>
      </c>
      <c r="D116" s="1254">
        <v>0</v>
      </c>
      <c r="E116" s="1254">
        <v>-908806.16</v>
      </c>
      <c r="F116" s="1252" t="s">
        <v>816</v>
      </c>
      <c r="G116" s="1252" t="s">
        <v>885</v>
      </c>
      <c r="H116" s="1252" t="s">
        <v>3955</v>
      </c>
      <c r="I116" s="652"/>
      <c r="J116" s="652"/>
      <c r="K116" s="652"/>
      <c r="L116" s="653" t="str">
        <f t="shared" si="67"/>
        <v>1743</v>
      </c>
      <c r="M116" s="654" t="str">
        <f t="shared" si="0"/>
        <v>AMORTISS.MACHINERIE &amp; EQUIP.</v>
      </c>
      <c r="N116" s="655">
        <f>+IF(OR($Q116=Parametres!$G$2,$Q116=Parametres!$G$3),I116,C116)</f>
        <v>-908806.16</v>
      </c>
      <c r="O116" s="655">
        <f>+IF(OR($Q116=Parametres!$G$2,$Q116=Parametres!$G$3),J116,D116)</f>
        <v>0</v>
      </c>
      <c r="P116" s="655">
        <f>+IF(OR($Q116=Parametres!$G$2,$Q116=Parametres!$G$3),K116,E116)</f>
        <v>-908806.16</v>
      </c>
      <c r="Q116" s="654" t="str">
        <f t="shared" ref="Q116:S116" si="117">+F116</f>
        <v>2-Actifs</v>
      </c>
      <c r="R116" s="653" t="str">
        <f t="shared" si="117"/>
        <v>1700</v>
      </c>
      <c r="S116" s="654" t="str">
        <f t="shared" si="117"/>
        <v>_</v>
      </c>
      <c r="T116" s="656" t="str">
        <f>+VLOOKUP($L116,Data_Validation!$A:$D,1,0)</f>
        <v>1743</v>
      </c>
      <c r="U116" s="656" t="str">
        <f>+VLOOKUP($L116,Data_Validation!$A:$D,3,0)</f>
        <v>Bilan</v>
      </c>
      <c r="V116" s="656" t="str">
        <f>+VLOOKUP($L116,Data_Validation!$A:$D,4,0)</f>
        <v>Équipements Service</v>
      </c>
      <c r="W116" s="656" t="str">
        <f>+VLOOKUP($L116,Data_Validation!$A:$E,5,0)</f>
        <v>$</v>
      </c>
      <c r="X116" s="656">
        <f>+VLOOKUP($L116,Data_Validation!$A:$F,6,0)</f>
        <v>0</v>
      </c>
    </row>
    <row r="117" spans="1:24" ht="15.75" customHeight="1">
      <c r="A117" s="1252" t="s">
        <v>889</v>
      </c>
      <c r="B117" s="1252" t="s">
        <v>1597</v>
      </c>
      <c r="C117" s="1254">
        <v>47461.59</v>
      </c>
      <c r="D117" s="1254">
        <v>0</v>
      </c>
      <c r="E117" s="1254">
        <v>47461.59</v>
      </c>
      <c r="F117" s="1252" t="s">
        <v>816</v>
      </c>
      <c r="G117" s="1252" t="s">
        <v>885</v>
      </c>
      <c r="H117" s="1252" t="s">
        <v>3955</v>
      </c>
      <c r="I117" s="652"/>
      <c r="J117" s="652"/>
      <c r="K117" s="652"/>
      <c r="L117" s="653" t="str">
        <f t="shared" si="67"/>
        <v>1744</v>
      </c>
      <c r="M117" s="654" t="str">
        <f t="shared" si="0"/>
        <v>EQUIPEMENT PIECES</v>
      </c>
      <c r="N117" s="655">
        <f>+IF(OR($Q117=Parametres!$G$2,$Q117=Parametres!$G$3),I117,C117)</f>
        <v>47461.59</v>
      </c>
      <c r="O117" s="655">
        <f>+IF(OR($Q117=Parametres!$G$2,$Q117=Parametres!$G$3),J117,D117)</f>
        <v>0</v>
      </c>
      <c r="P117" s="655">
        <f>+IF(OR($Q117=Parametres!$G$2,$Q117=Parametres!$G$3),K117,E117)</f>
        <v>47461.59</v>
      </c>
      <c r="Q117" s="654" t="str">
        <f t="shared" ref="Q117:S117" si="118">+F117</f>
        <v>2-Actifs</v>
      </c>
      <c r="R117" s="653" t="str">
        <f t="shared" si="118"/>
        <v>1700</v>
      </c>
      <c r="S117" s="654" t="str">
        <f t="shared" si="118"/>
        <v>_</v>
      </c>
      <c r="T117" s="656" t="str">
        <f>+VLOOKUP($L117,Data_Validation!$A:$D,1,0)</f>
        <v>1744</v>
      </c>
      <c r="U117" s="656" t="str">
        <f>+VLOOKUP($L117,Data_Validation!$A:$D,3,0)</f>
        <v>Bilan</v>
      </c>
      <c r="V117" s="656" t="str">
        <f>+VLOOKUP($L117,Data_Validation!$A:$D,4,0)</f>
        <v>Équipements Service</v>
      </c>
      <c r="W117" s="656" t="str">
        <f>+VLOOKUP($L117,Data_Validation!$A:$E,5,0)</f>
        <v>$</v>
      </c>
      <c r="X117" s="656">
        <f>+VLOOKUP($L117,Data_Validation!$A:$F,6,0)</f>
        <v>0</v>
      </c>
    </row>
    <row r="118" spans="1:24" ht="15" customHeight="1">
      <c r="A118" s="1252" t="s">
        <v>890</v>
      </c>
      <c r="B118" s="1252" t="s">
        <v>1600</v>
      </c>
      <c r="C118" s="1254">
        <v>-47461.59</v>
      </c>
      <c r="D118" s="1254">
        <v>0</v>
      </c>
      <c r="E118" s="1254">
        <v>-47461.59</v>
      </c>
      <c r="F118" s="1252" t="s">
        <v>816</v>
      </c>
      <c r="G118" s="1252" t="s">
        <v>885</v>
      </c>
      <c r="H118" s="1252" t="s">
        <v>3955</v>
      </c>
      <c r="I118" s="663"/>
      <c r="J118" s="663"/>
      <c r="K118" s="663"/>
      <c r="L118" s="653" t="str">
        <f t="shared" si="67"/>
        <v>1745</v>
      </c>
      <c r="M118" s="654" t="str">
        <f t="shared" si="0"/>
        <v>AMORTISS.EQUIPEMENTS PIECES</v>
      </c>
      <c r="N118" s="655">
        <f>+IF(OR($Q118=Parametres!$G$2,$Q118=Parametres!$G$3),I118,C118)</f>
        <v>-47461.59</v>
      </c>
      <c r="O118" s="655">
        <f>+IF(OR($Q118=Parametres!$G$2,$Q118=Parametres!$G$3),J118,D118)</f>
        <v>0</v>
      </c>
      <c r="P118" s="655">
        <f>+IF(OR($Q118=Parametres!$G$2,$Q118=Parametres!$G$3),K118,E118)</f>
        <v>-47461.59</v>
      </c>
      <c r="Q118" s="654" t="str">
        <f t="shared" ref="Q118:S118" si="119">+F118</f>
        <v>2-Actifs</v>
      </c>
      <c r="R118" s="653" t="str">
        <f t="shared" si="119"/>
        <v>1700</v>
      </c>
      <c r="S118" s="654" t="str">
        <f t="shared" si="119"/>
        <v>_</v>
      </c>
      <c r="T118" s="656" t="str">
        <f>+VLOOKUP($L118,Data_Validation!$A:$D,1,0)</f>
        <v>1745</v>
      </c>
      <c r="U118" s="656" t="str">
        <f>+VLOOKUP($L118,Data_Validation!$A:$D,3,0)</f>
        <v>Bilan</v>
      </c>
      <c r="V118" s="656" t="str">
        <f>+VLOOKUP($L118,Data_Validation!$A:$D,4,0)</f>
        <v>Équipements Service</v>
      </c>
      <c r="W118" s="656" t="str">
        <f>+VLOOKUP($L118,Data_Validation!$A:$E,5,0)</f>
        <v>$</v>
      </c>
      <c r="X118" s="656">
        <f>+VLOOKUP($L118,Data_Validation!$A:$F,6,0)</f>
        <v>0</v>
      </c>
    </row>
    <row r="119" spans="1:24" ht="15" customHeight="1">
      <c r="A119" s="1252" t="s">
        <v>891</v>
      </c>
      <c r="B119" s="1252" t="s">
        <v>1609</v>
      </c>
      <c r="C119" s="1254">
        <v>442641.49</v>
      </c>
      <c r="D119" s="1254">
        <v>-476.95</v>
      </c>
      <c r="E119" s="1254">
        <v>442164.54</v>
      </c>
      <c r="F119" s="1252" t="s">
        <v>816</v>
      </c>
      <c r="G119" s="1252" t="s">
        <v>885</v>
      </c>
      <c r="H119" s="1252" t="s">
        <v>3955</v>
      </c>
      <c r="I119" s="652"/>
      <c r="J119" s="652"/>
      <c r="K119" s="652"/>
      <c r="L119" s="653" t="str">
        <f t="shared" si="67"/>
        <v>1762</v>
      </c>
      <c r="M119" s="654" t="str">
        <f t="shared" si="0"/>
        <v>AMEUBLEMENT &amp; INSTR.</v>
      </c>
      <c r="N119" s="655">
        <f>+IF(OR($Q119=Parametres!$G$2,$Q119=Parametres!$G$3),I119,C119)</f>
        <v>442641.49</v>
      </c>
      <c r="O119" s="655">
        <f>+IF(OR($Q119=Parametres!$G$2,$Q119=Parametres!$G$3),J119,D119)</f>
        <v>-476.95</v>
      </c>
      <c r="P119" s="655">
        <f>+IF(OR($Q119=Parametres!$G$2,$Q119=Parametres!$G$3),K119,E119)</f>
        <v>442164.54</v>
      </c>
      <c r="Q119" s="654" t="str">
        <f t="shared" ref="Q119:S119" si="120">+F119</f>
        <v>2-Actifs</v>
      </c>
      <c r="R119" s="653" t="str">
        <f t="shared" si="120"/>
        <v>1700</v>
      </c>
      <c r="S119" s="654" t="str">
        <f t="shared" si="120"/>
        <v>_</v>
      </c>
      <c r="T119" s="656" t="str">
        <f>+VLOOKUP($L119,Data_Validation!$A:$D,1,0)</f>
        <v>1762</v>
      </c>
      <c r="U119" s="656" t="str">
        <f>+VLOOKUP($L119,Data_Validation!$A:$D,3,0)</f>
        <v>Bilan</v>
      </c>
      <c r="V119" s="656" t="str">
        <f>+VLOOKUP($L119,Data_Validation!$A:$D,4,0)</f>
        <v>Mobilier</v>
      </c>
      <c r="W119" s="656" t="str">
        <f>+VLOOKUP($L119,Data_Validation!$A:$E,5,0)</f>
        <v>$</v>
      </c>
      <c r="X119" s="656">
        <f>+VLOOKUP($L119,Data_Validation!$A:$F,6,0)</f>
        <v>0</v>
      </c>
    </row>
    <row r="120" spans="1:24" ht="15" customHeight="1">
      <c r="A120" s="1252" t="s">
        <v>892</v>
      </c>
      <c r="B120" s="1252" t="s">
        <v>1612</v>
      </c>
      <c r="C120" s="1254">
        <v>-421359.73</v>
      </c>
      <c r="D120" s="1254">
        <v>0</v>
      </c>
      <c r="E120" s="1254">
        <v>-421359.73</v>
      </c>
      <c r="F120" s="1252" t="s">
        <v>816</v>
      </c>
      <c r="G120" s="1252" t="s">
        <v>885</v>
      </c>
      <c r="H120" s="1252" t="s">
        <v>3955</v>
      </c>
      <c r="I120" s="652"/>
      <c r="J120" s="652"/>
      <c r="K120" s="652"/>
      <c r="L120" s="653" t="str">
        <f t="shared" si="67"/>
        <v>1763</v>
      </c>
      <c r="M120" s="654" t="str">
        <f t="shared" si="0"/>
        <v>AMORTISS.AMEUBL.INSTR.</v>
      </c>
      <c r="N120" s="655">
        <f>+IF(OR($Q120=Parametres!$G$2,$Q120=Parametres!$G$3),I120,C120)</f>
        <v>-421359.73</v>
      </c>
      <c r="O120" s="655">
        <f>+IF(OR($Q120=Parametres!$G$2,$Q120=Parametres!$G$3),J120,D120)</f>
        <v>0</v>
      </c>
      <c r="P120" s="655">
        <f>+IF(OR($Q120=Parametres!$G$2,$Q120=Parametres!$G$3),K120,E120)</f>
        <v>-421359.73</v>
      </c>
      <c r="Q120" s="654" t="str">
        <f t="shared" ref="Q120:S120" si="121">+F120</f>
        <v>2-Actifs</v>
      </c>
      <c r="R120" s="653" t="str">
        <f t="shared" si="121"/>
        <v>1700</v>
      </c>
      <c r="S120" s="654" t="str">
        <f t="shared" si="121"/>
        <v>_</v>
      </c>
      <c r="T120" s="656" t="str">
        <f>+VLOOKUP($L120,Data_Validation!$A:$D,1,0)</f>
        <v>1763</v>
      </c>
      <c r="U120" s="656" t="str">
        <f>+VLOOKUP($L120,Data_Validation!$A:$D,3,0)</f>
        <v>Bilan</v>
      </c>
      <c r="V120" s="656" t="str">
        <f>+VLOOKUP($L120,Data_Validation!$A:$D,4,0)</f>
        <v>Mobilier</v>
      </c>
      <c r="W120" s="656" t="str">
        <f>+VLOOKUP($L120,Data_Validation!$A:$E,5,0)</f>
        <v>$</v>
      </c>
      <c r="X120" s="656">
        <f>+VLOOKUP($L120,Data_Validation!$A:$F,6,0)</f>
        <v>0</v>
      </c>
    </row>
    <row r="121" spans="1:24" ht="15" customHeight="1">
      <c r="A121" s="1252" t="s">
        <v>893</v>
      </c>
      <c r="B121" s="1252" t="s">
        <v>1615</v>
      </c>
      <c r="C121" s="1254">
        <v>3987.88</v>
      </c>
      <c r="D121" s="1254">
        <v>0</v>
      </c>
      <c r="E121" s="1254">
        <v>3987.88</v>
      </c>
      <c r="F121" s="1252" t="s">
        <v>816</v>
      </c>
      <c r="G121" s="1252" t="s">
        <v>885</v>
      </c>
      <c r="H121" s="1252" t="s">
        <v>3955</v>
      </c>
      <c r="I121" s="651"/>
      <c r="J121" s="651"/>
      <c r="K121" s="651"/>
      <c r="L121" s="653" t="str">
        <f t="shared" si="67"/>
        <v>1772</v>
      </c>
      <c r="M121" s="654" t="str">
        <f t="shared" si="0"/>
        <v>VEHICULES DE CIE</v>
      </c>
      <c r="N121" s="655">
        <f>+IF(OR($Q121=Parametres!$G$2,$Q121=Parametres!$G$3),I121,C121)</f>
        <v>3987.88</v>
      </c>
      <c r="O121" s="659">
        <f>+IF(OR($Q121=Parametres!$G$2,$Q121=Parametres!$G$3),J121,D121)</f>
        <v>0</v>
      </c>
      <c r="P121" s="655">
        <f>+IF(OR($Q121=Parametres!$G$2,$Q121=Parametres!$G$3),K121,E121)</f>
        <v>3987.88</v>
      </c>
      <c r="Q121" s="654" t="str">
        <f t="shared" ref="Q121:S121" si="122">+F121</f>
        <v>2-Actifs</v>
      </c>
      <c r="R121" s="653" t="str">
        <f t="shared" si="122"/>
        <v>1700</v>
      </c>
      <c r="S121" s="654" t="str">
        <f t="shared" si="122"/>
        <v>_</v>
      </c>
      <c r="T121" s="656" t="str">
        <f>+VLOOKUP($L121,Data_Validation!$A:$D,1,0)</f>
        <v>1772</v>
      </c>
      <c r="U121" s="656" t="str">
        <f>+VLOOKUP($L121,Data_Validation!$A:$D,3,0)</f>
        <v>Bilan</v>
      </c>
      <c r="V121" s="656" t="str">
        <f>+VLOOKUP($L121,Data_Validation!$A:$D,4,0)</f>
        <v>Équipements Service</v>
      </c>
      <c r="W121" s="656" t="str">
        <f>+VLOOKUP($L121,Data_Validation!$A:$E,5,0)</f>
        <v>$</v>
      </c>
      <c r="X121" s="656">
        <f>+VLOOKUP($L121,Data_Validation!$A:$F,6,0)</f>
        <v>0</v>
      </c>
    </row>
    <row r="122" spans="1:24" ht="15" customHeight="1">
      <c r="A122" s="1252" t="s">
        <v>894</v>
      </c>
      <c r="B122" s="1252" t="s">
        <v>1618</v>
      </c>
      <c r="C122" s="1254">
        <v>-3987.88</v>
      </c>
      <c r="D122" s="1254">
        <v>0</v>
      </c>
      <c r="E122" s="1254">
        <v>-3987.88</v>
      </c>
      <c r="F122" s="1252" t="s">
        <v>816</v>
      </c>
      <c r="G122" s="1252" t="s">
        <v>885</v>
      </c>
      <c r="H122" s="1252" t="s">
        <v>3955</v>
      </c>
      <c r="I122" s="652"/>
      <c r="J122" s="652"/>
      <c r="K122" s="652"/>
      <c r="L122" s="653" t="str">
        <f t="shared" si="67"/>
        <v>1773</v>
      </c>
      <c r="M122" s="654" t="str">
        <f t="shared" si="0"/>
        <v>DEPRECIATION &amp; AMORT.</v>
      </c>
      <c r="N122" s="655">
        <f>+IF(OR($Q122=Parametres!$G$2,$Q122=Parametres!$G$3),I122,C122)</f>
        <v>-3987.88</v>
      </c>
      <c r="O122" s="655">
        <f>+IF(OR($Q122=Parametres!$G$2,$Q122=Parametres!$G$3),J122,D122)</f>
        <v>0</v>
      </c>
      <c r="P122" s="655">
        <f>+IF(OR($Q122=Parametres!$G$2,$Q122=Parametres!$G$3),K122,E122)</f>
        <v>-3987.88</v>
      </c>
      <c r="Q122" s="654" t="str">
        <f t="shared" ref="Q122:S122" si="123">+F122</f>
        <v>2-Actifs</v>
      </c>
      <c r="R122" s="653" t="str">
        <f t="shared" si="123"/>
        <v>1700</v>
      </c>
      <c r="S122" s="654" t="str">
        <f t="shared" si="123"/>
        <v>_</v>
      </c>
      <c r="T122" s="656" t="str">
        <f>+VLOOKUP($L122,Data_Validation!$A:$D,1,0)</f>
        <v>1773</v>
      </c>
      <c r="U122" s="656" t="str">
        <f>+VLOOKUP($L122,Data_Validation!$A:$D,3,0)</f>
        <v>Bilan</v>
      </c>
      <c r="V122" s="656" t="str">
        <f>+VLOOKUP($L122,Data_Validation!$A:$D,4,0)</f>
        <v>Équipements Service</v>
      </c>
      <c r="W122" s="656" t="str">
        <f>+VLOOKUP($L122,Data_Validation!$A:$E,5,0)</f>
        <v>$</v>
      </c>
      <c r="X122" s="656">
        <f>+VLOOKUP($L122,Data_Validation!$A:$F,6,0)</f>
        <v>0</v>
      </c>
    </row>
    <row r="123" spans="1:24" ht="15.75" customHeight="1">
      <c r="A123" s="1252" t="s">
        <v>895</v>
      </c>
      <c r="B123" s="1252" t="s">
        <v>1621</v>
      </c>
      <c r="C123" s="1254">
        <v>187106.07</v>
      </c>
      <c r="D123" s="1254">
        <v>0</v>
      </c>
      <c r="E123" s="1254">
        <v>187106.07</v>
      </c>
      <c r="F123" s="1252" t="s">
        <v>816</v>
      </c>
      <c r="G123" s="1252" t="s">
        <v>885</v>
      </c>
      <c r="H123" s="1252" t="s">
        <v>3955</v>
      </c>
      <c r="I123" s="651"/>
      <c r="J123" s="651"/>
      <c r="K123" s="651"/>
      <c r="L123" s="653" t="str">
        <f t="shared" si="67"/>
        <v>1786</v>
      </c>
      <c r="M123" s="654" t="str">
        <f t="shared" si="0"/>
        <v>EQUIPEMENT INFORMATIQUE</v>
      </c>
      <c r="N123" s="655">
        <f>+IF(OR($Q123=Parametres!$G$2,$Q123=Parametres!$G$3),I123,C123)</f>
        <v>187106.07</v>
      </c>
      <c r="O123" s="659">
        <f>+IF(OR($Q123=Parametres!$G$2,$Q123=Parametres!$G$3),J123,D123)</f>
        <v>0</v>
      </c>
      <c r="P123" s="655">
        <f>+IF(OR($Q123=Parametres!$G$2,$Q123=Parametres!$G$3),K123,E123)</f>
        <v>187106.07</v>
      </c>
      <c r="Q123" s="654" t="str">
        <f t="shared" ref="Q123:S123" si="124">+F123</f>
        <v>2-Actifs</v>
      </c>
      <c r="R123" s="653" t="str">
        <f t="shared" si="124"/>
        <v>1700</v>
      </c>
      <c r="S123" s="654" t="str">
        <f t="shared" si="124"/>
        <v>_</v>
      </c>
      <c r="T123" s="656" t="str">
        <f>+VLOOKUP($L123,Data_Validation!$A:$D,1,0)</f>
        <v>1786</v>
      </c>
      <c r="U123" s="656" t="str">
        <f>+VLOOKUP($L123,Data_Validation!$A:$D,3,0)</f>
        <v>Bilan</v>
      </c>
      <c r="V123" s="656" t="str">
        <f>+VLOOKUP($L123,Data_Validation!$A:$D,4,0)</f>
        <v>Équipements Informatique</v>
      </c>
      <c r="W123" s="656" t="str">
        <f>+VLOOKUP($L123,Data_Validation!$A:$E,5,0)</f>
        <v>$</v>
      </c>
      <c r="X123" s="656">
        <f>+VLOOKUP($L123,Data_Validation!$A:$F,6,0)</f>
        <v>0</v>
      </c>
    </row>
    <row r="124" spans="1:24" ht="15" customHeight="1">
      <c r="A124" s="1252" t="s">
        <v>896</v>
      </c>
      <c r="B124" s="1252" t="s">
        <v>1624</v>
      </c>
      <c r="C124" s="1254">
        <v>-129236.24</v>
      </c>
      <c r="D124" s="1254">
        <v>0</v>
      </c>
      <c r="E124" s="1254">
        <v>-129236.24</v>
      </c>
      <c r="F124" s="1252" t="s">
        <v>816</v>
      </c>
      <c r="G124" s="1252" t="s">
        <v>885</v>
      </c>
      <c r="H124" s="1252" t="s">
        <v>3955</v>
      </c>
      <c r="I124" s="652"/>
      <c r="J124" s="652"/>
      <c r="K124" s="652"/>
      <c r="L124" s="653" t="str">
        <f t="shared" si="67"/>
        <v>1787</v>
      </c>
      <c r="M124" s="654" t="str">
        <f t="shared" si="0"/>
        <v>AMORTISS.EQUIP.INFORMATIQUES</v>
      </c>
      <c r="N124" s="655">
        <f>+IF(OR($Q124=Parametres!$G$2,$Q124=Parametres!$G$3),I124,C124)</f>
        <v>-129236.24</v>
      </c>
      <c r="O124" s="655">
        <f>+IF(OR($Q124=Parametres!$G$2,$Q124=Parametres!$G$3),J124,D124)</f>
        <v>0</v>
      </c>
      <c r="P124" s="655">
        <f>+IF(OR($Q124=Parametres!$G$2,$Q124=Parametres!$G$3),K124,E124)</f>
        <v>-129236.24</v>
      </c>
      <c r="Q124" s="654" t="str">
        <f t="shared" ref="Q124:S124" si="125">+F124</f>
        <v>2-Actifs</v>
      </c>
      <c r="R124" s="653" t="str">
        <f t="shared" si="125"/>
        <v>1700</v>
      </c>
      <c r="S124" s="654" t="str">
        <f t="shared" si="125"/>
        <v>_</v>
      </c>
      <c r="T124" s="656" t="str">
        <f>+VLOOKUP($L124,Data_Validation!$A:$D,1,0)</f>
        <v>1787</v>
      </c>
      <c r="U124" s="656" t="str">
        <f>+VLOOKUP($L124,Data_Validation!$A:$D,3,0)</f>
        <v>Bilan</v>
      </c>
      <c r="V124" s="656" t="str">
        <f>+VLOOKUP($L124,Data_Validation!$A:$D,4,0)</f>
        <v>Équipements Informatique</v>
      </c>
      <c r="W124" s="656" t="str">
        <f>+VLOOKUP($L124,Data_Validation!$A:$E,5,0)</f>
        <v>$</v>
      </c>
      <c r="X124" s="656">
        <f>+VLOOKUP($L124,Data_Validation!$A:$F,6,0)</f>
        <v>0</v>
      </c>
    </row>
    <row r="125" spans="1:24" ht="15" customHeight="1">
      <c r="A125" s="1252" t="s">
        <v>897</v>
      </c>
      <c r="B125" s="1252" t="s">
        <v>1627</v>
      </c>
      <c r="C125" s="1254">
        <v>119393.66</v>
      </c>
      <c r="D125" s="1254">
        <v>0</v>
      </c>
      <c r="E125" s="1254">
        <v>119393.66</v>
      </c>
      <c r="F125" s="1252" t="s">
        <v>816</v>
      </c>
      <c r="G125" s="1252" t="s">
        <v>885</v>
      </c>
      <c r="H125" s="1252" t="s">
        <v>3955</v>
      </c>
      <c r="I125" s="651"/>
      <c r="J125" s="651"/>
      <c r="K125" s="651"/>
      <c r="L125" s="653" t="str">
        <f t="shared" si="67"/>
        <v>1792</v>
      </c>
      <c r="M125" s="654" t="str">
        <f t="shared" si="0"/>
        <v>ENSEIGNES</v>
      </c>
      <c r="N125" s="655">
        <f>+IF(OR($Q125=Parametres!$G$2,$Q125=Parametres!$G$3),I125,C125)</f>
        <v>119393.66</v>
      </c>
      <c r="O125" s="655">
        <f>+IF(OR($Q125=Parametres!$G$2,$Q125=Parametres!$G$3),J125,D125)</f>
        <v>0</v>
      </c>
      <c r="P125" s="655">
        <f>+IF(OR($Q125=Parametres!$G$2,$Q125=Parametres!$G$3),K125,E125)</f>
        <v>119393.66</v>
      </c>
      <c r="Q125" s="654" t="str">
        <f t="shared" ref="Q125:S125" si="126">+F125</f>
        <v>2-Actifs</v>
      </c>
      <c r="R125" s="653" t="str">
        <f t="shared" si="126"/>
        <v>1700</v>
      </c>
      <c r="S125" s="654" t="str">
        <f t="shared" si="126"/>
        <v>_</v>
      </c>
      <c r="T125" s="656" t="str">
        <f>+VLOOKUP($L125,Data_Validation!$A:$D,1,0)</f>
        <v>1792</v>
      </c>
      <c r="U125" s="656" t="str">
        <f>+VLOOKUP($L125,Data_Validation!$A:$D,3,0)</f>
        <v>Bilan</v>
      </c>
      <c r="V125" s="656" t="str">
        <f>+VLOOKUP($L125,Data_Validation!$A:$D,4,0)</f>
        <v>Enseigne</v>
      </c>
      <c r="W125" s="656" t="str">
        <f>+VLOOKUP($L125,Data_Validation!$A:$E,5,0)</f>
        <v>$</v>
      </c>
      <c r="X125" s="656">
        <f>+VLOOKUP($L125,Data_Validation!$A:$F,6,0)</f>
        <v>0</v>
      </c>
    </row>
    <row r="126" spans="1:24" ht="15" customHeight="1">
      <c r="A126" s="1252" t="s">
        <v>898</v>
      </c>
      <c r="B126" s="1252" t="s">
        <v>1630</v>
      </c>
      <c r="C126" s="1254">
        <v>-119393.65</v>
      </c>
      <c r="D126" s="1254">
        <v>0</v>
      </c>
      <c r="E126" s="1254">
        <v>-119393.65</v>
      </c>
      <c r="F126" s="1252" t="s">
        <v>816</v>
      </c>
      <c r="G126" s="1252" t="s">
        <v>885</v>
      </c>
      <c r="H126" s="1252" t="s">
        <v>3955</v>
      </c>
      <c r="I126" s="652"/>
      <c r="J126" s="652"/>
      <c r="K126" s="652"/>
      <c r="L126" s="653" t="str">
        <f t="shared" si="67"/>
        <v>1793</v>
      </c>
      <c r="M126" s="654" t="str">
        <f t="shared" si="0"/>
        <v>AMORT. CUM. ENSEIGNES</v>
      </c>
      <c r="N126" s="655">
        <f>+IF(OR($Q126=Parametres!$G$2,$Q126=Parametres!$G$3),I126,C126)</f>
        <v>-119393.65</v>
      </c>
      <c r="O126" s="655">
        <f>+IF(OR($Q126=Parametres!$G$2,$Q126=Parametres!$G$3),J126,D126)</f>
        <v>0</v>
      </c>
      <c r="P126" s="655">
        <f>+IF(OR($Q126=Parametres!$G$2,$Q126=Parametres!$G$3),K126,E126)</f>
        <v>-119393.65</v>
      </c>
      <c r="Q126" s="654" t="str">
        <f t="shared" ref="Q126:S126" si="127">+F126</f>
        <v>2-Actifs</v>
      </c>
      <c r="R126" s="653" t="str">
        <f t="shared" si="127"/>
        <v>1700</v>
      </c>
      <c r="S126" s="654" t="str">
        <f t="shared" si="127"/>
        <v>_</v>
      </c>
      <c r="T126" s="656" t="str">
        <f>+VLOOKUP($L126,Data_Validation!$A:$D,1,0)</f>
        <v>1793</v>
      </c>
      <c r="U126" s="656" t="str">
        <f>+VLOOKUP($L126,Data_Validation!$A:$D,3,0)</f>
        <v>Bilan</v>
      </c>
      <c r="V126" s="656" t="str">
        <f>+VLOOKUP($L126,Data_Validation!$A:$D,4,0)</f>
        <v>Enseigne</v>
      </c>
      <c r="W126" s="656" t="str">
        <f>+VLOOKUP($L126,Data_Validation!$A:$E,5,0)</f>
        <v>$</v>
      </c>
      <c r="X126" s="656">
        <f>+VLOOKUP($L126,Data_Validation!$A:$F,6,0)</f>
        <v>0</v>
      </c>
    </row>
    <row r="127" spans="1:24" ht="15" customHeight="1">
      <c r="A127" s="1252" t="s">
        <v>3335</v>
      </c>
      <c r="B127" s="1252" t="s">
        <v>899</v>
      </c>
      <c r="C127" s="1254">
        <v>1223600</v>
      </c>
      <c r="D127" s="1254">
        <v>-500000</v>
      </c>
      <c r="E127" s="1254">
        <v>723600</v>
      </c>
      <c r="F127" s="1252" t="s">
        <v>816</v>
      </c>
      <c r="G127" s="1252" t="s">
        <v>899</v>
      </c>
      <c r="H127" s="1252" t="s">
        <v>3955</v>
      </c>
      <c r="I127" s="663"/>
      <c r="J127" s="663"/>
      <c r="K127" s="663"/>
      <c r="L127" s="653" t="str">
        <f t="shared" si="67"/>
        <v>1804</v>
      </c>
      <c r="M127" s="654" t="str">
        <f t="shared" si="0"/>
        <v>AVANCES COMPLEXE INTERCO</v>
      </c>
      <c r="N127" s="655">
        <f>+IF(OR($Q127=Parametres!$G$2,$Q127=Parametres!$G$3),I127,C127)</f>
        <v>1223600</v>
      </c>
      <c r="O127" s="655">
        <f>+IF(OR($Q127=Parametres!$G$2,$Q127=Parametres!$G$3),J127,D127)</f>
        <v>-500000</v>
      </c>
      <c r="P127" s="655">
        <f>+IF(OR($Q127=Parametres!$G$2,$Q127=Parametres!$G$3),K127,E127)</f>
        <v>723600</v>
      </c>
      <c r="Q127" s="654" t="str">
        <f t="shared" ref="Q127:S127" si="128">+F127</f>
        <v>2-Actifs</v>
      </c>
      <c r="R127" s="653" t="str">
        <f t="shared" si="128"/>
        <v>1804</v>
      </c>
      <c r="S127" s="654" t="str">
        <f t="shared" si="128"/>
        <v>_</v>
      </c>
      <c r="T127" s="656" t="str">
        <f>+VLOOKUP($L127,Data_Validation!$A:$D,1,0)</f>
        <v>1804</v>
      </c>
      <c r="U127" s="656" t="str">
        <f>+VLOOKUP($L127,Data_Validation!$A:$D,3,0)</f>
        <v>Bilan</v>
      </c>
      <c r="V127" s="656" t="str">
        <f>+VLOOKUP($L127,Data_Validation!$A:$D,4,0)</f>
        <v>Avances à Recevoir Long Terme</v>
      </c>
      <c r="W127" s="656" t="str">
        <f>+VLOOKUP($L127,Data_Validation!$A:$E,5,0)</f>
        <v>$</v>
      </c>
      <c r="X127" s="656">
        <f>+VLOOKUP($L127,Data_Validation!$A:$F,6,0)</f>
        <v>0</v>
      </c>
    </row>
    <row r="128" spans="1:24" ht="15" customHeight="1">
      <c r="A128" s="1252" t="s">
        <v>900</v>
      </c>
      <c r="B128" s="1252" t="s">
        <v>1635</v>
      </c>
      <c r="C128" s="1254">
        <v>1675</v>
      </c>
      <c r="D128" s="1254">
        <v>113.56</v>
      </c>
      <c r="E128" s="1254">
        <v>1788.56</v>
      </c>
      <c r="F128" s="1252" t="s">
        <v>816</v>
      </c>
      <c r="G128" s="1252" t="s">
        <v>821</v>
      </c>
      <c r="H128" s="1252" t="s">
        <v>3955</v>
      </c>
      <c r="I128" s="652"/>
      <c r="J128" s="652"/>
      <c r="K128" s="652"/>
      <c r="L128" s="653" t="str">
        <f t="shared" si="67"/>
        <v>1806</v>
      </c>
      <c r="M128" s="654" t="str">
        <f t="shared" si="0"/>
        <v>FINANCEMENT RECEVABLE</v>
      </c>
      <c r="N128" s="655">
        <f>+IF(OR($Q128=Parametres!$G$2,$Q128=Parametres!$G$3),I128,C128)</f>
        <v>1675</v>
      </c>
      <c r="O128" s="655">
        <f>+IF(OR($Q128=Parametres!$G$2,$Q128=Parametres!$G$3),J128,D128)</f>
        <v>113.56</v>
      </c>
      <c r="P128" s="655">
        <f>+IF(OR($Q128=Parametres!$G$2,$Q128=Parametres!$G$3),K128,E128)</f>
        <v>1788.56</v>
      </c>
      <c r="Q128" s="654" t="str">
        <f t="shared" ref="Q128:S128" si="129">+F128</f>
        <v>2-Actifs</v>
      </c>
      <c r="R128" s="653" t="str">
        <f t="shared" si="129"/>
        <v>1382</v>
      </c>
      <c r="S128" s="654" t="str">
        <f t="shared" si="129"/>
        <v>_</v>
      </c>
      <c r="T128" s="656" t="str">
        <f>+VLOOKUP($L128,Data_Validation!$A:$D,1,0)</f>
        <v>1806</v>
      </c>
      <c r="U128" s="656" t="str">
        <f>+VLOOKUP($L128,Data_Validation!$A:$D,3,0)</f>
        <v>Bilan</v>
      </c>
      <c r="V128" s="656" t="str">
        <f>+VLOOKUP($L128,Data_Validation!$A:$D,4,0)</f>
        <v>Recevables Autres</v>
      </c>
      <c r="W128" s="656" t="str">
        <f>+VLOOKUP($L128,Data_Validation!$A:$E,5,0)</f>
        <v>$</v>
      </c>
      <c r="X128" s="656">
        <f>+VLOOKUP($L128,Data_Validation!$A:$F,6,0)</f>
        <v>0</v>
      </c>
    </row>
    <row r="129" spans="1:24" ht="15" customHeight="1">
      <c r="A129" s="1252" t="s">
        <v>901</v>
      </c>
      <c r="B129" s="1252" t="s">
        <v>903</v>
      </c>
      <c r="C129" s="1254">
        <v>-5934788.5700000003</v>
      </c>
      <c r="D129" s="1254">
        <v>1793856.33</v>
      </c>
      <c r="E129" s="1254">
        <v>-4140932.24</v>
      </c>
      <c r="F129" s="1252" t="s">
        <v>902</v>
      </c>
      <c r="G129" s="1252" t="s">
        <v>903</v>
      </c>
      <c r="H129" s="1252" t="s">
        <v>3955</v>
      </c>
      <c r="I129" s="663"/>
      <c r="J129" s="663"/>
      <c r="K129" s="663"/>
      <c r="L129" s="653" t="str">
        <f t="shared" si="67"/>
        <v>2101</v>
      </c>
      <c r="M129" s="654" t="str">
        <f t="shared" si="0"/>
        <v>NOTE A PAYER VEH. NEUFS VOLKS</v>
      </c>
      <c r="N129" s="655">
        <f>+IF(OR($Q129=Parametres!$G$2,$Q129=Parametres!$G$3),I129,C129)</f>
        <v>-5934788.5700000003</v>
      </c>
      <c r="O129" s="655">
        <f>+IF(OR($Q129=Parametres!$G$2,$Q129=Parametres!$G$3),J129,D129)</f>
        <v>1793856.33</v>
      </c>
      <c r="P129" s="655">
        <f>+IF(OR($Q129=Parametres!$G$2,$Q129=Parametres!$G$3),K129,E129)</f>
        <v>-4140932.24</v>
      </c>
      <c r="Q129" s="654" t="str">
        <f t="shared" ref="Q129:S129" si="130">+F129</f>
        <v>3-Passifs</v>
      </c>
      <c r="R129" s="653" t="str">
        <f t="shared" si="130"/>
        <v>2101</v>
      </c>
      <c r="S129" s="654" t="str">
        <f t="shared" si="130"/>
        <v>_</v>
      </c>
      <c r="T129" s="656" t="str">
        <f>+VLOOKUP($L129,Data_Validation!$A:$D,1,0)</f>
        <v>2101</v>
      </c>
      <c r="U129" s="656" t="str">
        <f>+VLOOKUP($L129,Data_Validation!$A:$D,3,0)</f>
        <v>Bilan</v>
      </c>
      <c r="V129" s="656" t="str">
        <f>+VLOOKUP($L129,Data_Validation!$A:$D,4,0)</f>
        <v>Effet à Payer Véhicules Neufs</v>
      </c>
      <c r="W129" s="656" t="str">
        <f>+VLOOKUP($L129,Data_Validation!$A:$E,5,0)</f>
        <v>$</v>
      </c>
      <c r="X129" s="656">
        <f>+VLOOKUP($L129,Data_Validation!$A:$F,6,0)</f>
        <v>0</v>
      </c>
    </row>
    <row r="130" spans="1:24" ht="15" customHeight="1">
      <c r="A130" s="1252" t="s">
        <v>904</v>
      </c>
      <c r="B130" s="1252" t="s">
        <v>905</v>
      </c>
      <c r="C130" s="1254">
        <v>-356015.69</v>
      </c>
      <c r="D130" s="1254">
        <v>-411841.45</v>
      </c>
      <c r="E130" s="1254">
        <v>-767857.14</v>
      </c>
      <c r="F130" s="1252" t="s">
        <v>902</v>
      </c>
      <c r="G130" s="1252" t="s">
        <v>905</v>
      </c>
      <c r="H130" s="1252" t="s">
        <v>3955</v>
      </c>
      <c r="I130" s="651"/>
      <c r="J130" s="651"/>
      <c r="K130" s="651"/>
      <c r="L130" s="653" t="str">
        <f t="shared" si="67"/>
        <v>2103</v>
      </c>
      <c r="M130" s="654" t="str">
        <f t="shared" si="0"/>
        <v>NOTE PAYABLE-FIN. VEH. USAG.</v>
      </c>
      <c r="N130" s="655">
        <f>+IF(OR($Q130=Parametres!$G$2,$Q130=Parametres!$G$3),I130,C130)</f>
        <v>-356015.69</v>
      </c>
      <c r="O130" s="655">
        <f>+IF(OR($Q130=Parametres!$G$2,$Q130=Parametres!$G$3),J130,D130)</f>
        <v>-411841.45</v>
      </c>
      <c r="P130" s="655">
        <f>+IF(OR($Q130=Parametres!$G$2,$Q130=Parametres!$G$3),K130,E130)</f>
        <v>-767857.14</v>
      </c>
      <c r="Q130" s="654" t="str">
        <f t="shared" ref="Q130:S130" si="131">+F130</f>
        <v>3-Passifs</v>
      </c>
      <c r="R130" s="653" t="str">
        <f t="shared" si="131"/>
        <v>2103</v>
      </c>
      <c r="S130" s="654" t="str">
        <f t="shared" si="131"/>
        <v>_</v>
      </c>
      <c r="T130" s="656" t="str">
        <f>+VLOOKUP($L130,Data_Validation!$A:$D,1,0)</f>
        <v>2103</v>
      </c>
      <c r="U130" s="656" t="str">
        <f>+VLOOKUP($L130,Data_Validation!$A:$D,3,0)</f>
        <v>Bilan</v>
      </c>
      <c r="V130" s="656" t="str">
        <f>+VLOOKUP($L130,Data_Validation!$A:$D,4,0)</f>
        <v>Effet à Payer Véhicules Usagés</v>
      </c>
      <c r="W130" s="656" t="str">
        <f>+VLOOKUP($L130,Data_Validation!$A:$E,5,0)</f>
        <v>$</v>
      </c>
      <c r="X130" s="656">
        <f>+VLOOKUP($L130,Data_Validation!$A:$F,6,0)</f>
        <v>0</v>
      </c>
    </row>
    <row r="131" spans="1:24" ht="15.75" customHeight="1">
      <c r="A131" s="1252" t="s">
        <v>910</v>
      </c>
      <c r="B131" s="1252" t="s">
        <v>911</v>
      </c>
      <c r="C131" s="1254">
        <v>-131440.59</v>
      </c>
      <c r="D131" s="1254">
        <v>34333.86</v>
      </c>
      <c r="E131" s="1254">
        <v>-97106.73</v>
      </c>
      <c r="F131" s="1252" t="s">
        <v>902</v>
      </c>
      <c r="G131" s="1252" t="s">
        <v>911</v>
      </c>
      <c r="H131" s="1252" t="s">
        <v>3955</v>
      </c>
      <c r="I131" s="651"/>
      <c r="J131" s="651"/>
      <c r="K131" s="651"/>
      <c r="L131" s="653" t="str">
        <f t="shared" ref="L131:L179" si="132">TEXT(B131,0)</f>
        <v>2221</v>
      </c>
      <c r="M131" s="654" t="str">
        <f t="shared" si="0"/>
        <v>TVQ A PAYER</v>
      </c>
      <c r="N131" s="655">
        <f>+IF(OR($Q131=Parametres!$G$2,$Q131=Parametres!$G$3),I131,C131)</f>
        <v>-131440.59</v>
      </c>
      <c r="O131" s="659">
        <f>+IF(OR($Q131=Parametres!$G$2,$Q131=Parametres!$G$3),J131,D131)</f>
        <v>34333.86</v>
      </c>
      <c r="P131" s="655">
        <f>+IF(OR($Q131=Parametres!$G$2,$Q131=Parametres!$G$3),K131,E131)</f>
        <v>-97106.73</v>
      </c>
      <c r="Q131" s="654" t="str">
        <f t="shared" ref="Q131:S131" si="133">+F131</f>
        <v>3-Passifs</v>
      </c>
      <c r="R131" s="653" t="str">
        <f t="shared" si="133"/>
        <v>2221</v>
      </c>
      <c r="S131" s="654" t="str">
        <f t="shared" si="133"/>
        <v>_</v>
      </c>
      <c r="T131" s="656" t="str">
        <f>+VLOOKUP($L131,Data_Validation!$A:$D,1,0)</f>
        <v>2221</v>
      </c>
      <c r="U131" s="656" t="str">
        <f>+VLOOKUP($L131,Data_Validation!$A:$D,3,0)</f>
        <v>Bilan</v>
      </c>
      <c r="V131" s="656" t="str">
        <f>+VLOOKUP($L131,Data_Validation!$A:$D,4,0)</f>
        <v>Taxes de Vente à Payer</v>
      </c>
      <c r="W131" s="656" t="str">
        <f>+VLOOKUP($L131,Data_Validation!$A:$E,5,0)</f>
        <v>$</v>
      </c>
      <c r="X131" s="656">
        <f>+VLOOKUP($L131,Data_Validation!$A:$F,6,0)</f>
        <v>0</v>
      </c>
    </row>
    <row r="132" spans="1:24" ht="15" customHeight="1">
      <c r="A132" s="1252" t="s">
        <v>912</v>
      </c>
      <c r="B132" s="1252" t="s">
        <v>1652</v>
      </c>
      <c r="C132" s="1254">
        <v>60254.65</v>
      </c>
      <c r="D132" s="1254">
        <v>5133.8100000000004</v>
      </c>
      <c r="E132" s="1254">
        <v>65388.46</v>
      </c>
      <c r="F132" s="1252" t="s">
        <v>902</v>
      </c>
      <c r="G132" s="1252" t="s">
        <v>911</v>
      </c>
      <c r="H132" s="1252" t="s">
        <v>3955</v>
      </c>
      <c r="I132" s="651"/>
      <c r="J132" s="651"/>
      <c r="K132" s="651"/>
      <c r="L132" s="653" t="str">
        <f t="shared" si="132"/>
        <v>2222</v>
      </c>
      <c r="M132" s="654" t="str">
        <f t="shared" si="0"/>
        <v>TVQ A RECEVOIR</v>
      </c>
      <c r="N132" s="655">
        <f>+IF(OR($Q132=Parametres!$G$2,$Q132=Parametres!$G$3),I132,C132)</f>
        <v>60254.65</v>
      </c>
      <c r="O132" s="655">
        <f>+IF(OR($Q132=Parametres!$G$2,$Q132=Parametres!$G$3),J132,D132)</f>
        <v>5133.8100000000004</v>
      </c>
      <c r="P132" s="655">
        <f>+IF(OR($Q132=Parametres!$G$2,$Q132=Parametres!$G$3),K132,E132)</f>
        <v>65388.46</v>
      </c>
      <c r="Q132" s="654" t="str">
        <f t="shared" ref="Q132:S132" si="134">+F132</f>
        <v>3-Passifs</v>
      </c>
      <c r="R132" s="653" t="str">
        <f t="shared" si="134"/>
        <v>2221</v>
      </c>
      <c r="S132" s="654" t="str">
        <f t="shared" si="134"/>
        <v>_</v>
      </c>
      <c r="T132" s="656" t="str">
        <f>+VLOOKUP($L132,Data_Validation!$A:$D,1,0)</f>
        <v>2222</v>
      </c>
      <c r="U132" s="656" t="str">
        <f>+VLOOKUP($L132,Data_Validation!$A:$D,3,0)</f>
        <v>Bilan</v>
      </c>
      <c r="V132" s="656" t="str">
        <f>+VLOOKUP($L132,Data_Validation!$A:$D,4,0)</f>
        <v>Taxes de Vente à Payer</v>
      </c>
      <c r="W132" s="656" t="str">
        <f>+VLOOKUP($L132,Data_Validation!$A:$E,5,0)</f>
        <v>$</v>
      </c>
      <c r="X132" s="656">
        <f>+VLOOKUP($L132,Data_Validation!$A:$F,6,0)</f>
        <v>0</v>
      </c>
    </row>
    <row r="133" spans="1:24" ht="15" customHeight="1">
      <c r="A133" s="1252" t="s">
        <v>913</v>
      </c>
      <c r="B133" s="1252" t="s">
        <v>914</v>
      </c>
      <c r="C133" s="1254">
        <v>-263455.39</v>
      </c>
      <c r="D133" s="1254">
        <v>-25153.46</v>
      </c>
      <c r="E133" s="1254">
        <v>-288608.84999999998</v>
      </c>
      <c r="F133" s="1252" t="s">
        <v>902</v>
      </c>
      <c r="G133" s="1252" t="s">
        <v>914</v>
      </c>
      <c r="H133" s="1252" t="s">
        <v>3955</v>
      </c>
      <c r="I133" s="652"/>
      <c r="J133" s="652"/>
      <c r="K133" s="652"/>
      <c r="L133" s="653" t="str">
        <f t="shared" si="132"/>
        <v>2223</v>
      </c>
      <c r="M133" s="654" t="str">
        <f t="shared" si="0"/>
        <v>TPS A PAYER</v>
      </c>
      <c r="N133" s="655">
        <f>+IF(OR($Q133=Parametres!$G$2,$Q133=Parametres!$G$3),I133,C133)</f>
        <v>-263455.39</v>
      </c>
      <c r="O133" s="655">
        <f>+IF(OR($Q133=Parametres!$G$2,$Q133=Parametres!$G$3),J133,D133)</f>
        <v>-25153.46</v>
      </c>
      <c r="P133" s="655">
        <f>+IF(OR($Q133=Parametres!$G$2,$Q133=Parametres!$G$3),K133,E133)</f>
        <v>-288608.84999999998</v>
      </c>
      <c r="Q133" s="654" t="str">
        <f t="shared" ref="Q133:S133" si="135">+F133</f>
        <v>3-Passifs</v>
      </c>
      <c r="R133" s="653" t="str">
        <f t="shared" si="135"/>
        <v>2223</v>
      </c>
      <c r="S133" s="654" t="str">
        <f t="shared" si="135"/>
        <v>_</v>
      </c>
      <c r="T133" s="656" t="str">
        <f>+VLOOKUP($L133,Data_Validation!$A:$D,1,0)</f>
        <v>2223</v>
      </c>
      <c r="U133" s="656" t="str">
        <f>+VLOOKUP($L133,Data_Validation!$A:$D,3,0)</f>
        <v>Bilan</v>
      </c>
      <c r="V133" s="656" t="str">
        <f>+VLOOKUP($L133,Data_Validation!$A:$D,4,0)</f>
        <v>Taxes de Vente à Payer</v>
      </c>
      <c r="W133" s="656" t="str">
        <f>+VLOOKUP($L133,Data_Validation!$A:$E,5,0)</f>
        <v>$</v>
      </c>
      <c r="X133" s="656">
        <f>+VLOOKUP($L133,Data_Validation!$A:$F,6,0)</f>
        <v>0</v>
      </c>
    </row>
    <row r="134" spans="1:24" ht="15" customHeight="1">
      <c r="A134" s="1252" t="s">
        <v>915</v>
      </c>
      <c r="B134" s="1252" t="s">
        <v>1657</v>
      </c>
      <c r="C134" s="1254">
        <v>163017.67000000001</v>
      </c>
      <c r="D134" s="1254">
        <v>97061.5</v>
      </c>
      <c r="E134" s="1254">
        <v>260079.17</v>
      </c>
      <c r="F134" s="1252" t="s">
        <v>902</v>
      </c>
      <c r="G134" s="1252" t="s">
        <v>914</v>
      </c>
      <c r="H134" s="1252" t="s">
        <v>3955</v>
      </c>
      <c r="I134" s="652"/>
      <c r="J134" s="652"/>
      <c r="K134" s="652"/>
      <c r="L134" s="653" t="str">
        <f t="shared" si="132"/>
        <v>2224</v>
      </c>
      <c r="M134" s="654" t="str">
        <f t="shared" si="0"/>
        <v>TPS A RECEVOIR</v>
      </c>
      <c r="N134" s="655">
        <f>+IF(OR($Q134=Parametres!$G$2,$Q134=Parametres!$G$3),I134,C134)</f>
        <v>163017.67000000001</v>
      </c>
      <c r="O134" s="655">
        <f>+IF(OR($Q134=Parametres!$G$2,$Q134=Parametres!$G$3),J134,D134)</f>
        <v>97061.5</v>
      </c>
      <c r="P134" s="655">
        <f>+IF(OR($Q134=Parametres!$G$2,$Q134=Parametres!$G$3),K134,E134)</f>
        <v>260079.17</v>
      </c>
      <c r="Q134" s="654" t="str">
        <f t="shared" ref="Q134:S134" si="136">+F134</f>
        <v>3-Passifs</v>
      </c>
      <c r="R134" s="653" t="str">
        <f t="shared" si="136"/>
        <v>2223</v>
      </c>
      <c r="S134" s="654" t="str">
        <f t="shared" si="136"/>
        <v>_</v>
      </c>
      <c r="T134" s="656" t="str">
        <f>+VLOOKUP($L134,Data_Validation!$A:$D,1,0)</f>
        <v>2224</v>
      </c>
      <c r="U134" s="656" t="str">
        <f>+VLOOKUP($L134,Data_Validation!$A:$D,3,0)</f>
        <v>Bilan</v>
      </c>
      <c r="V134" s="656" t="str">
        <f>+VLOOKUP($L134,Data_Validation!$A:$D,4,0)</f>
        <v>Taxes de Vente à Payer</v>
      </c>
      <c r="W134" s="656" t="str">
        <f>+VLOOKUP($L134,Data_Validation!$A:$E,5,0)</f>
        <v>$</v>
      </c>
      <c r="X134" s="656">
        <f>+VLOOKUP($L134,Data_Validation!$A:$F,6,0)</f>
        <v>0</v>
      </c>
    </row>
    <row r="135" spans="1:24" ht="15.75" customHeight="1">
      <c r="A135" s="1252" t="s">
        <v>916</v>
      </c>
      <c r="B135" s="1252" t="s">
        <v>1660</v>
      </c>
      <c r="C135" s="1254">
        <v>-1651.5</v>
      </c>
      <c r="D135" s="1254">
        <v>-292.5</v>
      </c>
      <c r="E135" s="1254">
        <v>-1944</v>
      </c>
      <c r="F135" s="1252" t="s">
        <v>902</v>
      </c>
      <c r="G135" s="1252" t="s">
        <v>911</v>
      </c>
      <c r="H135" s="1252" t="s">
        <v>3955</v>
      </c>
      <c r="I135" s="652"/>
      <c r="J135" s="652"/>
      <c r="K135" s="652"/>
      <c r="L135" s="653" t="str">
        <f t="shared" si="132"/>
        <v>2225</v>
      </c>
      <c r="M135" s="654" t="str">
        <f t="shared" si="0"/>
        <v>DROIT SUR PNEUS</v>
      </c>
      <c r="N135" s="655">
        <f>+IF(OR($Q135=Parametres!$G$2,$Q135=Parametres!$G$3),I135,C135)</f>
        <v>-1651.5</v>
      </c>
      <c r="O135" s="655">
        <f>+IF(OR($Q135=Parametres!$G$2,$Q135=Parametres!$G$3),J135,D135)</f>
        <v>-292.5</v>
      </c>
      <c r="P135" s="655">
        <f>+IF(OR($Q135=Parametres!$G$2,$Q135=Parametres!$G$3),K135,E135)</f>
        <v>-1944</v>
      </c>
      <c r="Q135" s="654" t="str">
        <f t="shared" ref="Q135:S135" si="137">+F135</f>
        <v>3-Passifs</v>
      </c>
      <c r="R135" s="653" t="str">
        <f t="shared" si="137"/>
        <v>2221</v>
      </c>
      <c r="S135" s="654" t="str">
        <f t="shared" si="137"/>
        <v>_</v>
      </c>
      <c r="T135" s="656" t="str">
        <f>+VLOOKUP($L135,Data_Validation!$A:$D,1,0)</f>
        <v>2225</v>
      </c>
      <c r="U135" s="656" t="str">
        <f>+VLOOKUP($L135,Data_Validation!$A:$D,3,0)</f>
        <v>Bilan</v>
      </c>
      <c r="V135" s="656" t="str">
        <f>+VLOOKUP($L135,Data_Validation!$A:$D,4,0)</f>
        <v>Taxes de Vente à Payer</v>
      </c>
      <c r="W135" s="656" t="str">
        <f>+VLOOKUP($L135,Data_Validation!$A:$E,5,0)</f>
        <v>$</v>
      </c>
      <c r="X135" s="656">
        <f>+VLOOKUP($L135,Data_Validation!$A:$F,6,0)</f>
        <v>0</v>
      </c>
    </row>
    <row r="136" spans="1:24" ht="15" customHeight="1">
      <c r="A136" s="1252" t="s">
        <v>917</v>
      </c>
      <c r="B136" s="1252" t="s">
        <v>1663</v>
      </c>
      <c r="C136" s="1254">
        <v>-144749.04999999999</v>
      </c>
      <c r="D136" s="1254">
        <v>-88516.02</v>
      </c>
      <c r="E136" s="1254">
        <v>-233265.07</v>
      </c>
      <c r="F136" s="1252" t="s">
        <v>902</v>
      </c>
      <c r="G136" s="1252" t="s">
        <v>918</v>
      </c>
      <c r="H136" s="1252" t="s">
        <v>3955</v>
      </c>
      <c r="I136" s="652"/>
      <c r="J136" s="652"/>
      <c r="K136" s="652"/>
      <c r="L136" s="653" t="str">
        <f t="shared" ref="L136:L151" si="138">TEXT(B136,0)</f>
        <v>2281</v>
      </c>
      <c r="M136" s="654" t="str">
        <f t="shared" ref="M136:M151" si="139">+A136</f>
        <v>LIEN A PAYER</v>
      </c>
      <c r="N136" s="655">
        <f>+IF(OR($Q136=Parametres!$G$2,$Q136=Parametres!$G$3),I136,C136)</f>
        <v>-144749.04999999999</v>
      </c>
      <c r="O136" s="655">
        <f>+IF(OR($Q136=Parametres!$G$2,$Q136=Parametres!$G$3),J136,D136)</f>
        <v>-88516.02</v>
      </c>
      <c r="P136" s="655">
        <f>+IF(OR($Q136=Parametres!$G$2,$Q136=Parametres!$G$3),K136,E136)</f>
        <v>-233265.07</v>
      </c>
      <c r="Q136" s="654" t="str">
        <f t="shared" ref="Q136:Q151" si="140">+F136</f>
        <v>3-Passifs</v>
      </c>
      <c r="R136" s="653" t="str">
        <f t="shared" ref="R136:R151" si="141">+G136</f>
        <v>2283</v>
      </c>
      <c r="S136" s="654" t="str">
        <f t="shared" ref="S136:S151" si="142">+H136</f>
        <v>_</v>
      </c>
      <c r="T136" s="656" t="str">
        <f>+VLOOKUP($L136,Data_Validation!$A:$D,1,0)</f>
        <v>2281</v>
      </c>
      <c r="U136" s="656" t="str">
        <f>+VLOOKUP($L136,Data_Validation!$A:$D,3,0)</f>
        <v>Bilan</v>
      </c>
      <c r="V136" s="656" t="str">
        <f>+VLOOKUP($L136,Data_Validation!$A:$D,4,0)</f>
        <v>Autres Comptes à Payer</v>
      </c>
      <c r="W136" s="656" t="str">
        <f>+VLOOKUP($L136,Data_Validation!$A:$E,5,0)</f>
        <v>$</v>
      </c>
      <c r="X136" s="656">
        <f>+VLOOKUP($L136,Data_Validation!$A:$F,6,0)</f>
        <v>0</v>
      </c>
    </row>
    <row r="137" spans="1:24" ht="15" customHeight="1">
      <c r="A137" s="1252" t="s">
        <v>919</v>
      </c>
      <c r="B137" s="1252" t="s">
        <v>918</v>
      </c>
      <c r="C137" s="1254">
        <v>-1823.37</v>
      </c>
      <c r="D137" s="1254">
        <v>-790</v>
      </c>
      <c r="E137" s="1254">
        <v>-2613.37</v>
      </c>
      <c r="F137" s="1252" t="s">
        <v>902</v>
      </c>
      <c r="G137" s="1252" t="s">
        <v>918</v>
      </c>
      <c r="H137" s="1252" t="s">
        <v>3955</v>
      </c>
      <c r="I137" s="652"/>
      <c r="J137" s="652"/>
      <c r="K137" s="652"/>
      <c r="L137" s="653" t="str">
        <f t="shared" si="138"/>
        <v>2283</v>
      </c>
      <c r="M137" s="654" t="str">
        <f t="shared" si="139"/>
        <v>PLAQUE A PAYER</v>
      </c>
      <c r="N137" s="655">
        <f>+IF(OR($Q137=Parametres!$G$2,$Q137=Parametres!$G$3),I137,C137)</f>
        <v>-1823.37</v>
      </c>
      <c r="O137" s="655">
        <f>+IF(OR($Q137=Parametres!$G$2,$Q137=Parametres!$G$3),J137,D137)</f>
        <v>-790</v>
      </c>
      <c r="P137" s="655">
        <f>+IF(OR($Q137=Parametres!$G$2,$Q137=Parametres!$G$3),K137,E137)</f>
        <v>-2613.37</v>
      </c>
      <c r="Q137" s="654" t="str">
        <f t="shared" si="140"/>
        <v>3-Passifs</v>
      </c>
      <c r="R137" s="653" t="str">
        <f t="shared" si="141"/>
        <v>2283</v>
      </c>
      <c r="S137" s="654" t="str">
        <f t="shared" si="142"/>
        <v>_</v>
      </c>
      <c r="T137" s="656" t="str">
        <f>+VLOOKUP($L137,Data_Validation!$A:$D,1,0)</f>
        <v>2283</v>
      </c>
      <c r="U137" s="656" t="str">
        <f>+VLOOKUP($L137,Data_Validation!$A:$D,3,0)</f>
        <v>Bilan</v>
      </c>
      <c r="V137" s="656" t="str">
        <f>+VLOOKUP($L137,Data_Validation!$A:$D,4,0)</f>
        <v>Autres Comptes à Payer</v>
      </c>
      <c r="W137" s="656" t="str">
        <f>+VLOOKUP($L137,Data_Validation!$A:$E,5,0)</f>
        <v>$</v>
      </c>
      <c r="X137" s="656">
        <f>+VLOOKUP($L137,Data_Validation!$A:$F,6,0)</f>
        <v>0</v>
      </c>
    </row>
    <row r="138" spans="1:24" ht="15" customHeight="1">
      <c r="A138" s="1252" t="s">
        <v>920</v>
      </c>
      <c r="B138" s="1252" t="s">
        <v>1668</v>
      </c>
      <c r="C138" s="1254">
        <v>-57045.1</v>
      </c>
      <c r="D138" s="1254">
        <v>-9536.7199999999993</v>
      </c>
      <c r="E138" s="1254">
        <v>-66581.820000000007</v>
      </c>
      <c r="F138" s="1252" t="s">
        <v>902</v>
      </c>
      <c r="G138" s="1252" t="s">
        <v>918</v>
      </c>
      <c r="H138" s="1252" t="s">
        <v>3955</v>
      </c>
      <c r="I138" s="663"/>
      <c r="J138" s="663"/>
      <c r="K138" s="663"/>
      <c r="L138" s="653" t="str">
        <f t="shared" si="138"/>
        <v>2285</v>
      </c>
      <c r="M138" s="654" t="str">
        <f t="shared" si="139"/>
        <v>PROTECTIONS A PAYER</v>
      </c>
      <c r="N138" s="655">
        <f>+IF(OR($Q138=Parametres!$G$2,$Q138=Parametres!$G$3),I138,C138)</f>
        <v>-57045.1</v>
      </c>
      <c r="O138" s="655">
        <f>+IF(OR($Q138=Parametres!$G$2,$Q138=Parametres!$G$3),J138,D138)</f>
        <v>-9536.7199999999993</v>
      </c>
      <c r="P138" s="655">
        <f>+IF(OR($Q138=Parametres!$G$2,$Q138=Parametres!$G$3),K138,E138)</f>
        <v>-66581.820000000007</v>
      </c>
      <c r="Q138" s="654" t="str">
        <f t="shared" si="140"/>
        <v>3-Passifs</v>
      </c>
      <c r="R138" s="653" t="str">
        <f t="shared" si="141"/>
        <v>2283</v>
      </c>
      <c r="S138" s="654" t="str">
        <f t="shared" si="142"/>
        <v>_</v>
      </c>
      <c r="T138" s="656" t="str">
        <f>+VLOOKUP($L138,Data_Validation!$A:$D,1,0)</f>
        <v>2285</v>
      </c>
      <c r="U138" s="656" t="str">
        <f>+VLOOKUP($L138,Data_Validation!$A:$D,3,0)</f>
        <v>Bilan</v>
      </c>
      <c r="V138" s="656" t="str">
        <f>+VLOOKUP($L138,Data_Validation!$A:$D,4,0)</f>
        <v>Autres Comptes à Payer</v>
      </c>
      <c r="W138" s="656" t="str">
        <f>+VLOOKUP($L138,Data_Validation!$A:$E,5,0)</f>
        <v>$</v>
      </c>
      <c r="X138" s="656">
        <f>+VLOOKUP($L138,Data_Validation!$A:$F,6,0)</f>
        <v>0</v>
      </c>
    </row>
    <row r="139" spans="1:24" ht="15.75" customHeight="1">
      <c r="A139" s="1252" t="s">
        <v>921</v>
      </c>
      <c r="B139" s="1252" t="s">
        <v>1671</v>
      </c>
      <c r="C139" s="1254">
        <v>-6074.61</v>
      </c>
      <c r="D139" s="1254">
        <v>5208.41</v>
      </c>
      <c r="E139" s="1254">
        <v>-866.2</v>
      </c>
      <c r="F139" s="1252" t="s">
        <v>902</v>
      </c>
      <c r="G139" s="1252" t="s">
        <v>918</v>
      </c>
      <c r="H139" s="1252" t="s">
        <v>3955</v>
      </c>
      <c r="I139" s="652"/>
      <c r="J139" s="652"/>
      <c r="K139" s="652"/>
      <c r="L139" s="653" t="str">
        <f t="shared" si="138"/>
        <v>2287</v>
      </c>
      <c r="M139" s="654" t="str">
        <f t="shared" si="139"/>
        <v>A PAYER INVAPLAN</v>
      </c>
      <c r="N139" s="655">
        <f>+IF(OR($Q139=Parametres!$G$2,$Q139=Parametres!$G$3),I139,C139)</f>
        <v>-6074.61</v>
      </c>
      <c r="O139" s="655">
        <f>+IF(OR($Q139=Parametres!$G$2,$Q139=Parametres!$G$3),J139,D139)</f>
        <v>5208.41</v>
      </c>
      <c r="P139" s="655">
        <f>+IF(OR($Q139=Parametres!$G$2,$Q139=Parametres!$G$3),K139,E139)</f>
        <v>-866.2</v>
      </c>
      <c r="Q139" s="654" t="str">
        <f t="shared" si="140"/>
        <v>3-Passifs</v>
      </c>
      <c r="R139" s="653" t="str">
        <f t="shared" si="141"/>
        <v>2283</v>
      </c>
      <c r="S139" s="654" t="str">
        <f t="shared" si="142"/>
        <v>_</v>
      </c>
      <c r="T139" s="656" t="str">
        <f>+VLOOKUP($L139,Data_Validation!$A:$D,1,0)</f>
        <v>2287</v>
      </c>
      <c r="U139" s="656" t="str">
        <f>+VLOOKUP($L139,Data_Validation!$A:$D,3,0)</f>
        <v>Bilan</v>
      </c>
      <c r="V139" s="656" t="str">
        <f>+VLOOKUP($L139,Data_Validation!$A:$D,4,0)</f>
        <v>Autres Comptes à Payer</v>
      </c>
      <c r="W139" s="656" t="str">
        <f>+VLOOKUP($L139,Data_Validation!$A:$E,5,0)</f>
        <v>$</v>
      </c>
      <c r="X139" s="656">
        <f>+VLOOKUP($L139,Data_Validation!$A:$F,6,0)</f>
        <v>0</v>
      </c>
    </row>
    <row r="140" spans="1:24" ht="15" customHeight="1">
      <c r="A140" s="1252" t="s">
        <v>922</v>
      </c>
      <c r="B140" s="1252" t="s">
        <v>923</v>
      </c>
      <c r="C140" s="1254">
        <v>-170086.26</v>
      </c>
      <c r="D140" s="1254">
        <v>-358811.32</v>
      </c>
      <c r="E140" s="1254">
        <v>-528897.57999999996</v>
      </c>
      <c r="F140" s="1252" t="s">
        <v>902</v>
      </c>
      <c r="G140" s="1252" t="s">
        <v>923</v>
      </c>
      <c r="H140" s="1252" t="s">
        <v>3955</v>
      </c>
      <c r="I140" s="652"/>
      <c r="J140" s="652"/>
      <c r="K140" s="652"/>
      <c r="L140" s="653" t="str">
        <f t="shared" si="138"/>
        <v>2291</v>
      </c>
      <c r="M140" s="654" t="str">
        <f t="shared" si="139"/>
        <v>COMPTES FOURNISSEURS</v>
      </c>
      <c r="N140" s="655">
        <f>+IF(OR($Q140=Parametres!$G$2,$Q140=Parametres!$G$3),I140,C140)</f>
        <v>-170086.26</v>
      </c>
      <c r="O140" s="655">
        <f>+IF(OR($Q140=Parametres!$G$2,$Q140=Parametres!$G$3),J140,D140)</f>
        <v>-358811.32</v>
      </c>
      <c r="P140" s="655">
        <f>+IF(OR($Q140=Parametres!$G$2,$Q140=Parametres!$G$3),K140,E140)</f>
        <v>-528897.57999999996</v>
      </c>
      <c r="Q140" s="654" t="str">
        <f t="shared" si="140"/>
        <v>3-Passifs</v>
      </c>
      <c r="R140" s="653" t="str">
        <f t="shared" si="141"/>
        <v>2291</v>
      </c>
      <c r="S140" s="654" t="str">
        <f t="shared" si="142"/>
        <v>_</v>
      </c>
      <c r="T140" s="656" t="str">
        <f>+VLOOKUP($L140,Data_Validation!$A:$D,1,0)</f>
        <v>2291</v>
      </c>
      <c r="U140" s="656" t="str">
        <f>+VLOOKUP($L140,Data_Validation!$A:$D,3,0)</f>
        <v>Bilan</v>
      </c>
      <c r="V140" s="656" t="str">
        <f>+VLOOKUP($L140,Data_Validation!$A:$D,4,0)</f>
        <v>Comptes à Payer Fournisseurs</v>
      </c>
      <c r="W140" s="656" t="str">
        <f>+VLOOKUP($L140,Data_Validation!$A:$E,5,0)</f>
        <v>$</v>
      </c>
      <c r="X140" s="656">
        <f>+VLOOKUP($L140,Data_Validation!$A:$F,6,0)</f>
        <v>0</v>
      </c>
    </row>
    <row r="141" spans="1:24" ht="15" customHeight="1">
      <c r="A141" s="1252" t="s">
        <v>924</v>
      </c>
      <c r="B141" s="1252" t="s">
        <v>1679</v>
      </c>
      <c r="C141" s="1254">
        <v>0</v>
      </c>
      <c r="D141" s="1254">
        <v>-110135.46</v>
      </c>
      <c r="E141" s="1254">
        <v>-110135.46</v>
      </c>
      <c r="F141" s="1252" t="s">
        <v>902</v>
      </c>
      <c r="G141" s="1252" t="s">
        <v>923</v>
      </c>
      <c r="H141" s="1252" t="s">
        <v>3955</v>
      </c>
      <c r="I141" s="663"/>
      <c r="J141" s="663"/>
      <c r="K141" s="663"/>
      <c r="L141" s="653" t="str">
        <f t="shared" si="138"/>
        <v>2292</v>
      </c>
      <c r="M141" s="654" t="str">
        <f t="shared" si="139"/>
        <v>ECHANGE ENTRE CONCESSIONNAIRES</v>
      </c>
      <c r="N141" s="655">
        <f>+IF(OR($Q141=Parametres!$G$2,$Q141=Parametres!$G$3),I141,C141)</f>
        <v>0</v>
      </c>
      <c r="O141" s="655">
        <f>+IF(OR($Q141=Parametres!$G$2,$Q141=Parametres!$G$3),J141,D141)</f>
        <v>-110135.46</v>
      </c>
      <c r="P141" s="655">
        <f>+IF(OR($Q141=Parametres!$G$2,$Q141=Parametres!$G$3),K141,E141)</f>
        <v>-110135.46</v>
      </c>
      <c r="Q141" s="654" t="str">
        <f t="shared" si="140"/>
        <v>3-Passifs</v>
      </c>
      <c r="R141" s="653" t="str">
        <f t="shared" si="141"/>
        <v>2291</v>
      </c>
      <c r="S141" s="654" t="str">
        <f t="shared" si="142"/>
        <v>_</v>
      </c>
      <c r="T141" s="656" t="str">
        <f>+VLOOKUP($L141,Data_Validation!$A:$D,1,0)</f>
        <v>2292</v>
      </c>
      <c r="U141" s="656" t="str">
        <f>+VLOOKUP($L141,Data_Validation!$A:$D,3,0)</f>
        <v>Bilan</v>
      </c>
      <c r="V141" s="656" t="str">
        <f>+VLOOKUP($L141,Data_Validation!$A:$D,4,0)</f>
        <v>Autres Comptes à Payer</v>
      </c>
      <c r="W141" s="656" t="str">
        <f>+VLOOKUP($L141,Data_Validation!$A:$E,5,0)</f>
        <v>$</v>
      </c>
      <c r="X141" s="656">
        <f>+VLOOKUP($L141,Data_Validation!$A:$F,6,0)</f>
        <v>0</v>
      </c>
    </row>
    <row r="142" spans="1:24" ht="15" customHeight="1">
      <c r="A142" s="1252" t="s">
        <v>925</v>
      </c>
      <c r="B142" s="1252" t="s">
        <v>928</v>
      </c>
      <c r="C142" s="1254">
        <v>-27682.3</v>
      </c>
      <c r="D142" s="1254">
        <v>-7432.65</v>
      </c>
      <c r="E142" s="1254">
        <v>-35114.949999999997</v>
      </c>
      <c r="F142" s="1252" t="s">
        <v>902</v>
      </c>
      <c r="G142" s="1252" t="s">
        <v>918</v>
      </c>
      <c r="H142" s="1252" t="s">
        <v>3955</v>
      </c>
      <c r="I142" s="663"/>
      <c r="J142" s="663"/>
      <c r="K142" s="663"/>
      <c r="L142" s="653" t="str">
        <f t="shared" si="138"/>
        <v>2293</v>
      </c>
      <c r="M142" s="654" t="str">
        <f t="shared" si="139"/>
        <v>PROVISIONS GARANTIES USAGEES</v>
      </c>
      <c r="N142" s="655">
        <f>+IF(OR($Q142=Parametres!$G$2,$Q142=Parametres!$G$3),I142,C142)</f>
        <v>-27682.3</v>
      </c>
      <c r="O142" s="655">
        <f>+IF(OR($Q142=Parametres!$G$2,$Q142=Parametres!$G$3),J142,D142)</f>
        <v>-7432.65</v>
      </c>
      <c r="P142" s="655">
        <f>+IF(OR($Q142=Parametres!$G$2,$Q142=Parametres!$G$3),K142,E142)</f>
        <v>-35114.949999999997</v>
      </c>
      <c r="Q142" s="654" t="str">
        <f t="shared" si="140"/>
        <v>3-Passifs</v>
      </c>
      <c r="R142" s="653" t="str">
        <f t="shared" si="141"/>
        <v>2283</v>
      </c>
      <c r="S142" s="654" t="str">
        <f t="shared" si="142"/>
        <v>_</v>
      </c>
      <c r="T142" s="656" t="str">
        <f>+VLOOKUP($L142,Data_Validation!$A:$D,1,0)</f>
        <v>2293</v>
      </c>
      <c r="U142" s="656" t="str">
        <f>+VLOOKUP($L142,Data_Validation!$A:$D,3,0)</f>
        <v>Bilan</v>
      </c>
      <c r="V142" s="656" t="str">
        <f>+VLOOKUP($L142,Data_Validation!$A:$D,4,0)</f>
        <v>Autres Courus</v>
      </c>
      <c r="W142" s="656" t="str">
        <f>+VLOOKUP($L142,Data_Validation!$A:$E,5,0)</f>
        <v>$</v>
      </c>
      <c r="X142" s="656">
        <f>+VLOOKUP($L142,Data_Validation!$A:$F,6,0)</f>
        <v>0</v>
      </c>
    </row>
    <row r="143" spans="1:24" ht="15.75" customHeight="1">
      <c r="A143" s="1252" t="s">
        <v>926</v>
      </c>
      <c r="B143" s="1252" t="s">
        <v>3376</v>
      </c>
      <c r="C143" s="1254">
        <v>1343.25</v>
      </c>
      <c r="D143" s="1254">
        <v>0</v>
      </c>
      <c r="E143" s="1254">
        <v>1343.25</v>
      </c>
      <c r="F143" s="1252" t="s">
        <v>902</v>
      </c>
      <c r="G143" s="1252" t="s">
        <v>918</v>
      </c>
      <c r="H143" s="1252" t="s">
        <v>3955</v>
      </c>
      <c r="I143" s="652"/>
      <c r="J143" s="652"/>
      <c r="K143" s="652"/>
      <c r="L143" s="653" t="str">
        <f t="shared" si="138"/>
        <v>2294</v>
      </c>
      <c r="M143" s="654" t="str">
        <f t="shared" si="139"/>
        <v>Volks RESERVE PROMO SAISONNIERE</v>
      </c>
      <c r="N143" s="655">
        <f>+IF(OR($Q143=Parametres!$G$2,$Q143=Parametres!$G$3),I143,C143)</f>
        <v>1343.25</v>
      </c>
      <c r="O143" s="655">
        <f>+IF(OR($Q143=Parametres!$G$2,$Q143=Parametres!$G$3),J143,D143)</f>
        <v>0</v>
      </c>
      <c r="P143" s="655">
        <f>+IF(OR($Q143=Parametres!$G$2,$Q143=Parametres!$G$3),K143,E143)</f>
        <v>1343.25</v>
      </c>
      <c r="Q143" s="654" t="str">
        <f t="shared" si="140"/>
        <v>3-Passifs</v>
      </c>
      <c r="R143" s="653" t="str">
        <f t="shared" si="141"/>
        <v>2283</v>
      </c>
      <c r="S143" s="654" t="str">
        <f t="shared" si="142"/>
        <v>_</v>
      </c>
      <c r="T143" s="656" t="str">
        <f>+VLOOKUP($L143,Data_Validation!$A:$D,1,0)</f>
        <v>2294</v>
      </c>
      <c r="U143" s="656" t="str">
        <f>+VLOOKUP($L143,Data_Validation!$A:$D,3,0)</f>
        <v>Bilan</v>
      </c>
      <c r="V143" s="656" t="str">
        <f>+VLOOKUP($L143,Data_Validation!$A:$D,4,0)</f>
        <v>Autres Courus</v>
      </c>
      <c r="W143" s="656" t="str">
        <f>+VLOOKUP($L143,Data_Validation!$A:$E,5,0)</f>
        <v>$</v>
      </c>
      <c r="X143" s="656">
        <f>+VLOOKUP($L143,Data_Validation!$A:$F,6,0)</f>
        <v>0</v>
      </c>
    </row>
    <row r="144" spans="1:24" ht="15" customHeight="1">
      <c r="A144" s="1252" t="s">
        <v>929</v>
      </c>
      <c r="B144" s="1252" t="s">
        <v>3377</v>
      </c>
      <c r="C144" s="1254">
        <v>-77479.73</v>
      </c>
      <c r="D144" s="1254">
        <v>77479.73</v>
      </c>
      <c r="E144" s="1254">
        <v>0</v>
      </c>
      <c r="F144" s="1252" t="s">
        <v>902</v>
      </c>
      <c r="G144" s="1252" t="s">
        <v>923</v>
      </c>
      <c r="H144" s="1252" t="s">
        <v>3955</v>
      </c>
      <c r="I144" s="652"/>
      <c r="J144" s="652"/>
      <c r="K144" s="652"/>
      <c r="L144" s="653" t="str">
        <f t="shared" si="138"/>
        <v>2296</v>
      </c>
      <c r="M144" s="654" t="str">
        <f t="shared" si="139"/>
        <v>COMPTE FOURNISSEURS INTERCO</v>
      </c>
      <c r="N144" s="655">
        <f>+IF(OR($Q144=Parametres!$G$2,$Q144=Parametres!$G$3),I144,C144)</f>
        <v>-77479.73</v>
      </c>
      <c r="O144" s="655">
        <f>+IF(OR($Q144=Parametres!$G$2,$Q144=Parametres!$G$3),J144,D144)</f>
        <v>77479.73</v>
      </c>
      <c r="P144" s="655">
        <f>+IF(OR($Q144=Parametres!$G$2,$Q144=Parametres!$G$3),K144,E144)</f>
        <v>0</v>
      </c>
      <c r="Q144" s="654" t="str">
        <f t="shared" si="140"/>
        <v>3-Passifs</v>
      </c>
      <c r="R144" s="653" t="str">
        <f t="shared" si="141"/>
        <v>2291</v>
      </c>
      <c r="S144" s="654" t="str">
        <f t="shared" si="142"/>
        <v>_</v>
      </c>
      <c r="T144" s="656" t="str">
        <f>+VLOOKUP($L144,Data_Validation!$A:$D,1,0)</f>
        <v>2296</v>
      </c>
      <c r="U144" s="656" t="str">
        <f>+VLOOKUP($L144,Data_Validation!$A:$D,3,0)</f>
        <v>Bilan</v>
      </c>
      <c r="V144" s="656" t="str">
        <f>+VLOOKUP($L144,Data_Validation!$A:$D,4,0)</f>
        <v>Payables Intercos</v>
      </c>
      <c r="W144" s="656" t="str">
        <f>+VLOOKUP($L144,Data_Validation!$A:$E,5,0)</f>
        <v>$</v>
      </c>
      <c r="X144" s="656">
        <f>+VLOOKUP($L144,Data_Validation!$A:$F,6,0)</f>
        <v>0</v>
      </c>
    </row>
    <row r="145" spans="1:24" ht="15" customHeight="1">
      <c r="A145" s="1252" t="s">
        <v>930</v>
      </c>
      <c r="B145" s="1252" t="s">
        <v>1687</v>
      </c>
      <c r="C145" s="1254">
        <v>-6400</v>
      </c>
      <c r="D145" s="1254">
        <v>-1900</v>
      </c>
      <c r="E145" s="1254">
        <v>-8300</v>
      </c>
      <c r="F145" s="1252" t="s">
        <v>902</v>
      </c>
      <c r="G145" s="1252" t="s">
        <v>918</v>
      </c>
      <c r="H145" s="1252" t="s">
        <v>3955</v>
      </c>
      <c r="I145" s="652"/>
      <c r="J145" s="652"/>
      <c r="K145" s="652"/>
      <c r="L145" s="653" t="str">
        <f t="shared" si="138"/>
        <v>2297</v>
      </c>
      <c r="M145" s="654" t="str">
        <f t="shared" si="139"/>
        <v>RESERVE RENOUVELLEMENT</v>
      </c>
      <c r="N145" s="655">
        <f>+IF(OR($Q145=Parametres!$G$2,$Q145=Parametres!$G$3),I145,C145)</f>
        <v>-6400</v>
      </c>
      <c r="O145" s="655">
        <f>+IF(OR($Q145=Parametres!$G$2,$Q145=Parametres!$G$3),J145,D145)</f>
        <v>-1900</v>
      </c>
      <c r="P145" s="655">
        <f>+IF(OR($Q145=Parametres!$G$2,$Q145=Parametres!$G$3),K145,E145)</f>
        <v>-8300</v>
      </c>
      <c r="Q145" s="654" t="str">
        <f t="shared" si="140"/>
        <v>3-Passifs</v>
      </c>
      <c r="R145" s="653" t="str">
        <f t="shared" si="141"/>
        <v>2283</v>
      </c>
      <c r="S145" s="654" t="str">
        <f t="shared" si="142"/>
        <v>_</v>
      </c>
      <c r="T145" s="656" t="str">
        <f>+VLOOKUP($L145,Data_Validation!$A:$D,1,0)</f>
        <v>2297</v>
      </c>
      <c r="U145" s="656" t="str">
        <f>+VLOOKUP($L145,Data_Validation!$A:$D,3,0)</f>
        <v>Bilan</v>
      </c>
      <c r="V145" s="656" t="str">
        <f>+VLOOKUP($L145,Data_Validation!$A:$D,4,0)</f>
        <v>Autres Courus</v>
      </c>
      <c r="W145" s="656" t="str">
        <f>+VLOOKUP($L145,Data_Validation!$A:$E,5,0)</f>
        <v>$</v>
      </c>
      <c r="X145" s="656">
        <f>+VLOOKUP($L145,Data_Validation!$A:$F,6,0)</f>
        <v>0</v>
      </c>
    </row>
    <row r="146" spans="1:24" ht="15" customHeight="1">
      <c r="A146" s="1252" t="s">
        <v>3336</v>
      </c>
      <c r="B146" s="1252" t="s">
        <v>3337</v>
      </c>
      <c r="C146" s="1254">
        <v>27.79</v>
      </c>
      <c r="D146" s="1254">
        <v>0</v>
      </c>
      <c r="E146" s="1254">
        <v>27.79</v>
      </c>
      <c r="F146" s="1252" t="s">
        <v>902</v>
      </c>
      <c r="G146" s="1252" t="s">
        <v>3337</v>
      </c>
      <c r="H146" s="1252" t="s">
        <v>3955</v>
      </c>
      <c r="I146" s="652"/>
      <c r="J146" s="652"/>
      <c r="K146" s="652"/>
      <c r="L146" s="653" t="str">
        <f t="shared" si="138"/>
        <v>2305</v>
      </c>
      <c r="M146" s="654" t="str">
        <f t="shared" si="139"/>
        <v>FUTA ASSURANCE EMPLOYE</v>
      </c>
      <c r="N146" s="655">
        <f>+IF(OR($Q146=Parametres!$G$2,$Q146=Parametres!$G$3),I146,C146)</f>
        <v>27.79</v>
      </c>
      <c r="O146" s="655">
        <f>+IF(OR($Q146=Parametres!$G$2,$Q146=Parametres!$G$3),J146,D146)</f>
        <v>0</v>
      </c>
      <c r="P146" s="655">
        <f>+IF(OR($Q146=Parametres!$G$2,$Q146=Parametres!$G$3),K146,E146)</f>
        <v>27.79</v>
      </c>
      <c r="Q146" s="654" t="str">
        <f t="shared" si="140"/>
        <v>3-Passifs</v>
      </c>
      <c r="R146" s="653" t="str">
        <f t="shared" si="141"/>
        <v>2305</v>
      </c>
      <c r="S146" s="654" t="str">
        <f t="shared" si="142"/>
        <v>_</v>
      </c>
      <c r="T146" s="656" t="str">
        <f>+VLOOKUP($L146,Data_Validation!$A:$D,1,0)</f>
        <v>2305</v>
      </c>
      <c r="U146" s="656" t="str">
        <f>+VLOOKUP($L146,Data_Validation!$A:$D,3,0)</f>
        <v>Bilan</v>
      </c>
      <c r="V146" s="656" t="str">
        <f>+VLOOKUP($L146,Data_Validation!$A:$D,4,0)</f>
        <v>DAS à Payer</v>
      </c>
      <c r="W146" s="656" t="str">
        <f>+VLOOKUP($L146,Data_Validation!$A:$E,5,0)</f>
        <v>$</v>
      </c>
      <c r="X146" s="656">
        <f>+VLOOKUP($L146,Data_Validation!$A:$F,6,0)</f>
        <v>0</v>
      </c>
    </row>
    <row r="147" spans="1:24" ht="15" customHeight="1">
      <c r="A147" s="1252" t="s">
        <v>931</v>
      </c>
      <c r="B147" s="1252" t="s">
        <v>932</v>
      </c>
      <c r="C147" s="1254">
        <v>33224.550000000003</v>
      </c>
      <c r="D147" s="1254">
        <v>2736.5</v>
      </c>
      <c r="E147" s="1254">
        <v>35961.050000000003</v>
      </c>
      <c r="F147" s="1252" t="s">
        <v>902</v>
      </c>
      <c r="G147" s="1252" t="s">
        <v>932</v>
      </c>
      <c r="H147" s="1252" t="s">
        <v>3955</v>
      </c>
      <c r="I147" s="652"/>
      <c r="J147" s="652"/>
      <c r="K147" s="652"/>
      <c r="L147" s="653" t="str">
        <f t="shared" si="138"/>
        <v>2315</v>
      </c>
      <c r="M147" s="654" t="str">
        <f t="shared" si="139"/>
        <v>PRIME ASSURANCE GROUPE</v>
      </c>
      <c r="N147" s="655">
        <f>+IF(OR($Q147=Parametres!$G$2,$Q147=Parametres!$G$3),I147,C147)</f>
        <v>33224.550000000003</v>
      </c>
      <c r="O147" s="655">
        <f>+IF(OR($Q147=Parametres!$G$2,$Q147=Parametres!$G$3),J147,D147)</f>
        <v>2736.5</v>
      </c>
      <c r="P147" s="655">
        <f>+IF(OR($Q147=Parametres!$G$2,$Q147=Parametres!$G$3),K147,E147)</f>
        <v>35961.050000000003</v>
      </c>
      <c r="Q147" s="654" t="str">
        <f t="shared" si="140"/>
        <v>3-Passifs</v>
      </c>
      <c r="R147" s="653" t="str">
        <f t="shared" si="141"/>
        <v>2315</v>
      </c>
      <c r="S147" s="654" t="str">
        <f t="shared" si="142"/>
        <v>_</v>
      </c>
      <c r="T147" s="656" t="str">
        <f>+VLOOKUP($L147,Data_Validation!$A:$D,1,0)</f>
        <v>2315</v>
      </c>
      <c r="U147" s="656" t="str">
        <f>+VLOOKUP($L147,Data_Validation!$A:$D,3,0)</f>
        <v>Bilan</v>
      </c>
      <c r="V147" s="656" t="str">
        <f>+VLOOKUP($L147,Data_Validation!$A:$D,4,0)</f>
        <v>DAS à Payer</v>
      </c>
      <c r="W147" s="656" t="str">
        <f>+VLOOKUP($L147,Data_Validation!$A:$E,5,0)</f>
        <v>$</v>
      </c>
      <c r="X147" s="656">
        <f>+VLOOKUP($L147,Data_Validation!$A:$F,6,0)</f>
        <v>0</v>
      </c>
    </row>
    <row r="148" spans="1:24" ht="15" customHeight="1">
      <c r="A148" s="1252" t="s">
        <v>933</v>
      </c>
      <c r="B148" s="1252" t="s">
        <v>1695</v>
      </c>
      <c r="C148" s="1254">
        <v>52.35</v>
      </c>
      <c r="D148" s="1254">
        <v>0</v>
      </c>
      <c r="E148" s="1254">
        <v>52.35</v>
      </c>
      <c r="F148" s="1252" t="s">
        <v>902</v>
      </c>
      <c r="G148" s="1252" t="s">
        <v>932</v>
      </c>
      <c r="H148" s="1252" t="s">
        <v>3955</v>
      </c>
      <c r="I148" s="663"/>
      <c r="J148" s="663"/>
      <c r="K148" s="663"/>
      <c r="L148" s="653" t="str">
        <f t="shared" si="138"/>
        <v>2335</v>
      </c>
      <c r="M148" s="654" t="str">
        <f t="shared" si="139"/>
        <v>COMITE SOCIAL</v>
      </c>
      <c r="N148" s="655">
        <f>+IF(OR($Q148=Parametres!$G$2,$Q148=Parametres!$G$3),I148,C148)</f>
        <v>52.35</v>
      </c>
      <c r="O148" s="655">
        <f>+IF(OR($Q148=Parametres!$G$2,$Q148=Parametres!$G$3),J148,D148)</f>
        <v>0</v>
      </c>
      <c r="P148" s="655">
        <f>+IF(OR($Q148=Parametres!$G$2,$Q148=Parametres!$G$3),K148,E148)</f>
        <v>52.35</v>
      </c>
      <c r="Q148" s="654" t="str">
        <f t="shared" si="140"/>
        <v>3-Passifs</v>
      </c>
      <c r="R148" s="653" t="str">
        <f t="shared" si="141"/>
        <v>2315</v>
      </c>
      <c r="S148" s="654" t="str">
        <f t="shared" si="142"/>
        <v>_</v>
      </c>
      <c r="T148" s="656" t="str">
        <f>+VLOOKUP($L148,Data_Validation!$A:$D,1,0)</f>
        <v>2335</v>
      </c>
      <c r="U148" s="656" t="str">
        <f>+VLOOKUP($L148,Data_Validation!$A:$D,3,0)</f>
        <v>Bilan</v>
      </c>
      <c r="V148" s="656" t="str">
        <f>+VLOOKUP($L148,Data_Validation!$A:$D,4,0)</f>
        <v>DAS à Payer</v>
      </c>
      <c r="W148" s="656" t="str">
        <f>+VLOOKUP($L148,Data_Validation!$A:$E,5,0)</f>
        <v>$</v>
      </c>
      <c r="X148" s="656">
        <f>+VLOOKUP($L148,Data_Validation!$A:$F,6,0)</f>
        <v>0</v>
      </c>
    </row>
    <row r="149" spans="1:24" ht="15" customHeight="1">
      <c r="A149" s="1252" t="s">
        <v>934</v>
      </c>
      <c r="B149" s="1252" t="s">
        <v>1701</v>
      </c>
      <c r="C149" s="1254">
        <v>-23506.86</v>
      </c>
      <c r="D149" s="1254">
        <v>-2877.36</v>
      </c>
      <c r="E149" s="1254">
        <v>-26384.22</v>
      </c>
      <c r="F149" s="1252" t="s">
        <v>902</v>
      </c>
      <c r="G149" s="1252" t="s">
        <v>932</v>
      </c>
      <c r="H149" s="1252" t="s">
        <v>3955</v>
      </c>
      <c r="I149" s="663"/>
      <c r="J149" s="663"/>
      <c r="K149" s="663"/>
      <c r="L149" s="653" t="str">
        <f t="shared" si="138"/>
        <v>2342</v>
      </c>
      <c r="M149" s="654" t="str">
        <f t="shared" si="139"/>
        <v>REER STANDARD LIFE</v>
      </c>
      <c r="N149" s="655">
        <f>+IF(OR($Q149=Parametres!$G$2,$Q149=Parametres!$G$3),I149,C149)</f>
        <v>-23506.86</v>
      </c>
      <c r="O149" s="655">
        <f>+IF(OR($Q149=Parametres!$G$2,$Q149=Parametres!$G$3),J149,D149)</f>
        <v>-2877.36</v>
      </c>
      <c r="P149" s="655">
        <f>+IF(OR($Q149=Parametres!$G$2,$Q149=Parametres!$G$3),K149,E149)</f>
        <v>-26384.22</v>
      </c>
      <c r="Q149" s="654" t="str">
        <f t="shared" si="140"/>
        <v>3-Passifs</v>
      </c>
      <c r="R149" s="653" t="str">
        <f t="shared" si="141"/>
        <v>2315</v>
      </c>
      <c r="S149" s="654" t="str">
        <f t="shared" si="142"/>
        <v>_</v>
      </c>
      <c r="T149" s="656" t="str">
        <f>+VLOOKUP($L149,Data_Validation!$A:$D,1,0)</f>
        <v>2342</v>
      </c>
      <c r="U149" s="656" t="str">
        <f>+VLOOKUP($L149,Data_Validation!$A:$D,3,0)</f>
        <v>Bilan</v>
      </c>
      <c r="V149" s="656" t="str">
        <f>+VLOOKUP($L149,Data_Validation!$A:$D,4,0)</f>
        <v>DAS à Payer</v>
      </c>
      <c r="W149" s="656" t="str">
        <f>+VLOOKUP($L149,Data_Validation!$A:$E,5,0)</f>
        <v>$</v>
      </c>
      <c r="X149" s="656">
        <f>+VLOOKUP($L149,Data_Validation!$A:$F,6,0)</f>
        <v>0</v>
      </c>
    </row>
    <row r="150" spans="1:24" ht="15" customHeight="1">
      <c r="A150" s="1252" t="s">
        <v>935</v>
      </c>
      <c r="B150" s="1252" t="s">
        <v>1704</v>
      </c>
      <c r="C150" s="1254">
        <v>-626.38</v>
      </c>
      <c r="D150" s="1254">
        <v>-114.8</v>
      </c>
      <c r="E150" s="1254">
        <v>-741.18</v>
      </c>
      <c r="F150" s="1252" t="s">
        <v>902</v>
      </c>
      <c r="G150" s="1252" t="s">
        <v>932</v>
      </c>
      <c r="H150" s="1252" t="s">
        <v>3955</v>
      </c>
      <c r="I150" s="652"/>
      <c r="J150" s="652"/>
      <c r="K150" s="652"/>
      <c r="L150" s="653" t="str">
        <f t="shared" si="138"/>
        <v>2343</v>
      </c>
      <c r="M150" s="654" t="str">
        <f t="shared" si="139"/>
        <v>COMITE PARITAIRE</v>
      </c>
      <c r="N150" s="655">
        <f>+IF(OR($Q150=Parametres!$G$2,$Q150=Parametres!$G$3),I150,C150)</f>
        <v>-626.38</v>
      </c>
      <c r="O150" s="655">
        <f>+IF(OR($Q150=Parametres!$G$2,$Q150=Parametres!$G$3),J150,D150)</f>
        <v>-114.8</v>
      </c>
      <c r="P150" s="655">
        <f>+IF(OR($Q150=Parametres!$G$2,$Q150=Parametres!$G$3),K150,E150)</f>
        <v>-741.18</v>
      </c>
      <c r="Q150" s="654" t="str">
        <f t="shared" si="140"/>
        <v>3-Passifs</v>
      </c>
      <c r="R150" s="653" t="str">
        <f t="shared" si="141"/>
        <v>2315</v>
      </c>
      <c r="S150" s="654" t="str">
        <f t="shared" si="142"/>
        <v>_</v>
      </c>
      <c r="T150" s="656" t="str">
        <f>+VLOOKUP($L150,Data_Validation!$A:$D,1,0)</f>
        <v>2343</v>
      </c>
      <c r="U150" s="656" t="str">
        <f>+VLOOKUP($L150,Data_Validation!$A:$D,3,0)</f>
        <v>Bilan</v>
      </c>
      <c r="V150" s="656" t="str">
        <f>+VLOOKUP($L150,Data_Validation!$A:$D,4,0)</f>
        <v>DAS à Payer</v>
      </c>
      <c r="W150" s="656" t="str">
        <f>+VLOOKUP($L150,Data_Validation!$A:$E,5,0)</f>
        <v>$</v>
      </c>
      <c r="X150" s="656">
        <f>+VLOOKUP($L150,Data_Validation!$A:$F,6,0)</f>
        <v>0</v>
      </c>
    </row>
    <row r="151" spans="1:24" ht="15.75" customHeight="1">
      <c r="A151" s="1252" t="s">
        <v>936</v>
      </c>
      <c r="B151" s="1252" t="s">
        <v>1707</v>
      </c>
      <c r="C151" s="1254">
        <v>-1334.89</v>
      </c>
      <c r="D151" s="1254">
        <v>940.77</v>
      </c>
      <c r="E151" s="1254">
        <v>-394.12</v>
      </c>
      <c r="F151" s="1252" t="s">
        <v>902</v>
      </c>
      <c r="G151" s="1252" t="s">
        <v>932</v>
      </c>
      <c r="H151" s="1252" t="s">
        <v>3955</v>
      </c>
      <c r="I151" s="652"/>
      <c r="J151" s="652"/>
      <c r="K151" s="652"/>
      <c r="L151" s="653" t="str">
        <f t="shared" si="138"/>
        <v>2344</v>
      </c>
      <c r="M151" s="654" t="str">
        <f t="shared" si="139"/>
        <v>CENTRAIDE</v>
      </c>
      <c r="N151" s="655">
        <f>+IF(OR($Q151=Parametres!$G$2,$Q151=Parametres!$G$3),I151,C151)</f>
        <v>-1334.89</v>
      </c>
      <c r="O151" s="655">
        <f>+IF(OR($Q151=Parametres!$G$2,$Q151=Parametres!$G$3),J151,D151)</f>
        <v>940.77</v>
      </c>
      <c r="P151" s="655">
        <f>+IF(OR($Q151=Parametres!$G$2,$Q151=Parametres!$G$3),K151,E151)</f>
        <v>-394.12</v>
      </c>
      <c r="Q151" s="654" t="str">
        <f t="shared" si="140"/>
        <v>3-Passifs</v>
      </c>
      <c r="R151" s="653" t="str">
        <f t="shared" si="141"/>
        <v>2315</v>
      </c>
      <c r="S151" s="654" t="str">
        <f t="shared" si="142"/>
        <v>_</v>
      </c>
      <c r="T151" s="656" t="str">
        <f>+VLOOKUP($L151,Data_Validation!$A:$D,1,0)</f>
        <v>2344</v>
      </c>
      <c r="U151" s="656" t="str">
        <f>+VLOOKUP($L151,Data_Validation!$A:$D,3,0)</f>
        <v>Bilan</v>
      </c>
      <c r="V151" s="656" t="str">
        <f>+VLOOKUP($L151,Data_Validation!$A:$D,4,0)</f>
        <v>DAS à Payer</v>
      </c>
      <c r="W151" s="656" t="str">
        <f>+VLOOKUP($L151,Data_Validation!$A:$E,5,0)</f>
        <v>$</v>
      </c>
      <c r="X151" s="656">
        <f>+VLOOKUP($L151,Data_Validation!$A:$F,6,0)</f>
        <v>0</v>
      </c>
    </row>
    <row r="152" spans="1:24" ht="15" customHeight="1">
      <c r="A152" s="1252" t="s">
        <v>937</v>
      </c>
      <c r="B152" s="1252" t="s">
        <v>938</v>
      </c>
      <c r="C152" s="1254">
        <v>-30100</v>
      </c>
      <c r="D152" s="1254">
        <v>-10550</v>
      </c>
      <c r="E152" s="1254">
        <v>-40650</v>
      </c>
      <c r="F152" s="1252" t="s">
        <v>902</v>
      </c>
      <c r="G152" s="1252" t="s">
        <v>938</v>
      </c>
      <c r="H152" s="1252" t="s">
        <v>3955</v>
      </c>
      <c r="I152" s="651"/>
      <c r="J152" s="651"/>
      <c r="K152" s="651"/>
      <c r="L152" s="653" t="str">
        <f t="shared" si="132"/>
        <v>2401</v>
      </c>
      <c r="M152" s="654" t="str">
        <f t="shared" si="0"/>
        <v>DEPOTS FIDUCIE-VENTE CLIENTS</v>
      </c>
      <c r="N152" s="655">
        <f>+IF(OR($Q152=Parametres!$G$2,$Q152=Parametres!$G$3),I152,C152)</f>
        <v>-30100</v>
      </c>
      <c r="O152" s="655">
        <f>+IF(OR($Q152=Parametres!$G$2,$Q152=Parametres!$G$3),J152,D152)</f>
        <v>-10550</v>
      </c>
      <c r="P152" s="655">
        <f>+IF(OR($Q152=Parametres!$G$2,$Q152=Parametres!$G$3),K152,E152)</f>
        <v>-40650</v>
      </c>
      <c r="Q152" s="654" t="str">
        <f t="shared" ref="Q152:S152" si="143">+F152</f>
        <v>3-Passifs</v>
      </c>
      <c r="R152" s="653" t="str">
        <f t="shared" si="143"/>
        <v>2401</v>
      </c>
      <c r="S152" s="654" t="str">
        <f t="shared" si="143"/>
        <v>_</v>
      </c>
      <c r="T152" s="656" t="str">
        <f>+VLOOKUP($L152,Data_Validation!$A:$D,1,0)</f>
        <v>2401</v>
      </c>
      <c r="U152" s="656" t="str">
        <f>+VLOOKUP($L152,Data_Validation!$A:$D,3,0)</f>
        <v>Bilan</v>
      </c>
      <c r="V152" s="656" t="str">
        <f>+VLOOKUP($L152,Data_Validation!$A:$D,4,0)</f>
        <v>Dépôts de Client</v>
      </c>
      <c r="W152" s="656" t="str">
        <f>+VLOOKUP($L152,Data_Validation!$A:$E,5,0)</f>
        <v>$</v>
      </c>
      <c r="X152" s="656">
        <f>+VLOOKUP($L152,Data_Validation!$A:$F,6,0)</f>
        <v>0</v>
      </c>
    </row>
    <row r="153" spans="1:24" ht="15" customHeight="1">
      <c r="A153" s="1252" t="s">
        <v>939</v>
      </c>
      <c r="B153" s="1252" t="s">
        <v>940</v>
      </c>
      <c r="C153" s="1254">
        <v>-16739.32</v>
      </c>
      <c r="D153" s="1254">
        <v>-9262.5400000000009</v>
      </c>
      <c r="E153" s="1254">
        <v>-26001.86</v>
      </c>
      <c r="F153" s="1252" t="s">
        <v>902</v>
      </c>
      <c r="G153" s="1252" t="s">
        <v>940</v>
      </c>
      <c r="H153" s="1252" t="s">
        <v>3955</v>
      </c>
      <c r="I153" s="652"/>
      <c r="J153" s="652"/>
      <c r="K153" s="652"/>
      <c r="L153" s="653" t="str">
        <f t="shared" si="132"/>
        <v>2501</v>
      </c>
      <c r="M153" s="654" t="str">
        <f t="shared" si="0"/>
        <v>COMMISSION A PAYER</v>
      </c>
      <c r="N153" s="655">
        <f>+IF(OR($Q153=Parametres!$G$2,$Q153=Parametres!$G$3),I153,C153)</f>
        <v>-16739.32</v>
      </c>
      <c r="O153" s="655">
        <f>+IF(OR($Q153=Parametres!$G$2,$Q153=Parametres!$G$3),J153,D153)</f>
        <v>-9262.5400000000009</v>
      </c>
      <c r="P153" s="655">
        <f>+IF(OR($Q153=Parametres!$G$2,$Q153=Parametres!$G$3),K153,E153)</f>
        <v>-26001.86</v>
      </c>
      <c r="Q153" s="654" t="str">
        <f t="shared" ref="Q153:S153" si="144">+F153</f>
        <v>3-Passifs</v>
      </c>
      <c r="R153" s="653" t="str">
        <f t="shared" si="144"/>
        <v>2501</v>
      </c>
      <c r="S153" s="654" t="str">
        <f t="shared" si="144"/>
        <v>_</v>
      </c>
      <c r="T153" s="656" t="str">
        <f>+VLOOKUP($L153,Data_Validation!$A:$D,1,0)</f>
        <v>2501</v>
      </c>
      <c r="U153" s="656" t="str">
        <f>+VLOOKUP($L153,Data_Validation!$A:$D,3,0)</f>
        <v>Bilan</v>
      </c>
      <c r="V153" s="656" t="str">
        <f>+VLOOKUP($L153,Data_Validation!$A:$D,4,0)</f>
        <v>Salaires à Payer</v>
      </c>
      <c r="W153" s="656" t="str">
        <f>+VLOOKUP($L153,Data_Validation!$A:$E,5,0)</f>
        <v>$</v>
      </c>
      <c r="X153" s="656">
        <f>+VLOOKUP($L153,Data_Validation!$A:$F,6,0)</f>
        <v>0</v>
      </c>
    </row>
    <row r="154" spans="1:24" ht="15" customHeight="1">
      <c r="A154" s="1252" t="s">
        <v>941</v>
      </c>
      <c r="B154" s="1252" t="s">
        <v>3378</v>
      </c>
      <c r="C154" s="1254">
        <v>2141.54</v>
      </c>
      <c r="D154" s="1254">
        <v>285.95</v>
      </c>
      <c r="E154" s="1254">
        <v>2427.4899999999998</v>
      </c>
      <c r="F154" s="1252" t="s">
        <v>902</v>
      </c>
      <c r="G154" s="1252" t="s">
        <v>942</v>
      </c>
      <c r="H154" s="1252" t="s">
        <v>3955</v>
      </c>
      <c r="I154" s="651"/>
      <c r="J154" s="651"/>
      <c r="K154" s="651"/>
      <c r="L154" s="653" t="str">
        <f t="shared" si="132"/>
        <v>2502</v>
      </c>
      <c r="M154" s="654" t="str">
        <f t="shared" si="0"/>
        <v>Compte de depense a payer</v>
      </c>
      <c r="N154" s="655">
        <f>+IF(OR($Q154=Parametres!$G$2,$Q154=Parametres!$G$3),I154,C154)</f>
        <v>2141.54</v>
      </c>
      <c r="O154" s="655">
        <f>+IF(OR($Q154=Parametres!$G$2,$Q154=Parametres!$G$3),J154,D154)</f>
        <v>285.95</v>
      </c>
      <c r="P154" s="655">
        <f>+IF(OR($Q154=Parametres!$G$2,$Q154=Parametres!$G$3),K154,E154)</f>
        <v>2427.4899999999998</v>
      </c>
      <c r="Q154" s="654" t="str">
        <f t="shared" ref="Q154:S154" si="145">+F154</f>
        <v>3-Passifs</v>
      </c>
      <c r="R154" s="653" t="str">
        <f t="shared" si="145"/>
        <v>250</v>
      </c>
      <c r="S154" s="654" t="str">
        <f t="shared" si="145"/>
        <v>_</v>
      </c>
      <c r="T154" s="656" t="str">
        <f>+VLOOKUP($L154,Data_Validation!$A:$D,1,0)</f>
        <v>2502</v>
      </c>
      <c r="U154" s="656" t="str">
        <f>+VLOOKUP($L154,Data_Validation!$A:$D,3,0)</f>
        <v>Bilan</v>
      </c>
      <c r="V154" s="656" t="str">
        <f>+VLOOKUP($L154,Data_Validation!$A:$D,4,0)</f>
        <v>Salaires à Payer</v>
      </c>
      <c r="W154" s="656" t="str">
        <f>+VLOOKUP($L154,Data_Validation!$A:$E,5,0)</f>
        <v>$</v>
      </c>
      <c r="X154" s="656">
        <f>+VLOOKUP($L154,Data_Validation!$A:$F,6,0)</f>
        <v>0</v>
      </c>
    </row>
    <row r="155" spans="1:24" ht="15.75" customHeight="1">
      <c r="A155" s="1252" t="s">
        <v>943</v>
      </c>
      <c r="B155" s="1252" t="s">
        <v>944</v>
      </c>
      <c r="C155" s="1254">
        <v>-108462.82</v>
      </c>
      <c r="D155" s="1254">
        <v>-10139.42</v>
      </c>
      <c r="E155" s="1254">
        <v>-118602.24000000001</v>
      </c>
      <c r="F155" s="1252" t="s">
        <v>902</v>
      </c>
      <c r="G155" s="1252" t="s">
        <v>944</v>
      </c>
      <c r="H155" s="1252" t="s">
        <v>3955</v>
      </c>
      <c r="I155" s="652"/>
      <c r="J155" s="652"/>
      <c r="K155" s="652"/>
      <c r="L155" s="653" t="str">
        <f t="shared" si="132"/>
        <v>2503</v>
      </c>
      <c r="M155" s="654" t="str">
        <f t="shared" si="0"/>
        <v>SALAIRES DES EMPLOYES</v>
      </c>
      <c r="N155" s="655">
        <f>+IF(OR($Q155=Parametres!$G$2,$Q155=Parametres!$G$3),I155,C155)</f>
        <v>-108462.82</v>
      </c>
      <c r="O155" s="655">
        <f>+IF(OR($Q155=Parametres!$G$2,$Q155=Parametres!$G$3),J155,D155)</f>
        <v>-10139.42</v>
      </c>
      <c r="P155" s="655">
        <f>+IF(OR($Q155=Parametres!$G$2,$Q155=Parametres!$G$3),K155,E155)</f>
        <v>-118602.24000000001</v>
      </c>
      <c r="Q155" s="654" t="str">
        <f t="shared" ref="Q155:S155" si="146">+F155</f>
        <v>3-Passifs</v>
      </c>
      <c r="R155" s="653" t="str">
        <f t="shared" si="146"/>
        <v>2503</v>
      </c>
      <c r="S155" s="654" t="str">
        <f t="shared" si="146"/>
        <v>_</v>
      </c>
      <c r="T155" s="656" t="str">
        <f>+VLOOKUP($L155,Data_Validation!$A:$D,1,0)</f>
        <v>2503</v>
      </c>
      <c r="U155" s="656" t="str">
        <f>+VLOOKUP($L155,Data_Validation!$A:$D,3,0)</f>
        <v>Bilan</v>
      </c>
      <c r="V155" s="656" t="str">
        <f>+VLOOKUP($L155,Data_Validation!$A:$D,4,0)</f>
        <v>Salaires à Payer</v>
      </c>
      <c r="W155" s="656" t="str">
        <f>+VLOOKUP($L155,Data_Validation!$A:$E,5,0)</f>
        <v>$</v>
      </c>
      <c r="X155" s="656">
        <f>+VLOOKUP($L155,Data_Validation!$A:$F,6,0)</f>
        <v>0</v>
      </c>
    </row>
    <row r="156" spans="1:24" ht="15" customHeight="1">
      <c r="A156" s="1252" t="s">
        <v>946</v>
      </c>
      <c r="B156" s="1252" t="s">
        <v>1740</v>
      </c>
      <c r="C156" s="1254">
        <v>-235315.95</v>
      </c>
      <c r="D156" s="1254">
        <v>-15177.62</v>
      </c>
      <c r="E156" s="1254">
        <v>-250493.57</v>
      </c>
      <c r="F156" s="1252" t="s">
        <v>902</v>
      </c>
      <c r="G156" s="1252" t="s">
        <v>944</v>
      </c>
      <c r="H156" s="1252" t="s">
        <v>3955</v>
      </c>
      <c r="I156" s="651"/>
      <c r="J156" s="651"/>
      <c r="K156" s="651"/>
      <c r="L156" s="653" t="str">
        <f t="shared" si="132"/>
        <v>2509</v>
      </c>
      <c r="M156" s="654" t="str">
        <f t="shared" si="0"/>
        <v>SALAIRES DE VACANCES</v>
      </c>
      <c r="N156" s="655">
        <f>+IF(OR($Q156=Parametres!$G$2,$Q156=Parametres!$G$3),I156,C156)</f>
        <v>-235315.95</v>
      </c>
      <c r="O156" s="655">
        <f>+IF(OR($Q156=Parametres!$G$2,$Q156=Parametres!$G$3),J156,D156)</f>
        <v>-15177.62</v>
      </c>
      <c r="P156" s="655">
        <f>+IF(OR($Q156=Parametres!$G$2,$Q156=Parametres!$G$3),K156,E156)</f>
        <v>-250493.57</v>
      </c>
      <c r="Q156" s="654" t="str">
        <f t="shared" ref="Q156:S156" si="147">+F156</f>
        <v>3-Passifs</v>
      </c>
      <c r="R156" s="653" t="str">
        <f t="shared" si="147"/>
        <v>2503</v>
      </c>
      <c r="S156" s="654" t="str">
        <f t="shared" si="147"/>
        <v>_</v>
      </c>
      <c r="T156" s="656" t="str">
        <f>+VLOOKUP($L156,Data_Validation!$A:$D,1,0)</f>
        <v>2509</v>
      </c>
      <c r="U156" s="656" t="str">
        <f>+VLOOKUP($L156,Data_Validation!$A:$D,3,0)</f>
        <v>Bilan</v>
      </c>
      <c r="V156" s="656" t="str">
        <f>+VLOOKUP($L156,Data_Validation!$A:$D,4,0)</f>
        <v>Salaires à Payer</v>
      </c>
      <c r="W156" s="656" t="str">
        <f>+VLOOKUP($L156,Data_Validation!$A:$E,5,0)</f>
        <v>$</v>
      </c>
      <c r="X156" s="656">
        <f>+VLOOKUP($L156,Data_Validation!$A:$F,6,0)</f>
        <v>0</v>
      </c>
    </row>
    <row r="157" spans="1:24" ht="15" customHeight="1">
      <c r="A157" s="1252" t="s">
        <v>947</v>
      </c>
      <c r="B157" s="1252" t="s">
        <v>1743</v>
      </c>
      <c r="C157" s="1254">
        <v>-14702.63</v>
      </c>
      <c r="D157" s="1254">
        <v>0</v>
      </c>
      <c r="E157" s="1254">
        <v>-14702.63</v>
      </c>
      <c r="F157" s="1252" t="s">
        <v>902</v>
      </c>
      <c r="G157" s="1252" t="s">
        <v>944</v>
      </c>
      <c r="H157" s="1252" t="s">
        <v>3955</v>
      </c>
      <c r="I157" s="652"/>
      <c r="J157" s="652"/>
      <c r="K157" s="652"/>
      <c r="L157" s="653" t="str">
        <f t="shared" si="132"/>
        <v>2511</v>
      </c>
      <c r="M157" s="654" t="str">
        <f t="shared" si="0"/>
        <v>JOURNEE MALADIE</v>
      </c>
      <c r="N157" s="655">
        <f>+IF(OR($Q157=Parametres!$G$2,$Q157=Parametres!$G$3),I157,C157)</f>
        <v>-14702.63</v>
      </c>
      <c r="O157" s="655">
        <f>+IF(OR($Q157=Parametres!$G$2,$Q157=Parametres!$G$3),J157,D157)</f>
        <v>0</v>
      </c>
      <c r="P157" s="655">
        <f>+IF(OR($Q157=Parametres!$G$2,$Q157=Parametres!$G$3),K157,E157)</f>
        <v>-14702.63</v>
      </c>
      <c r="Q157" s="654" t="str">
        <f t="shared" ref="Q157:S157" si="148">+F157</f>
        <v>3-Passifs</v>
      </c>
      <c r="R157" s="653" t="str">
        <f t="shared" si="148"/>
        <v>2503</v>
      </c>
      <c r="S157" s="654" t="str">
        <f t="shared" si="148"/>
        <v>_</v>
      </c>
      <c r="T157" s="656" t="str">
        <f>+VLOOKUP($L157,Data_Validation!$A:$D,1,0)</f>
        <v>2511</v>
      </c>
      <c r="U157" s="656" t="str">
        <f>+VLOOKUP($L157,Data_Validation!$A:$D,3,0)</f>
        <v>Bilan</v>
      </c>
      <c r="V157" s="656" t="str">
        <f>+VLOOKUP($L157,Data_Validation!$A:$D,4,0)</f>
        <v>Salaires à Payer</v>
      </c>
      <c r="W157" s="656" t="str">
        <f>+VLOOKUP($L157,Data_Validation!$A:$E,5,0)</f>
        <v>$</v>
      </c>
      <c r="X157" s="656">
        <f>+VLOOKUP($L157,Data_Validation!$A:$F,6,0)</f>
        <v>0</v>
      </c>
    </row>
    <row r="158" spans="1:24" ht="15" customHeight="1">
      <c r="A158" s="1252" t="s">
        <v>948</v>
      </c>
      <c r="B158" s="1252" t="s">
        <v>949</v>
      </c>
      <c r="C158" s="1254">
        <v>-134723</v>
      </c>
      <c r="D158" s="1254">
        <v>34114.15</v>
      </c>
      <c r="E158" s="1254">
        <v>-100608.85</v>
      </c>
      <c r="F158" s="1252" t="s">
        <v>902</v>
      </c>
      <c r="G158" s="1252" t="s">
        <v>949</v>
      </c>
      <c r="H158" s="1252" t="s">
        <v>3955</v>
      </c>
      <c r="I158" s="663"/>
      <c r="J158" s="663"/>
      <c r="K158" s="663"/>
      <c r="L158" s="653" t="str">
        <f t="shared" si="132"/>
        <v>2561</v>
      </c>
      <c r="M158" s="654" t="str">
        <f t="shared" si="0"/>
        <v>REVENUE HOLDBACK DIFFERE</v>
      </c>
      <c r="N158" s="655">
        <f>+IF(OR($Q158=Parametres!$G$2,$Q158=Parametres!$G$3),I158,C158)</f>
        <v>-134723</v>
      </c>
      <c r="O158" s="655">
        <f>+IF(OR($Q158=Parametres!$G$2,$Q158=Parametres!$G$3),J158,D158)</f>
        <v>34114.15</v>
      </c>
      <c r="P158" s="655">
        <f>+IF(OR($Q158=Parametres!$G$2,$Q158=Parametres!$G$3),K158,E158)</f>
        <v>-100608.85</v>
      </c>
      <c r="Q158" s="654" t="str">
        <f t="shared" ref="Q158:S158" si="149">+F158</f>
        <v>3-Passifs</v>
      </c>
      <c r="R158" s="653" t="str">
        <f t="shared" si="149"/>
        <v>2561</v>
      </c>
      <c r="S158" s="654" t="str">
        <f t="shared" si="149"/>
        <v>_</v>
      </c>
      <c r="T158" s="656" t="str">
        <f>+VLOOKUP($L158,Data_Validation!$A:$D,1,0)</f>
        <v>2561</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252" t="s">
        <v>950</v>
      </c>
      <c r="B159" s="1252" t="s">
        <v>3379</v>
      </c>
      <c r="C159" s="1254">
        <v>-242566.15</v>
      </c>
      <c r="D159" s="1254">
        <v>0</v>
      </c>
      <c r="E159" s="1254">
        <v>-242566.15</v>
      </c>
      <c r="F159" s="1252" t="s">
        <v>902</v>
      </c>
      <c r="G159" s="1252" t="s">
        <v>951</v>
      </c>
      <c r="H159" s="1252" t="s">
        <v>3955</v>
      </c>
      <c r="I159" s="664"/>
      <c r="J159" s="664"/>
      <c r="K159" s="664"/>
      <c r="L159" s="653" t="str">
        <f t="shared" si="132"/>
        <v>2562</v>
      </c>
      <c r="M159" s="654" t="str">
        <f t="shared" si="0"/>
        <v>PROVISIONS QG</v>
      </c>
      <c r="N159" s="655">
        <f>+IF(OR($Q159=Parametres!$G$2,$Q159=Parametres!$G$3),I159,C159)</f>
        <v>-242566.15</v>
      </c>
      <c r="O159" s="655">
        <f>+IF(OR($Q159=Parametres!$G$2,$Q159=Parametres!$G$3),J159,D159)</f>
        <v>0</v>
      </c>
      <c r="P159" s="655">
        <f>+IF(OR($Q159=Parametres!$G$2,$Q159=Parametres!$G$3),K159,E159)</f>
        <v>-242566.15</v>
      </c>
      <c r="Q159" s="654" t="str">
        <f t="shared" ref="Q159:S159" si="150">+F159</f>
        <v>3-Passifs</v>
      </c>
      <c r="R159" s="653" t="str">
        <f t="shared" si="150"/>
        <v>256</v>
      </c>
      <c r="S159" s="654" t="str">
        <f t="shared" si="150"/>
        <v>_</v>
      </c>
      <c r="T159" s="656" t="str">
        <f>+VLOOKUP($L159,Data_Validation!$A:$D,1,0)</f>
        <v>2562</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252" t="s">
        <v>956</v>
      </c>
      <c r="B160" s="1252" t="s">
        <v>958</v>
      </c>
      <c r="C160" s="1254">
        <v>-2350000</v>
      </c>
      <c r="D160" s="1254">
        <v>0</v>
      </c>
      <c r="E160" s="1254">
        <v>-2350000</v>
      </c>
      <c r="F160" s="1252" t="s">
        <v>957</v>
      </c>
      <c r="G160" s="1252" t="s">
        <v>958</v>
      </c>
      <c r="H160" s="1252" t="s">
        <v>3955</v>
      </c>
      <c r="I160" s="663"/>
      <c r="J160" s="663"/>
      <c r="K160" s="663"/>
      <c r="L160" s="653" t="str">
        <f t="shared" si="132"/>
        <v>3001</v>
      </c>
      <c r="M160" s="654" t="str">
        <f t="shared" si="0"/>
        <v>ACTIONS CATEGORIE 1</v>
      </c>
      <c r="N160" s="655">
        <f>+IF(OR($Q160=Parametres!$G$2,$Q160=Parametres!$G$3),I160,C160)</f>
        <v>-2350000</v>
      </c>
      <c r="O160" s="655">
        <f>+IF(OR($Q160=Parametres!$G$2,$Q160=Parametres!$G$3),J160,D160)</f>
        <v>0</v>
      </c>
      <c r="P160" s="655">
        <f>+IF(OR($Q160=Parametres!$G$2,$Q160=Parametres!$G$3),K160,E160)</f>
        <v>-2350000</v>
      </c>
      <c r="Q160" s="654" t="str">
        <f t="shared" ref="Q160:S160" si="151">+F160</f>
        <v>4-Valeur nette</v>
      </c>
      <c r="R160" s="653" t="str">
        <f t="shared" si="151"/>
        <v>3001</v>
      </c>
      <c r="S160" s="654" t="str">
        <f t="shared" si="151"/>
        <v>_</v>
      </c>
      <c r="T160" s="656" t="str">
        <f>+VLOOKUP($L160,Data_Validation!$A:$D,1,0)</f>
        <v>3001</v>
      </c>
      <c r="U160" s="656" t="str">
        <f>+VLOOKUP($L160,Data_Validation!$A:$D,3,0)</f>
        <v>Bilan</v>
      </c>
      <c r="V160" s="656" t="str">
        <f>+VLOOKUP($L160,Data_Validation!$A:$D,4,0)</f>
        <v>Capital Actions</v>
      </c>
      <c r="W160" s="656" t="str">
        <f>+VLOOKUP($L160,Data_Validation!$A:$E,5,0)</f>
        <v>$</v>
      </c>
      <c r="X160" s="656">
        <f>+VLOOKUP($L160,Data_Validation!$A:$F,6,0)</f>
        <v>0</v>
      </c>
    </row>
    <row r="161" spans="1:24" ht="15" customHeight="1">
      <c r="A161" s="1252" t="s">
        <v>959</v>
      </c>
      <c r="B161" s="1252" t="s">
        <v>1768</v>
      </c>
      <c r="C161" s="1254">
        <v>-1723617</v>
      </c>
      <c r="D161" s="1254">
        <v>0</v>
      </c>
      <c r="E161" s="1254">
        <v>-1723617</v>
      </c>
      <c r="F161" s="1252" t="s">
        <v>957</v>
      </c>
      <c r="G161" s="1252" t="s">
        <v>958</v>
      </c>
      <c r="H161" s="1252" t="s">
        <v>3955</v>
      </c>
      <c r="I161" s="664"/>
      <c r="J161" s="664"/>
      <c r="K161" s="664"/>
      <c r="L161" s="653" t="str">
        <f t="shared" si="132"/>
        <v>3003</v>
      </c>
      <c r="M161" s="654" t="str">
        <f t="shared" si="0"/>
        <v>APPORT / RETRAIT</v>
      </c>
      <c r="N161" s="655">
        <f>+IF(OR($Q161=Parametres!$G$2,$Q161=Parametres!$G$3),I161,C161)</f>
        <v>-1723617</v>
      </c>
      <c r="O161" s="655">
        <f>+IF(OR($Q161=Parametres!$G$2,$Q161=Parametres!$G$3),J161,D161)</f>
        <v>0</v>
      </c>
      <c r="P161" s="655">
        <f>+IF(OR($Q161=Parametres!$G$2,$Q161=Parametres!$G$3),K161,E161)</f>
        <v>-1723617</v>
      </c>
      <c r="Q161" s="654" t="str">
        <f t="shared" ref="Q161:S161" si="152">+F161</f>
        <v>4-Valeur nette</v>
      </c>
      <c r="R161" s="653" t="str">
        <f t="shared" si="152"/>
        <v>3001</v>
      </c>
      <c r="S161" s="654" t="str">
        <f t="shared" si="152"/>
        <v>_</v>
      </c>
      <c r="T161" s="656" t="str">
        <f>+VLOOKUP($L161,Data_Validation!$A:$D,1,0)</f>
        <v>3003</v>
      </c>
      <c r="U161" s="656" t="str">
        <f>+VLOOKUP($L161,Data_Validation!$A:$D,3,0)</f>
        <v>Bilan</v>
      </c>
      <c r="V161" s="656" t="str">
        <f>+VLOOKUP($L161,Data_Validation!$A:$D,4,0)</f>
        <v>Apport</v>
      </c>
      <c r="W161" s="656" t="str">
        <f>+VLOOKUP($L161,Data_Validation!$A:$E,5,0)</f>
        <v>$</v>
      </c>
      <c r="X161" s="656">
        <f>+VLOOKUP($L161,Data_Validation!$A:$F,6,0)</f>
        <v>0</v>
      </c>
    </row>
    <row r="162" spans="1:24" ht="15" customHeight="1">
      <c r="A162" s="1252" t="s">
        <v>960</v>
      </c>
      <c r="B162" s="1252" t="s">
        <v>1771</v>
      </c>
      <c r="C162" s="1254">
        <v>-347547.5</v>
      </c>
      <c r="D162" s="1254">
        <v>0</v>
      </c>
      <c r="E162" s="1254">
        <v>-347547.5</v>
      </c>
      <c r="F162" s="1252" t="s">
        <v>957</v>
      </c>
      <c r="G162" s="1252" t="s">
        <v>958</v>
      </c>
      <c r="H162" s="1252" t="s">
        <v>3955</v>
      </c>
      <c r="I162" s="652"/>
      <c r="J162" s="652"/>
      <c r="K162" s="652"/>
      <c r="L162" s="653" t="str">
        <f t="shared" si="132"/>
        <v>3007</v>
      </c>
      <c r="M162" s="654" t="str">
        <f t="shared" si="0"/>
        <v>ACTIONS PARTICIPANTES</v>
      </c>
      <c r="N162" s="655">
        <f>+IF(OR($Q162=Parametres!$G$2,$Q162=Parametres!$G$3),I162,C162)</f>
        <v>-347547.5</v>
      </c>
      <c r="O162" s="655">
        <f>+IF(OR($Q162=Parametres!$G$2,$Q162=Parametres!$G$3),J162,D162)</f>
        <v>0</v>
      </c>
      <c r="P162" s="655">
        <f>+IF(OR($Q162=Parametres!$G$2,$Q162=Parametres!$G$3),K162,E162)</f>
        <v>-347547.5</v>
      </c>
      <c r="Q162" s="654" t="str">
        <f t="shared" ref="Q162:S162" si="153">+F162</f>
        <v>4-Valeur nette</v>
      </c>
      <c r="R162" s="653" t="str">
        <f t="shared" si="153"/>
        <v>3001</v>
      </c>
      <c r="S162" s="654" t="str">
        <f t="shared" si="153"/>
        <v>_</v>
      </c>
      <c r="T162" s="656" t="str">
        <f>+VLOOKUP($L162,Data_Validation!$A:$D,1,0)</f>
        <v>3007</v>
      </c>
      <c r="U162" s="656" t="str">
        <f>+VLOOKUP($L162,Data_Validation!$A:$D,3,0)</f>
        <v>Bilan</v>
      </c>
      <c r="V162" s="656" t="str">
        <f>+VLOOKUP($L162,Data_Validation!$A:$D,4,0)</f>
        <v>Capital Actions</v>
      </c>
      <c r="W162" s="656">
        <f>+VLOOKUP($L162,Data_Validation!$A:$E,5,0)</f>
        <v>0</v>
      </c>
      <c r="X162" s="656">
        <f>+VLOOKUP($L162,Data_Validation!$A:$F,6,0)</f>
        <v>0</v>
      </c>
    </row>
    <row r="163" spans="1:24" ht="15.75" customHeight="1">
      <c r="A163" s="1252" t="s">
        <v>961</v>
      </c>
      <c r="B163" s="1252" t="s">
        <v>1795</v>
      </c>
      <c r="C163" s="1254">
        <v>-8022643.4800000004</v>
      </c>
      <c r="D163" s="1254">
        <v>0</v>
      </c>
      <c r="E163" s="1254">
        <v>-8022643.4800000004</v>
      </c>
      <c r="F163" s="1252" t="s">
        <v>957</v>
      </c>
      <c r="G163" s="1252" t="s">
        <v>958</v>
      </c>
      <c r="H163" s="1252" t="s">
        <v>3955</v>
      </c>
      <c r="I163" s="660"/>
      <c r="J163" s="651"/>
      <c r="K163" s="660"/>
      <c r="L163" s="653" t="str">
        <f t="shared" si="132"/>
        <v>3201</v>
      </c>
      <c r="M163" s="654" t="str">
        <f t="shared" si="0"/>
        <v>BENEFICES NON-REPARTIS</v>
      </c>
      <c r="N163" s="655">
        <f>+IF(OR($Q163=Parametres!$G$2,$Q163=Parametres!$G$3),I163,C163)</f>
        <v>-8022643.4800000004</v>
      </c>
      <c r="O163" s="655">
        <f>+IF(OR($Q163=Parametres!$G$2,$Q163=Parametres!$G$3),J163,D163)</f>
        <v>0</v>
      </c>
      <c r="P163" s="655">
        <f>+IF(OR($Q163=Parametres!$G$2,$Q163=Parametres!$G$3),K163,E163)</f>
        <v>-8022643.4800000004</v>
      </c>
      <c r="Q163" s="654" t="str">
        <f t="shared" ref="Q163:S163" si="154">+F163</f>
        <v>4-Valeur nette</v>
      </c>
      <c r="R163" s="653" t="str">
        <f t="shared" si="154"/>
        <v>3001</v>
      </c>
      <c r="S163" s="654" t="str">
        <f t="shared" si="154"/>
        <v>_</v>
      </c>
      <c r="T163" s="656" t="str">
        <f>+VLOOKUP($L163,Data_Validation!$A:$D,1,0)</f>
        <v>3201</v>
      </c>
      <c r="U163" s="656" t="str">
        <f>+VLOOKUP($L163,Data_Validation!$A:$D,3,0)</f>
        <v>Bilan</v>
      </c>
      <c r="V163" s="656" t="str">
        <f>+VLOOKUP($L163,Data_Validation!$A:$D,4,0)</f>
        <v>Bénéfices non répartis</v>
      </c>
      <c r="W163" s="656" t="str">
        <f>+VLOOKUP($L163,Data_Validation!$A:$E,5,0)</f>
        <v>$</v>
      </c>
      <c r="X163" s="656">
        <f>+VLOOKUP($L163,Data_Validation!$A:$F,6,0)</f>
        <v>0</v>
      </c>
    </row>
    <row r="164" spans="1:24" ht="15" customHeight="1">
      <c r="A164" s="1252" t="s">
        <v>962</v>
      </c>
      <c r="B164" s="1252" t="s">
        <v>964</v>
      </c>
      <c r="C164" s="1254">
        <v>-896142.52</v>
      </c>
      <c r="D164" s="1254">
        <v>-271435</v>
      </c>
      <c r="E164" s="1254">
        <v>-1167577.52</v>
      </c>
      <c r="F164" s="1252" t="s">
        <v>963</v>
      </c>
      <c r="G164" s="1252" t="s">
        <v>964</v>
      </c>
      <c r="H164" s="1252" t="s">
        <v>3955</v>
      </c>
      <c r="I164" s="651"/>
      <c r="J164" s="651"/>
      <c r="K164" s="651"/>
      <c r="L164" s="653" t="str">
        <f t="shared" si="132"/>
        <v>4100</v>
      </c>
      <c r="M164" s="654" t="str">
        <f t="shared" si="0"/>
        <v>VTE - RACHAT BAIL VW</v>
      </c>
      <c r="N164" s="655">
        <f>+IF(OR($Q164=Parametres!$G$2,$Q164=Parametres!$G$3),I164,C164)</f>
        <v>-896142.52</v>
      </c>
      <c r="O164" s="655">
        <f>+IF(OR($Q164=Parametres!$G$2,$Q164=Parametres!$G$3),J164,D164)</f>
        <v>-271435</v>
      </c>
      <c r="P164" s="655">
        <f>+IF(OR($Q164=Parametres!$G$2,$Q164=Parametres!$G$3),K164,E164)</f>
        <v>-1167577.52</v>
      </c>
      <c r="Q164" s="654" t="str">
        <f t="shared" ref="Q164:S164" si="155">+F164</f>
        <v>5-Ventes</v>
      </c>
      <c r="R164" s="653" t="str">
        <f t="shared" si="155"/>
        <v>4100</v>
      </c>
      <c r="S164" s="654" t="str">
        <f t="shared" si="155"/>
        <v>_</v>
      </c>
      <c r="T164" s="656" t="str">
        <f>+VLOOKUP($L164,Data_Validation!$A:$D,1,0)</f>
        <v>4100</v>
      </c>
      <c r="U164" s="656" t="str">
        <f>+VLOOKUP($L164,Data_Validation!$A:$D,3,0)</f>
        <v>Véhicules neufs</v>
      </c>
      <c r="V164" s="656" t="str">
        <f>+VLOOKUP($L164,Data_Validation!$A:$D,4,0)</f>
        <v>Rachat bail</v>
      </c>
      <c r="W164" s="656" t="str">
        <f>+VLOOKUP($L164,Data_Validation!$A:$E,5,0)</f>
        <v>$</v>
      </c>
      <c r="X164" s="656" t="str">
        <f>+VLOOKUP($L164,Data_Validation!$A:$F,6,0)</f>
        <v>Oui</v>
      </c>
    </row>
    <row r="165" spans="1:24" ht="15" customHeight="1">
      <c r="A165" s="1252" t="s">
        <v>967</v>
      </c>
      <c r="B165" s="1252" t="s">
        <v>968</v>
      </c>
      <c r="C165" s="1254">
        <v>-211812.34</v>
      </c>
      <c r="D165" s="1254">
        <v>-367384.38</v>
      </c>
      <c r="E165" s="1254">
        <v>-579196.72</v>
      </c>
      <c r="F165" s="1252" t="s">
        <v>963</v>
      </c>
      <c r="G165" s="1252" t="s">
        <v>968</v>
      </c>
      <c r="H165" s="1252" t="s">
        <v>3955</v>
      </c>
      <c r="I165" s="660"/>
      <c r="J165" s="660"/>
      <c r="K165" s="660"/>
      <c r="L165" s="653" t="str">
        <f t="shared" si="132"/>
        <v>4109</v>
      </c>
      <c r="M165" s="654" t="str">
        <f t="shared" si="0"/>
        <v>VTE - GOLF R</v>
      </c>
      <c r="N165" s="655">
        <f>+IF(OR($Q165=Parametres!$G$2,$Q165=Parametres!$G$3),I165,C165)</f>
        <v>-211812.34</v>
      </c>
      <c r="O165" s="655">
        <f>+IF(OR($Q165=Parametres!$G$2,$Q165=Parametres!$G$3),J165,D165)</f>
        <v>-367384.38</v>
      </c>
      <c r="P165" s="655">
        <f>+IF(OR($Q165=Parametres!$G$2,$Q165=Parametres!$G$3),K165,E165)</f>
        <v>-579196.72</v>
      </c>
      <c r="Q165" s="654" t="str">
        <f t="shared" ref="Q165:S165" si="156">+F165</f>
        <v>5-Ventes</v>
      </c>
      <c r="R165" s="653" t="str">
        <f t="shared" si="156"/>
        <v>4109</v>
      </c>
      <c r="S165" s="654" t="str">
        <f t="shared" si="156"/>
        <v>_</v>
      </c>
      <c r="T165" s="656" t="str">
        <f>+VLOOKUP($L165,Data_Validation!$A:$D,1,0)</f>
        <v>4109</v>
      </c>
      <c r="U165" s="656" t="str">
        <f>+VLOOKUP($L165,Data_Validation!$A:$D,3,0)</f>
        <v>Véhicules neufs</v>
      </c>
      <c r="V165" s="656" t="str">
        <f>+VLOOKUP($L165,Data_Validation!$A:$D,4,0)</f>
        <v>Autos détail</v>
      </c>
      <c r="W165" s="656" t="str">
        <f>+VLOOKUP($L165,Data_Validation!$A:$E,5,0)</f>
        <v>$</v>
      </c>
      <c r="X165" s="656" t="str">
        <f>+VLOOKUP($L165,Data_Validation!$A:$F,6,0)</f>
        <v>Oui</v>
      </c>
    </row>
    <row r="166" spans="1:24" ht="15" customHeight="1">
      <c r="A166" s="1252" t="s">
        <v>971</v>
      </c>
      <c r="B166" s="1252" t="s">
        <v>972</v>
      </c>
      <c r="C166" s="1254">
        <v>-397216.58</v>
      </c>
      <c r="D166" s="1254">
        <v>-311270.21000000002</v>
      </c>
      <c r="E166" s="1254">
        <v>-708486.79</v>
      </c>
      <c r="F166" s="1252" t="s">
        <v>963</v>
      </c>
      <c r="G166" s="1252" t="s">
        <v>972</v>
      </c>
      <c r="H166" s="1252" t="s">
        <v>3955</v>
      </c>
      <c r="I166" s="665"/>
      <c r="J166" s="665"/>
      <c r="K166" s="665"/>
      <c r="L166" s="653" t="str">
        <f t="shared" si="132"/>
        <v>4111</v>
      </c>
      <c r="M166" s="654" t="str">
        <f t="shared" si="0"/>
        <v>JETTA/ JETTA GLI</v>
      </c>
      <c r="N166" s="655">
        <f>+IF(OR($Q166=Parametres!$G$2,$Q166=Parametres!$G$3),I166,C166)</f>
        <v>-397216.58</v>
      </c>
      <c r="O166" s="655">
        <f>+IF(OR($Q166=Parametres!$G$2,$Q166=Parametres!$G$3),J166,D166)</f>
        <v>-311270.21000000002</v>
      </c>
      <c r="P166" s="655">
        <f>+IF(OR($Q166=Parametres!$G$2,$Q166=Parametres!$G$3),K166,E166)</f>
        <v>-708486.79</v>
      </c>
      <c r="Q166" s="654" t="str">
        <f t="shared" ref="Q166:S166" si="157">+F166</f>
        <v>5-Ventes</v>
      </c>
      <c r="R166" s="653" t="str">
        <f t="shared" si="157"/>
        <v>4111</v>
      </c>
      <c r="S166" s="654" t="str">
        <f t="shared" si="157"/>
        <v>_</v>
      </c>
      <c r="T166" s="656" t="str">
        <f>+VLOOKUP($L166,Data_Validation!$A:$D,1,0)</f>
        <v>4111</v>
      </c>
      <c r="U166" s="656" t="str">
        <f>+VLOOKUP($L166,Data_Validation!$A:$D,3,0)</f>
        <v>Véhicules neufs</v>
      </c>
      <c r="V166" s="656" t="str">
        <f>+VLOOKUP($L166,Data_Validation!$A:$D,4,0)</f>
        <v>Autos détail</v>
      </c>
      <c r="W166" s="656" t="str">
        <f>+VLOOKUP($L166,Data_Validation!$A:$E,5,0)</f>
        <v>$</v>
      </c>
      <c r="X166" s="656" t="str">
        <f>+VLOOKUP($L166,Data_Validation!$A:$F,6,0)</f>
        <v>Oui</v>
      </c>
    </row>
    <row r="167" spans="1:24" ht="15" customHeight="1">
      <c r="A167" s="1252" t="s">
        <v>974</v>
      </c>
      <c r="B167" s="1252" t="s">
        <v>3380</v>
      </c>
      <c r="C167" s="1254">
        <v>-1802795.17</v>
      </c>
      <c r="D167" s="1254">
        <v>-741867.64</v>
      </c>
      <c r="E167" s="1254">
        <v>-2544662.81</v>
      </c>
      <c r="F167" s="1252" t="s">
        <v>963</v>
      </c>
      <c r="G167" s="1252" t="s">
        <v>975</v>
      </c>
      <c r="H167" s="1252" t="s">
        <v>3955</v>
      </c>
      <c r="I167" s="665"/>
      <c r="J167" s="665"/>
      <c r="K167" s="665"/>
      <c r="L167" s="653" t="str">
        <f t="shared" si="132"/>
        <v>4118</v>
      </c>
      <c r="M167" s="654" t="str">
        <f t="shared" si="0"/>
        <v>VTES -TAOS</v>
      </c>
      <c r="N167" s="655">
        <f>+IF(OR($Q167=Parametres!$G$2,$Q167=Parametres!$G$3),I167,C167)</f>
        <v>-1802795.17</v>
      </c>
      <c r="O167" s="655">
        <f>+IF(OR($Q167=Parametres!$G$2,$Q167=Parametres!$G$3),J167,D167)</f>
        <v>-741867.64</v>
      </c>
      <c r="P167" s="655">
        <f>+IF(OR($Q167=Parametres!$G$2,$Q167=Parametres!$G$3),K167,E167)</f>
        <v>-2544662.81</v>
      </c>
      <c r="Q167" s="654" t="str">
        <f t="shared" ref="Q167:S167" si="158">+F167</f>
        <v>5-Ventes</v>
      </c>
      <c r="R167" s="653" t="str">
        <f t="shared" si="158"/>
        <v>4117</v>
      </c>
      <c r="S167" s="654" t="str">
        <f t="shared" si="158"/>
        <v>_</v>
      </c>
      <c r="T167" s="656" t="str">
        <f>+VLOOKUP($L167,Data_Validation!$A:$D,1,0)</f>
        <v>4118</v>
      </c>
      <c r="U167" s="656" t="str">
        <f>+VLOOKUP($L167,Data_Validation!$A:$D,3,0)</f>
        <v>Véhicules neufs</v>
      </c>
      <c r="V167" s="656" t="str">
        <f>+VLOOKUP($L167,Data_Validation!$A:$D,4,0)</f>
        <v>Camions détail</v>
      </c>
      <c r="W167" s="656" t="str">
        <f>+VLOOKUP($L167,Data_Validation!$A:$E,5,0)</f>
        <v>$</v>
      </c>
      <c r="X167" s="656" t="str">
        <f>+VLOOKUP($L167,Data_Validation!$A:$F,6,0)</f>
        <v>Oui</v>
      </c>
    </row>
    <row r="168" spans="1:24" ht="15.75" customHeight="1">
      <c r="A168" s="1252" t="s">
        <v>979</v>
      </c>
      <c r="B168" s="1252" t="s">
        <v>980</v>
      </c>
      <c r="C168" s="1254">
        <v>-881036.80000000005</v>
      </c>
      <c r="D168" s="1254">
        <v>-484858.37</v>
      </c>
      <c r="E168" s="1254">
        <v>-1365895.17</v>
      </c>
      <c r="F168" s="1252" t="s">
        <v>963</v>
      </c>
      <c r="G168" s="1252" t="s">
        <v>980</v>
      </c>
      <c r="H168" s="1252" t="s">
        <v>3955</v>
      </c>
      <c r="I168" s="665"/>
      <c r="J168" s="665"/>
      <c r="K168" s="665"/>
      <c r="L168" s="653" t="str">
        <f t="shared" si="132"/>
        <v>4119</v>
      </c>
      <c r="M168" s="654" t="str">
        <f t="shared" si="0"/>
        <v>VTE - ATLAS</v>
      </c>
      <c r="N168" s="655">
        <f>+IF(OR($Q168=Parametres!$G$2,$Q168=Parametres!$G$3),I168,C168)</f>
        <v>-881036.80000000005</v>
      </c>
      <c r="O168" s="655">
        <f>+IF(OR($Q168=Parametres!$G$2,$Q168=Parametres!$G$3),J168,D168)</f>
        <v>-484858.37</v>
      </c>
      <c r="P168" s="655">
        <f>+IF(OR($Q168=Parametres!$G$2,$Q168=Parametres!$G$3),K168,E168)</f>
        <v>-1365895.17</v>
      </c>
      <c r="Q168" s="654" t="str">
        <f t="shared" ref="Q168:S168" si="159">+F168</f>
        <v>5-Ventes</v>
      </c>
      <c r="R168" s="653" t="str">
        <f t="shared" si="159"/>
        <v>4119</v>
      </c>
      <c r="S168" s="654" t="str">
        <f t="shared" si="159"/>
        <v>_</v>
      </c>
      <c r="T168" s="656" t="str">
        <f>+VLOOKUP($L168,Data_Validation!$A:$D,1,0)</f>
        <v>4119</v>
      </c>
      <c r="U168" s="656" t="str">
        <f>+VLOOKUP($L168,Data_Validation!$A:$D,3,0)</f>
        <v>Véhicules neufs</v>
      </c>
      <c r="V168" s="656" t="str">
        <f>+VLOOKUP($L168,Data_Validation!$A:$D,4,0)</f>
        <v>Camions détail</v>
      </c>
      <c r="W168" s="656" t="str">
        <f>+VLOOKUP($L168,Data_Validation!$A:$E,5,0)</f>
        <v>$</v>
      </c>
      <c r="X168" s="656" t="str">
        <f>+VLOOKUP($L168,Data_Validation!$A:$F,6,0)</f>
        <v>Oui</v>
      </c>
    </row>
    <row r="169" spans="1:24" ht="15" customHeight="1">
      <c r="A169" s="1252" t="s">
        <v>983</v>
      </c>
      <c r="B169" s="1252" t="s">
        <v>3349</v>
      </c>
      <c r="C169" s="1254">
        <v>-287773.49</v>
      </c>
      <c r="D169" s="1254">
        <v>-285700.47999999998</v>
      </c>
      <c r="E169" s="1254">
        <v>-573473.97</v>
      </c>
      <c r="F169" s="1252" t="s">
        <v>963</v>
      </c>
      <c r="G169" s="1252" t="s">
        <v>3349</v>
      </c>
      <c r="H169" s="1252" t="s">
        <v>3955</v>
      </c>
      <c r="I169" s="666"/>
      <c r="J169" s="666"/>
      <c r="K169" s="666"/>
      <c r="L169" s="653" t="str">
        <f t="shared" si="132"/>
        <v>4121</v>
      </c>
      <c r="M169" s="654" t="str">
        <f t="shared" si="0"/>
        <v>VTES -VTE - ATLAS CROSS SPORT</v>
      </c>
      <c r="N169" s="655">
        <f>+IF(OR($Q169=Parametres!$G$2,$Q169=Parametres!$G$3),I169,C169)</f>
        <v>-287773.49</v>
      </c>
      <c r="O169" s="655">
        <f>+IF(OR($Q169=Parametres!$G$2,$Q169=Parametres!$G$3),J169,D169)</f>
        <v>-285700.47999999998</v>
      </c>
      <c r="P169" s="655">
        <f>+IF(OR($Q169=Parametres!$G$2,$Q169=Parametres!$G$3),K169,E169)</f>
        <v>-573473.97</v>
      </c>
      <c r="Q169" s="654" t="str">
        <f t="shared" ref="Q169:S169" si="160">+F169</f>
        <v>5-Ventes</v>
      </c>
      <c r="R169" s="653" t="str">
        <f t="shared" si="160"/>
        <v>4121</v>
      </c>
      <c r="S169" s="654" t="str">
        <f t="shared" si="160"/>
        <v>_</v>
      </c>
      <c r="T169" s="656" t="str">
        <f>+VLOOKUP($L169,Data_Validation!$A:$D,1,0)</f>
        <v>4121</v>
      </c>
      <c r="U169" s="656" t="str">
        <f>+VLOOKUP($L169,Data_Validation!$A:$D,3,0)</f>
        <v>Véhicules neufs</v>
      </c>
      <c r="V169" s="656" t="str">
        <f>+VLOOKUP($L169,Data_Validation!$A:$D,4,0)</f>
        <v>Camions détail</v>
      </c>
      <c r="W169" s="656" t="str">
        <f>+VLOOKUP($L169,Data_Validation!$A:$E,5,0)</f>
        <v>$</v>
      </c>
      <c r="X169" s="656" t="str">
        <f>+VLOOKUP($L169,Data_Validation!$A:$F,6,0)</f>
        <v>oui</v>
      </c>
    </row>
    <row r="170" spans="1:24" ht="15" customHeight="1">
      <c r="A170" s="1252" t="s">
        <v>986</v>
      </c>
      <c r="B170" s="1252" t="s">
        <v>987</v>
      </c>
      <c r="C170" s="1254">
        <v>-248468.13</v>
      </c>
      <c r="D170" s="1254">
        <v>-130664.8</v>
      </c>
      <c r="E170" s="1254">
        <v>-379132.93</v>
      </c>
      <c r="F170" s="1252" t="s">
        <v>963</v>
      </c>
      <c r="G170" s="1252" t="s">
        <v>987</v>
      </c>
      <c r="H170" s="1252" t="s">
        <v>3955</v>
      </c>
      <c r="I170" s="666"/>
      <c r="J170" s="666"/>
      <c r="K170" s="666"/>
      <c r="L170" s="653" t="str">
        <f t="shared" si="132"/>
        <v>4127</v>
      </c>
      <c r="M170" s="654" t="str">
        <f t="shared" si="0"/>
        <v>VTE - GOLF GTI</v>
      </c>
      <c r="N170" s="655">
        <f>+IF(OR($Q170=Parametres!$G$2,$Q170=Parametres!$G$3),I170,C170)</f>
        <v>-248468.13</v>
      </c>
      <c r="O170" s="655">
        <f>+IF(OR($Q170=Parametres!$G$2,$Q170=Parametres!$G$3),J170,D170)</f>
        <v>-130664.8</v>
      </c>
      <c r="P170" s="655">
        <f>+IF(OR($Q170=Parametres!$G$2,$Q170=Parametres!$G$3),K170,E170)</f>
        <v>-379132.93</v>
      </c>
      <c r="Q170" s="654" t="str">
        <f t="shared" ref="Q170:S170" si="161">+F170</f>
        <v>5-Ventes</v>
      </c>
      <c r="R170" s="653" t="str">
        <f t="shared" si="161"/>
        <v>4127</v>
      </c>
      <c r="S170" s="654" t="str">
        <f t="shared" si="161"/>
        <v>_</v>
      </c>
      <c r="T170" s="656" t="str">
        <f>+VLOOKUP($L170,Data_Validation!$A:$D,1,0)</f>
        <v>4127</v>
      </c>
      <c r="U170" s="656" t="str">
        <f>+VLOOKUP($L170,Data_Validation!$A:$D,3,0)</f>
        <v>Véhicules neufs</v>
      </c>
      <c r="V170" s="656" t="str">
        <f>+VLOOKUP($L170,Data_Validation!$A:$D,4,0)</f>
        <v>Autos détail</v>
      </c>
      <c r="W170" s="656" t="str">
        <f>+VLOOKUP($L170,Data_Validation!$A:$E,5,0)</f>
        <v>$</v>
      </c>
      <c r="X170" s="656" t="str">
        <f>+VLOOKUP($L170,Data_Validation!$A:$F,6,0)</f>
        <v>Oui</v>
      </c>
    </row>
    <row r="171" spans="1:24" ht="15" customHeight="1">
      <c r="A171" s="1252" t="s">
        <v>990</v>
      </c>
      <c r="B171" s="1252" t="s">
        <v>991</v>
      </c>
      <c r="C171" s="1254">
        <v>-670080.02</v>
      </c>
      <c r="D171" s="1254">
        <v>0</v>
      </c>
      <c r="E171" s="1254">
        <v>-670080.02</v>
      </c>
      <c r="F171" s="1252" t="s">
        <v>963</v>
      </c>
      <c r="G171" s="1252" t="s">
        <v>991</v>
      </c>
      <c r="H171" s="1252" t="s">
        <v>3955</v>
      </c>
      <c r="I171" s="666"/>
      <c r="J171" s="666"/>
      <c r="K171" s="666"/>
      <c r="L171" s="653" t="str">
        <f t="shared" si="132"/>
        <v>4131</v>
      </c>
      <c r="M171" s="654" t="str">
        <f t="shared" si="0"/>
        <v>VTE - TIGUAN LWB</v>
      </c>
      <c r="N171" s="655">
        <f>+IF(OR($Q171=Parametres!$G$2,$Q171=Parametres!$G$3),I171,C171)</f>
        <v>-670080.02</v>
      </c>
      <c r="O171" s="655">
        <f>+IF(OR($Q171=Parametres!$G$2,$Q171=Parametres!$G$3),J171,D171)</f>
        <v>0</v>
      </c>
      <c r="P171" s="655">
        <f>+IF(OR($Q171=Parametres!$G$2,$Q171=Parametres!$G$3),K171,E171)</f>
        <v>-670080.02</v>
      </c>
      <c r="Q171" s="654" t="str">
        <f t="shared" ref="Q171:S171" si="162">+F171</f>
        <v>5-Ventes</v>
      </c>
      <c r="R171" s="653" t="str">
        <f t="shared" si="162"/>
        <v>4131</v>
      </c>
      <c r="S171" s="654" t="str">
        <f t="shared" si="162"/>
        <v>_</v>
      </c>
      <c r="T171" s="656" t="str">
        <f>+VLOOKUP($L171,Data_Validation!$A:$D,1,0)</f>
        <v>4131</v>
      </c>
      <c r="U171" s="656" t="str">
        <f>+VLOOKUP($L171,Data_Validation!$A:$D,3,0)</f>
        <v>Véhicules neufs</v>
      </c>
      <c r="V171" s="656" t="str">
        <f>+VLOOKUP($L171,Data_Validation!$A:$D,4,0)</f>
        <v>Camions détail</v>
      </c>
      <c r="W171" s="656" t="str">
        <f>+VLOOKUP($L171,Data_Validation!$A:$E,5,0)</f>
        <v>$</v>
      </c>
      <c r="X171" s="656" t="str">
        <f>+VLOOKUP($L171,Data_Validation!$A:$F,6,0)</f>
        <v>Oui</v>
      </c>
    </row>
    <row r="172" spans="1:24" ht="15.75" customHeight="1">
      <c r="A172" s="1252" t="s">
        <v>994</v>
      </c>
      <c r="B172" s="1252" t="s">
        <v>995</v>
      </c>
      <c r="C172" s="1254">
        <v>-493957.67</v>
      </c>
      <c r="D172" s="1254">
        <v>0</v>
      </c>
      <c r="E172" s="1254">
        <v>-493957.67</v>
      </c>
      <c r="F172" s="1252" t="s">
        <v>963</v>
      </c>
      <c r="G172" s="1252" t="s">
        <v>995</v>
      </c>
      <c r="H172" s="1252" t="s">
        <v>3955</v>
      </c>
      <c r="I172" s="666"/>
      <c r="J172" s="666"/>
      <c r="K172" s="666"/>
      <c r="L172" s="653" t="str">
        <f t="shared" si="132"/>
        <v>4137</v>
      </c>
      <c r="M172" s="654" t="str">
        <f t="shared" si="0"/>
        <v>VTE - VW-FLOTTE/VENTES ENTR/EMPLOYE/VEH DEMON</v>
      </c>
      <c r="N172" s="655">
        <f>+IF(OR($Q172=Parametres!$G$2,$Q172=Parametres!$G$3),I172,C172)</f>
        <v>-493957.67</v>
      </c>
      <c r="O172" s="655">
        <f>+IF(OR($Q172=Parametres!$G$2,$Q172=Parametres!$G$3),J172,D172)</f>
        <v>0</v>
      </c>
      <c r="P172" s="655">
        <f>+IF(OR($Q172=Parametres!$G$2,$Q172=Parametres!$G$3),K172,E172)</f>
        <v>-493957.67</v>
      </c>
      <c r="Q172" s="654" t="str">
        <f t="shared" ref="Q172:S172" si="163">+F172</f>
        <v>5-Ventes</v>
      </c>
      <c r="R172" s="653" t="str">
        <f t="shared" si="163"/>
        <v>4137</v>
      </c>
      <c r="S172" s="654" t="str">
        <f t="shared" si="163"/>
        <v>_</v>
      </c>
      <c r="T172" s="656" t="str">
        <f>+VLOOKUP($L172,Data_Validation!$A:$D,1,0)</f>
        <v>4137</v>
      </c>
      <c r="U172" s="656" t="str">
        <f>+VLOOKUP($L172,Data_Validation!$A:$D,3,0)</f>
        <v>Véhicules neufs</v>
      </c>
      <c r="V172" s="656" t="str">
        <f>+VLOOKUP($L172,Data_Validation!$A:$D,4,0)</f>
        <v>Flottes</v>
      </c>
      <c r="W172" s="656" t="str">
        <f>+VLOOKUP($L172,Data_Validation!$A:$E,5,0)</f>
        <v>$</v>
      </c>
      <c r="X172" s="656" t="str">
        <f>+VLOOKUP($L172,Data_Validation!$A:$F,6,0)</f>
        <v>Oui</v>
      </c>
    </row>
    <row r="173" spans="1:24" ht="15" customHeight="1">
      <c r="A173" s="1252" t="s">
        <v>998</v>
      </c>
      <c r="B173" s="1252" t="s">
        <v>999</v>
      </c>
      <c r="C173" s="1254">
        <v>-350659.8</v>
      </c>
      <c r="D173" s="1254">
        <v>-64359</v>
      </c>
      <c r="E173" s="1254">
        <v>-415018.8</v>
      </c>
      <c r="F173" s="1252" t="s">
        <v>963</v>
      </c>
      <c r="G173" s="1252" t="s">
        <v>999</v>
      </c>
      <c r="H173" s="1252" t="s">
        <v>3955</v>
      </c>
      <c r="I173" s="666"/>
      <c r="J173" s="666"/>
      <c r="K173" s="666"/>
      <c r="L173" s="653" t="str">
        <f t="shared" si="132"/>
        <v>4139</v>
      </c>
      <c r="M173" s="654" t="str">
        <f t="shared" si="0"/>
        <v>VTE - VW FLOTTE/VENTE ENTR/EMPLOYE/VEH DEMONS</v>
      </c>
      <c r="N173" s="655">
        <f>+IF(OR($Q173=Parametres!$G$2,$Q173=Parametres!$G$3),I173,C173)</f>
        <v>-350659.8</v>
      </c>
      <c r="O173" s="655">
        <f>+IF(OR($Q173=Parametres!$G$2,$Q173=Parametres!$G$3),J173,D173)</f>
        <v>-64359</v>
      </c>
      <c r="P173" s="655">
        <f>+IF(OR($Q173=Parametres!$G$2,$Q173=Parametres!$G$3),K173,E173)</f>
        <v>-415018.8</v>
      </c>
      <c r="Q173" s="654" t="str">
        <f t="shared" ref="Q173:S173" si="164">+F173</f>
        <v>5-Ventes</v>
      </c>
      <c r="R173" s="653" t="str">
        <f t="shared" si="164"/>
        <v>4139</v>
      </c>
      <c r="S173" s="654" t="str">
        <f t="shared" si="164"/>
        <v>_</v>
      </c>
      <c r="T173" s="656" t="str">
        <f>+VLOOKUP($L173,Data_Validation!$A:$D,1,0)</f>
        <v>4139</v>
      </c>
      <c r="U173" s="656" t="str">
        <f>+VLOOKUP($L173,Data_Validation!$A:$D,3,0)</f>
        <v>Véhicules neufs</v>
      </c>
      <c r="V173" s="656" t="str">
        <f>+VLOOKUP($L173,Data_Validation!$A:$D,4,0)</f>
        <v>Ex-Démos et courtoisies</v>
      </c>
      <c r="W173" s="656" t="str">
        <f>+VLOOKUP($L173,Data_Validation!$A:$E,5,0)</f>
        <v>$</v>
      </c>
      <c r="X173" s="656" t="str">
        <f>+VLOOKUP($L173,Data_Validation!$A:$F,6,0)</f>
        <v>Oui</v>
      </c>
    </row>
    <row r="174" spans="1:24" ht="15" customHeight="1">
      <c r="A174" s="1252" t="s">
        <v>3893</v>
      </c>
      <c r="B174" s="1252" t="s">
        <v>3894</v>
      </c>
      <c r="C174" s="1254">
        <v>-1446805.07</v>
      </c>
      <c r="D174" s="1254">
        <v>0</v>
      </c>
      <c r="E174" s="1254">
        <v>-1446805.07</v>
      </c>
      <c r="F174" s="1252" t="s">
        <v>963</v>
      </c>
      <c r="G174" s="1252" t="s">
        <v>3894</v>
      </c>
      <c r="H174" s="1252" t="s">
        <v>3955</v>
      </c>
      <c r="I174" s="666"/>
      <c r="J174" s="666"/>
      <c r="K174" s="666"/>
      <c r="L174" s="653" t="str">
        <f t="shared" si="132"/>
        <v>4141</v>
      </c>
      <c r="M174" s="654" t="str">
        <f t="shared" si="0"/>
        <v>VTES -VTE - ID4</v>
      </c>
      <c r="N174" s="655">
        <f>+IF(OR($Q174=Parametres!$G$2,$Q174=Parametres!$G$3),I174,C174)</f>
        <v>-1446805.07</v>
      </c>
      <c r="O174" s="655">
        <f>+IF(OR($Q174=Parametres!$G$2,$Q174=Parametres!$G$3),J174,D174)</f>
        <v>0</v>
      </c>
      <c r="P174" s="655">
        <f>+IF(OR($Q174=Parametres!$G$2,$Q174=Parametres!$G$3),K174,E174)</f>
        <v>-1446805.07</v>
      </c>
      <c r="Q174" s="654" t="str">
        <f t="shared" ref="Q174:S174" si="165">+F174</f>
        <v>5-Ventes</v>
      </c>
      <c r="R174" s="653" t="str">
        <f t="shared" si="165"/>
        <v>4141</v>
      </c>
      <c r="S174" s="654" t="str">
        <f t="shared" si="165"/>
        <v>_</v>
      </c>
      <c r="T174" s="656" t="str">
        <f>+VLOOKUP($L174,Data_Validation!$A:$D,1,0)</f>
        <v>4141</v>
      </c>
      <c r="U174" s="656" t="str">
        <f>+VLOOKUP($L174,Data_Validation!$A:$D,3,0)</f>
        <v>Véhicules neufs</v>
      </c>
      <c r="V174" s="656" t="str">
        <f>+VLOOKUP($L174,Data_Validation!$A:$D,4,0)</f>
        <v>Camions détail</v>
      </c>
      <c r="W174" s="656" t="str">
        <f>+VLOOKUP($L174,Data_Validation!$A:$E,5,0)</f>
        <v>$</v>
      </c>
      <c r="X174" s="656" t="str">
        <f>+VLOOKUP($L174,Data_Validation!$A:$F,6,0)</f>
        <v>Oui</v>
      </c>
    </row>
    <row r="175" spans="1:24" ht="15" customHeight="1">
      <c r="A175" s="1252" t="s">
        <v>1002</v>
      </c>
      <c r="B175" s="1252" t="s">
        <v>3381</v>
      </c>
      <c r="C175" s="1254">
        <v>-37915.61</v>
      </c>
      <c r="D175" s="1254">
        <v>-149233.22</v>
      </c>
      <c r="E175" s="1254">
        <v>-187148.83</v>
      </c>
      <c r="F175" s="1252" t="s">
        <v>963</v>
      </c>
      <c r="G175" s="1252" t="s">
        <v>1003</v>
      </c>
      <c r="H175" s="1252" t="s">
        <v>3955</v>
      </c>
      <c r="I175" s="665"/>
      <c r="J175" s="665"/>
      <c r="K175" s="665"/>
      <c r="L175" s="653" t="str">
        <f t="shared" si="132"/>
        <v>4144</v>
      </c>
      <c r="M175" s="654" t="str">
        <f t="shared" si="0"/>
        <v>VTES -JETTA GLI</v>
      </c>
      <c r="N175" s="655">
        <f>+IF(OR($Q175=Parametres!$G$2,$Q175=Parametres!$G$3),I175,C175)</f>
        <v>-37915.61</v>
      </c>
      <c r="O175" s="655">
        <f>+IF(OR($Q175=Parametres!$G$2,$Q175=Parametres!$G$3),J175,D175)</f>
        <v>-149233.22</v>
      </c>
      <c r="P175" s="655">
        <f>+IF(OR($Q175=Parametres!$G$2,$Q175=Parametres!$G$3),K175,E175)</f>
        <v>-187148.83</v>
      </c>
      <c r="Q175" s="654" t="str">
        <f t="shared" ref="Q175:S175" si="166">+F175</f>
        <v>5-Ventes</v>
      </c>
      <c r="R175" s="653" t="str">
        <f t="shared" si="166"/>
        <v>414</v>
      </c>
      <c r="S175" s="654" t="str">
        <f t="shared" si="166"/>
        <v>_</v>
      </c>
      <c r="T175" s="656" t="str">
        <f>+VLOOKUP($L175,Data_Validation!$A:$D,1,0)</f>
        <v>4144</v>
      </c>
      <c r="U175" s="656" t="str">
        <f>+VLOOKUP($L175,Data_Validation!$A:$D,3,0)</f>
        <v>Véhicules neufs</v>
      </c>
      <c r="V175" s="656" t="str">
        <f>+VLOOKUP($L175,Data_Validation!$A:$D,4,0)</f>
        <v>Autos détail</v>
      </c>
      <c r="W175" s="656" t="str">
        <f>+VLOOKUP($L175,Data_Validation!$A:$E,5,0)</f>
        <v>$</v>
      </c>
      <c r="X175" s="656" t="str">
        <f>+VLOOKUP($L175,Data_Validation!$A:$F,6,0)</f>
        <v>Oui</v>
      </c>
    </row>
    <row r="176" spans="1:24" ht="15.75" customHeight="1">
      <c r="A176" s="1252" t="s">
        <v>1006</v>
      </c>
      <c r="B176" s="1252" t="s">
        <v>1007</v>
      </c>
      <c r="C176" s="1254">
        <v>-1299651.8999999999</v>
      </c>
      <c r="D176" s="1254">
        <v>-682028.73</v>
      </c>
      <c r="E176" s="1254">
        <v>-1981680.63</v>
      </c>
      <c r="F176" s="1252" t="s">
        <v>963</v>
      </c>
      <c r="G176" s="1252" t="s">
        <v>1007</v>
      </c>
      <c r="H176" s="1252" t="s">
        <v>3955</v>
      </c>
      <c r="I176" s="667"/>
      <c r="J176" s="667"/>
      <c r="K176" s="667"/>
      <c r="L176" s="653" t="str">
        <f t="shared" si="132"/>
        <v>4201</v>
      </c>
      <c r="M176" s="654" t="str">
        <f t="shared" si="0"/>
        <v>VTE - VEH.USAGE VW DETAIL CERTIFIE</v>
      </c>
      <c r="N176" s="655">
        <f>+IF(OR($Q176=Parametres!$G$2,$Q176=Parametres!$G$3),I176,C176)</f>
        <v>-1299651.8999999999</v>
      </c>
      <c r="O176" s="655">
        <f>+IF(OR($Q176=Parametres!$G$2,$Q176=Parametres!$G$3),J176,D176)</f>
        <v>-682028.73</v>
      </c>
      <c r="P176" s="655">
        <f>+IF(OR($Q176=Parametres!$G$2,$Q176=Parametres!$G$3),K176,E176)</f>
        <v>-1981680.63</v>
      </c>
      <c r="Q176" s="654" t="str">
        <f t="shared" ref="Q176:S176" si="167">+F176</f>
        <v>5-Ventes</v>
      </c>
      <c r="R176" s="653" t="str">
        <f t="shared" si="167"/>
        <v>4201</v>
      </c>
      <c r="S176" s="654" t="str">
        <f t="shared" si="167"/>
        <v>_</v>
      </c>
      <c r="T176" s="656" t="str">
        <f>+VLOOKUP($L176,Data_Validation!$A:$D,1,0)</f>
        <v>4201</v>
      </c>
      <c r="U176" s="656" t="str">
        <f>+VLOOKUP($L176,Data_Validation!$A:$D,3,0)</f>
        <v>Véhicules usagés</v>
      </c>
      <c r="V176" s="656" t="str">
        <f>+VLOOKUP($L176,Data_Validation!$A:$D,4,0)</f>
        <v>Certifié</v>
      </c>
      <c r="W176" s="656" t="str">
        <f>+VLOOKUP($L176,Data_Validation!$A:$E,5,0)</f>
        <v>$</v>
      </c>
      <c r="X176" s="656" t="str">
        <f>+VLOOKUP($L176,Data_Validation!$A:$F,6,0)</f>
        <v>Oui</v>
      </c>
    </row>
    <row r="177" spans="1:24" ht="15" customHeight="1">
      <c r="A177" s="1252" t="s">
        <v>1010</v>
      </c>
      <c r="B177" s="1252" t="s">
        <v>1011</v>
      </c>
      <c r="C177" s="1254">
        <v>-93330.6</v>
      </c>
      <c r="D177" s="1254">
        <v>0</v>
      </c>
      <c r="E177" s="1254">
        <v>-93330.6</v>
      </c>
      <c r="F177" s="1252" t="s">
        <v>963</v>
      </c>
      <c r="G177" s="1252" t="s">
        <v>1011</v>
      </c>
      <c r="H177" s="1252" t="s">
        <v>3955</v>
      </c>
      <c r="I177" s="666"/>
      <c r="J177" s="666"/>
      <c r="K177" s="666"/>
      <c r="L177" s="653" t="str">
        <f t="shared" si="132"/>
        <v>4211</v>
      </c>
      <c r="M177" s="654" t="str">
        <f t="shared" si="0"/>
        <v>VTE - VW USAGES DETAIL</v>
      </c>
      <c r="N177" s="655">
        <f>+IF(OR($Q177=Parametres!$G$2,$Q177=Parametres!$G$3),I177,C177)</f>
        <v>-93330.6</v>
      </c>
      <c r="O177" s="655">
        <f>+IF(OR($Q177=Parametres!$G$2,$Q177=Parametres!$G$3),J177,D177)</f>
        <v>0</v>
      </c>
      <c r="P177" s="655">
        <f>+IF(OR($Q177=Parametres!$G$2,$Q177=Parametres!$G$3),K177,E177)</f>
        <v>-93330.6</v>
      </c>
      <c r="Q177" s="654" t="str">
        <f t="shared" ref="Q177:S177" si="168">+F177</f>
        <v>5-Ventes</v>
      </c>
      <c r="R177" s="653" t="str">
        <f t="shared" si="168"/>
        <v>4211</v>
      </c>
      <c r="S177" s="654" t="str">
        <f t="shared" si="168"/>
        <v>_</v>
      </c>
      <c r="T177" s="656" t="str">
        <f>+VLOOKUP($L177,Data_Validation!$A:$D,1,0)</f>
        <v>4211</v>
      </c>
      <c r="U177" s="656" t="str">
        <f>+VLOOKUP($L177,Data_Validation!$A:$D,3,0)</f>
        <v>Véhicules usagés</v>
      </c>
      <c r="V177" s="656" t="str">
        <f>+VLOOKUP($L177,Data_Validation!$A:$D,4,0)</f>
        <v>Non Certifié</v>
      </c>
      <c r="W177" s="656" t="str">
        <f>+VLOOKUP($L177,Data_Validation!$A:$E,5,0)</f>
        <v>$</v>
      </c>
      <c r="X177" s="656" t="str">
        <f>+VLOOKUP($L177,Data_Validation!$A:$F,6,0)</f>
        <v>Oui</v>
      </c>
    </row>
    <row r="178" spans="1:24" ht="15" customHeight="1">
      <c r="A178" s="1252" t="s">
        <v>1014</v>
      </c>
      <c r="B178" s="1252" t="s">
        <v>1933</v>
      </c>
      <c r="C178" s="1254">
        <v>-79302.350000000006</v>
      </c>
      <c r="D178" s="1254">
        <v>-34599.599999999999</v>
      </c>
      <c r="E178" s="1254">
        <v>-113901.95</v>
      </c>
      <c r="F178" s="1252" t="s">
        <v>963</v>
      </c>
      <c r="G178" s="1252" t="s">
        <v>1015</v>
      </c>
      <c r="H178" s="1252" t="s">
        <v>3955</v>
      </c>
      <c r="I178" s="666"/>
      <c r="J178" s="666"/>
      <c r="K178" s="666"/>
      <c r="L178" s="653" t="str">
        <f t="shared" si="132"/>
        <v>4285</v>
      </c>
      <c r="M178" s="668" t="str">
        <f t="shared" si="0"/>
        <v>VEH. D'OCC. AUTRE DETAIL</v>
      </c>
      <c r="N178" s="655">
        <f>+IF(OR($Q178=Parametres!$G$2,$Q178=Parametres!$G$3),I178,C178)</f>
        <v>-79302.350000000006</v>
      </c>
      <c r="O178" s="659">
        <f>+IF(OR($Q178=Parametres!$G$2,$Q178=Parametres!$G$3),J178,D178)</f>
        <v>-34599.599999999999</v>
      </c>
      <c r="P178" s="669">
        <f>+IF(OR($Q178=Parametres!$G$2,$Q178=Parametres!$G$3),K178,E178)</f>
        <v>-113901.95</v>
      </c>
      <c r="Q178" s="654" t="str">
        <f t="shared" ref="Q178:S178" si="169">+F178</f>
        <v>5-Ventes</v>
      </c>
      <c r="R178" s="653" t="str">
        <f t="shared" si="169"/>
        <v>4261</v>
      </c>
      <c r="S178" s="654" t="str">
        <f t="shared" si="169"/>
        <v>_</v>
      </c>
      <c r="T178" s="656" t="str">
        <f>+VLOOKUP($L178,Data_Validation!$A:$D,1,0)</f>
        <v>4285</v>
      </c>
      <c r="U178" s="656" t="str">
        <f>+VLOOKUP($L178,Data_Validation!$A:$D,3,0)</f>
        <v>Véhicules usagés</v>
      </c>
      <c r="V178" s="656" t="str">
        <f>+VLOOKUP($L178,Data_Validation!$A:$D,4,0)</f>
        <v>Autres Marques</v>
      </c>
      <c r="W178" s="656" t="str">
        <f>+VLOOKUP($L178,Data_Validation!$A:$E,5,0)</f>
        <v>$</v>
      </c>
      <c r="X178" s="656" t="str">
        <f>+VLOOKUP($L178,Data_Validation!$A:$F,6,0)</f>
        <v>Oui</v>
      </c>
    </row>
    <row r="179" spans="1:24" ht="15" customHeight="1">
      <c r="A179" s="1252" t="s">
        <v>1018</v>
      </c>
      <c r="B179" s="1252" t="s">
        <v>1942</v>
      </c>
      <c r="C179" s="1254">
        <v>-708235</v>
      </c>
      <c r="D179" s="1254">
        <v>-239683</v>
      </c>
      <c r="E179" s="1254">
        <v>-947918</v>
      </c>
      <c r="F179" s="1252" t="s">
        <v>963</v>
      </c>
      <c r="G179" s="1252" t="s">
        <v>1019</v>
      </c>
      <c r="H179" s="1252" t="s">
        <v>3955</v>
      </c>
      <c r="I179" s="666"/>
      <c r="J179" s="666"/>
      <c r="K179" s="666"/>
      <c r="L179" s="653" t="str">
        <f t="shared" si="132"/>
        <v>4291</v>
      </c>
      <c r="M179" s="654" t="str">
        <f t="shared" si="0"/>
        <v>VEH. D'OCC. AU GROS</v>
      </c>
      <c r="N179" s="655">
        <f>+IF(OR($Q179=Parametres!$G$2,$Q179=Parametres!$G$3),I179,C179)</f>
        <v>-708235</v>
      </c>
      <c r="O179" s="655">
        <f>+IF(OR($Q179=Parametres!$G$2,$Q179=Parametres!$G$3),J179,D179)</f>
        <v>-239683</v>
      </c>
      <c r="P179" s="655">
        <f>+IF(OR($Q179=Parametres!$G$2,$Q179=Parametres!$G$3),K179,E179)</f>
        <v>-947918</v>
      </c>
      <c r="Q179" s="654" t="str">
        <f t="shared" ref="Q179:S179" si="170">+F179</f>
        <v>5-Ventes</v>
      </c>
      <c r="R179" s="653" t="str">
        <f t="shared" si="170"/>
        <v>4281</v>
      </c>
      <c r="S179" s="654" t="str">
        <f t="shared" si="170"/>
        <v>_</v>
      </c>
      <c r="T179" s="656" t="str">
        <f>+VLOOKUP($L179,Data_Validation!$A:$D,1,0)</f>
        <v>4291</v>
      </c>
      <c r="U179" s="656" t="str">
        <f>+VLOOKUP($L179,Data_Validation!$A:$D,3,0)</f>
        <v>Véhicules usagés</v>
      </c>
      <c r="V179" s="656" t="str">
        <f>+VLOOKUP($L179,Data_Validation!$A:$D,4,0)</f>
        <v>Ventes au Gros</v>
      </c>
      <c r="W179" s="656" t="str">
        <f>+VLOOKUP($L179,Data_Validation!$A:$E,5,0)</f>
        <v>$</v>
      </c>
      <c r="X179" s="656" t="str">
        <f>+VLOOKUP($L179,Data_Validation!$A:$F,6,0)</f>
        <v>Oui</v>
      </c>
    </row>
    <row r="180" spans="1:24" ht="15" customHeight="1">
      <c r="A180" s="1252" t="s">
        <v>3671</v>
      </c>
      <c r="B180" s="1252" t="s">
        <v>1023</v>
      </c>
      <c r="C180" s="1254">
        <v>-312908.05</v>
      </c>
      <c r="D180" s="1254">
        <v>-216817.91</v>
      </c>
      <c r="E180" s="1254">
        <v>-529725.96</v>
      </c>
      <c r="F180" s="1252" t="s">
        <v>963</v>
      </c>
      <c r="G180" s="1252" t="s">
        <v>1023</v>
      </c>
      <c r="H180" s="1252" t="s">
        <v>3955</v>
      </c>
      <c r="I180" s="666"/>
      <c r="J180" s="666"/>
      <c r="K180" s="666"/>
      <c r="L180" s="653" t="str">
        <f t="shared" ref="L180:L243" si="171">TEXT(B180,0)</f>
        <v>4401</v>
      </c>
      <c r="M180" s="654" t="str">
        <f t="shared" ref="M180:M243" si="172">+A180</f>
        <v>MAIN-D'OEUVRE - CLIENT VW - MCI</v>
      </c>
      <c r="N180" s="655">
        <f>+IF(OR($Q180=Parametres!$G$2,$Q180=Parametres!$G$3),I180,C180)</f>
        <v>-312908.05</v>
      </c>
      <c r="O180" s="659">
        <f>+IF(OR($Q180=Parametres!$G$2,$Q180=Parametres!$G$3),J180,D180)</f>
        <v>-216817.91</v>
      </c>
      <c r="P180" s="655">
        <f>+IF(OR($Q180=Parametres!$G$2,$Q180=Parametres!$G$3),K180,E180)</f>
        <v>-529725.96</v>
      </c>
      <c r="Q180" s="654" t="str">
        <f t="shared" ref="Q180:Q243" si="173">+F180</f>
        <v>5-Ventes</v>
      </c>
      <c r="R180" s="653" t="str">
        <f t="shared" ref="R180:R243" si="174">+G180</f>
        <v>4401</v>
      </c>
      <c r="S180" s="654" t="str">
        <f t="shared" ref="S180:S243" si="175">+H180</f>
        <v>_</v>
      </c>
      <c r="T180" s="656" t="str">
        <f>+VLOOKUP($L180,Data_Validation!$A:$D,1,0)</f>
        <v>4401</v>
      </c>
      <c r="U180" s="656" t="str">
        <f>+VLOOKUP($L180,Data_Validation!$A:$D,3,0)</f>
        <v>Service</v>
      </c>
      <c r="V180" s="656" t="str">
        <f>+VLOOKUP($L180,Data_Validation!$A:$D,4,0)</f>
        <v>M/O Client</v>
      </c>
      <c r="W180" s="656" t="str">
        <f>+VLOOKUP($L180,Data_Validation!$A:$E,5,0)</f>
        <v>$</v>
      </c>
      <c r="X180" s="656" t="str">
        <f>+VLOOKUP($L180,Data_Validation!$A:$F,6,0)</f>
        <v>Oui</v>
      </c>
    </row>
    <row r="181" spans="1:24" ht="15.75" customHeight="1">
      <c r="A181" s="1252" t="s">
        <v>1025</v>
      </c>
      <c r="B181" s="1252" t="s">
        <v>1026</v>
      </c>
      <c r="C181" s="1254">
        <v>-15883.45</v>
      </c>
      <c r="D181" s="1254">
        <v>-25065.34</v>
      </c>
      <c r="E181" s="1254">
        <v>-40948.79</v>
      </c>
      <c r="F181" s="1252" t="s">
        <v>963</v>
      </c>
      <c r="G181" s="1252" t="s">
        <v>1026</v>
      </c>
      <c r="H181" s="1252" t="s">
        <v>3955</v>
      </c>
      <c r="I181" s="666"/>
      <c r="J181" s="666"/>
      <c r="K181" s="666"/>
      <c r="L181" s="653" t="str">
        <f t="shared" si="171"/>
        <v>4402</v>
      </c>
      <c r="M181" s="654" t="str">
        <f t="shared" si="172"/>
        <v>VTE - M.O. ESTHETIQUE CLIENT</v>
      </c>
      <c r="N181" s="655">
        <f>+IF(OR($Q181=Parametres!$G$2,$Q181=Parametres!$G$3),I181,C181)</f>
        <v>-15883.45</v>
      </c>
      <c r="O181" s="655">
        <f>+IF(OR($Q181=Parametres!$G$2,$Q181=Parametres!$G$3),J181,D181)</f>
        <v>-25065.34</v>
      </c>
      <c r="P181" s="655">
        <f>+IF(OR($Q181=Parametres!$G$2,$Q181=Parametres!$G$3),K181,E181)</f>
        <v>-40948.79</v>
      </c>
      <c r="Q181" s="654" t="str">
        <f t="shared" si="173"/>
        <v>5-Ventes</v>
      </c>
      <c r="R181" s="653" t="str">
        <f t="shared" si="174"/>
        <v>4402</v>
      </c>
      <c r="S181" s="654" t="str">
        <f t="shared" si="175"/>
        <v>_</v>
      </c>
      <c r="T181" s="656" t="str">
        <f>+VLOOKUP($L181,Data_Validation!$A:$D,1,0)</f>
        <v>4402</v>
      </c>
      <c r="U181" s="656" t="str">
        <f>+VLOOKUP($L181,Data_Validation!$A:$D,3,0)</f>
        <v>Service</v>
      </c>
      <c r="V181" s="656" t="str">
        <f>+VLOOKUP($L181,Data_Validation!$A:$D,4,0)</f>
        <v>M/O Esthétique</v>
      </c>
      <c r="W181" s="656" t="str">
        <f>+VLOOKUP($L181,Data_Validation!$A:$E,5,0)</f>
        <v>$</v>
      </c>
      <c r="X181" s="656" t="str">
        <f>+VLOOKUP($L181,Data_Validation!$A:$F,6,0)</f>
        <v>Oui</v>
      </c>
    </row>
    <row r="182" spans="1:24" ht="15.75" customHeight="1">
      <c r="A182" s="1252" t="s">
        <v>3672</v>
      </c>
      <c r="B182" s="1252" t="s">
        <v>1028</v>
      </c>
      <c r="C182" s="1254">
        <v>-228858.26</v>
      </c>
      <c r="D182" s="1254">
        <v>-40008.99</v>
      </c>
      <c r="E182" s="1254">
        <v>-268867.25</v>
      </c>
      <c r="F182" s="1252" t="s">
        <v>963</v>
      </c>
      <c r="G182" s="1252" t="s">
        <v>1028</v>
      </c>
      <c r="H182" s="1252" t="s">
        <v>3955</v>
      </c>
      <c r="I182" s="666"/>
      <c r="J182" s="666"/>
      <c r="K182" s="666"/>
      <c r="L182" s="653" t="str">
        <f t="shared" si="171"/>
        <v>4403</v>
      </c>
      <c r="M182" s="654" t="str">
        <f t="shared" si="172"/>
        <v>MAIN-D'OEUVRE - GARANTIE VW - MCI</v>
      </c>
      <c r="N182" s="655">
        <f>+IF(OR($Q182=Parametres!$G$2,$Q182=Parametres!$G$3),I182,C182)</f>
        <v>-228858.26</v>
      </c>
      <c r="O182" s="655">
        <f>+IF(OR($Q182=Parametres!$G$2,$Q182=Parametres!$G$3),J182,D182)</f>
        <v>-40008.99</v>
      </c>
      <c r="P182" s="655">
        <f>+IF(OR($Q182=Parametres!$G$2,$Q182=Parametres!$G$3),K182,E182)</f>
        <v>-268867.25</v>
      </c>
      <c r="Q182" s="654" t="str">
        <f t="shared" si="173"/>
        <v>5-Ventes</v>
      </c>
      <c r="R182" s="653" t="str">
        <f t="shared" si="174"/>
        <v>4403</v>
      </c>
      <c r="S182" s="654" t="str">
        <f t="shared" si="175"/>
        <v>_</v>
      </c>
      <c r="T182" s="656" t="str">
        <f>+VLOOKUP($L182,Data_Validation!$A:$D,1,0)</f>
        <v>4403</v>
      </c>
      <c r="U182" s="656" t="str">
        <f>+VLOOKUP($L182,Data_Validation!$A:$D,3,0)</f>
        <v>Service</v>
      </c>
      <c r="V182" s="656" t="str">
        <f>+VLOOKUP($L182,Data_Validation!$A:$D,4,0)</f>
        <v>M/O Garantie</v>
      </c>
      <c r="W182" s="656" t="str">
        <f>+VLOOKUP($L182,Data_Validation!$A:$E,5,0)</f>
        <v>$</v>
      </c>
      <c r="X182" s="656" t="str">
        <f>+VLOOKUP($L182,Data_Validation!$A:$F,6,0)</f>
        <v>Oui</v>
      </c>
    </row>
    <row r="183" spans="1:24" ht="15.75" customHeight="1">
      <c r="A183" s="1252" t="s">
        <v>3673</v>
      </c>
      <c r="B183" s="1252" t="s">
        <v>1031</v>
      </c>
      <c r="C183" s="1254">
        <v>-194764.47</v>
      </c>
      <c r="D183" s="1254">
        <v>-64773.83</v>
      </c>
      <c r="E183" s="1254">
        <v>-259538.3</v>
      </c>
      <c r="F183" s="1252" t="s">
        <v>963</v>
      </c>
      <c r="G183" s="1252" t="s">
        <v>1031</v>
      </c>
      <c r="H183" s="1252" t="s">
        <v>3955</v>
      </c>
      <c r="I183" s="666"/>
      <c r="J183" s="666"/>
      <c r="K183" s="666"/>
      <c r="L183" s="653" t="str">
        <f t="shared" si="171"/>
        <v>4405</v>
      </c>
      <c r="M183" s="654" t="str">
        <f t="shared" si="172"/>
        <v>MAIN-D'OEUVRE - INTERNE VW - MCI</v>
      </c>
      <c r="N183" s="655">
        <f>+IF(OR($Q183=Parametres!$G$2,$Q183=Parametres!$G$3),I183,C183)</f>
        <v>-194764.47</v>
      </c>
      <c r="O183" s="655">
        <f>+IF(OR($Q183=Parametres!$G$2,$Q183=Parametres!$G$3),J183,D183)</f>
        <v>-64773.83</v>
      </c>
      <c r="P183" s="655">
        <f>+IF(OR($Q183=Parametres!$G$2,$Q183=Parametres!$G$3),K183,E183)</f>
        <v>-259538.3</v>
      </c>
      <c r="Q183" s="654" t="str">
        <f t="shared" si="173"/>
        <v>5-Ventes</v>
      </c>
      <c r="R183" s="653" t="str">
        <f t="shared" si="174"/>
        <v>4405</v>
      </c>
      <c r="S183" s="654" t="str">
        <f t="shared" si="175"/>
        <v>_</v>
      </c>
      <c r="T183" s="656" t="str">
        <f>+VLOOKUP($L183,Data_Validation!$A:$D,1,0)</f>
        <v>4405</v>
      </c>
      <c r="U183" s="656" t="str">
        <f>+VLOOKUP($L183,Data_Validation!$A:$D,3,0)</f>
        <v>Service</v>
      </c>
      <c r="V183" s="656" t="str">
        <f>+VLOOKUP($L183,Data_Validation!$A:$D,4,0)</f>
        <v>M/O Interne</v>
      </c>
      <c r="W183" s="656" t="str">
        <f>+VLOOKUP($L183,Data_Validation!$A:$E,5,0)</f>
        <v>$</v>
      </c>
      <c r="X183" s="656" t="str">
        <f>+VLOOKUP($L183,Data_Validation!$A:$F,6,0)</f>
        <v>Oui</v>
      </c>
    </row>
    <row r="184" spans="1:24" ht="15.75" customHeight="1">
      <c r="A184" s="1252" t="s">
        <v>1033</v>
      </c>
      <c r="B184" s="1252" t="s">
        <v>1974</v>
      </c>
      <c r="C184" s="1254">
        <v>-49348.12</v>
      </c>
      <c r="D184" s="1254">
        <v>-27375.41</v>
      </c>
      <c r="E184" s="1254">
        <v>-76723.53</v>
      </c>
      <c r="F184" s="1252" t="s">
        <v>963</v>
      </c>
      <c r="G184" s="1252" t="s">
        <v>1034</v>
      </c>
      <c r="H184" s="1252" t="s">
        <v>3955</v>
      </c>
      <c r="I184" s="667"/>
      <c r="J184" s="667"/>
      <c r="K184" s="667"/>
      <c r="L184" s="653" t="str">
        <f t="shared" si="171"/>
        <v>4451</v>
      </c>
      <c r="M184" s="654" t="str">
        <f t="shared" si="172"/>
        <v>CARBURANT/HUILE/GRAISSE</v>
      </c>
      <c r="N184" s="655">
        <f>+IF(OR($Q184=Parametres!$G$2,$Q184=Parametres!$G$3),I184,C184)</f>
        <v>-49348.12</v>
      </c>
      <c r="O184" s="659">
        <f>+IF(OR($Q184=Parametres!$G$2,$Q184=Parametres!$G$3),J184,D184)</f>
        <v>-27375.41</v>
      </c>
      <c r="P184" s="655">
        <f>+IF(OR($Q184=Parametres!$G$2,$Q184=Parametres!$G$3),K184,E184)</f>
        <v>-76723.53</v>
      </c>
      <c r="Q184" s="654" t="str">
        <f t="shared" si="173"/>
        <v>5-Ventes</v>
      </c>
      <c r="R184" s="653" t="str">
        <f t="shared" si="174"/>
        <v>4782</v>
      </c>
      <c r="S184" s="654" t="str">
        <f t="shared" si="175"/>
        <v>_</v>
      </c>
      <c r="T184" s="656" t="str">
        <f>+VLOOKUP($L184,Data_Validation!$A:$D,1,0)</f>
        <v>4451</v>
      </c>
      <c r="U184" s="656" t="str">
        <f>+VLOOKUP($L184,Data_Validation!$A:$D,3,0)</f>
        <v>Pièces</v>
      </c>
      <c r="V184" s="656" t="str">
        <f>+VLOOKUP($L184,Data_Validation!$A:$D,4,0)</f>
        <v>Huiles et Graisse</v>
      </c>
      <c r="W184" s="656" t="str">
        <f>+VLOOKUP($L184,Data_Validation!$A:$E,5,0)</f>
        <v>$</v>
      </c>
      <c r="X184" s="656" t="str">
        <f>+VLOOKUP($L184,Data_Validation!$A:$F,6,0)</f>
        <v>Oui</v>
      </c>
    </row>
    <row r="185" spans="1:24" ht="15.75" customHeight="1">
      <c r="A185" s="1252" t="s">
        <v>1036</v>
      </c>
      <c r="B185" s="1252" t="s">
        <v>1037</v>
      </c>
      <c r="C185" s="1254">
        <v>-12434.75</v>
      </c>
      <c r="D185" s="1254">
        <v>-5441.42</v>
      </c>
      <c r="E185" s="1254">
        <v>-17876.169999999998</v>
      </c>
      <c r="F185" s="1252" t="s">
        <v>963</v>
      </c>
      <c r="G185" s="1252" t="s">
        <v>1037</v>
      </c>
      <c r="H185" s="1252" t="s">
        <v>3955</v>
      </c>
      <c r="I185" s="666"/>
      <c r="J185" s="666"/>
      <c r="K185" s="666"/>
      <c r="L185" s="653" t="str">
        <f t="shared" si="171"/>
        <v>4491</v>
      </c>
      <c r="M185" s="654" t="str">
        <f t="shared" si="172"/>
        <v>REPARATION SOUS-LOC. - GENERAL</v>
      </c>
      <c r="N185" s="655">
        <f>+IF(OR($Q185=Parametres!$G$2,$Q185=Parametres!$G$3),I185,C185)</f>
        <v>-12434.75</v>
      </c>
      <c r="O185" s="655">
        <f>+IF(OR($Q185=Parametres!$G$2,$Q185=Parametres!$G$3),J185,D185)</f>
        <v>-5441.42</v>
      </c>
      <c r="P185" s="655">
        <f>+IF(OR($Q185=Parametres!$G$2,$Q185=Parametres!$G$3),K185,E185)</f>
        <v>-17876.169999999998</v>
      </c>
      <c r="Q185" s="654" t="str">
        <f t="shared" si="173"/>
        <v>5-Ventes</v>
      </c>
      <c r="R185" s="653" t="str">
        <f t="shared" si="174"/>
        <v>4491</v>
      </c>
      <c r="S185" s="654" t="str">
        <f t="shared" si="175"/>
        <v>_</v>
      </c>
      <c r="T185" s="656" t="str">
        <f>+VLOOKUP($L185,Data_Validation!$A:$D,1,0)</f>
        <v>4491</v>
      </c>
      <c r="U185" s="656" t="str">
        <f>+VLOOKUP($L185,Data_Validation!$A:$D,3,0)</f>
        <v>Service</v>
      </c>
      <c r="V185" s="656" t="str">
        <f>+VLOOKUP($L185,Data_Validation!$A:$D,4,0)</f>
        <v>Sous-traitement</v>
      </c>
      <c r="W185" s="656" t="str">
        <f>+VLOOKUP($L185,Data_Validation!$A:$E,5,0)</f>
        <v>$</v>
      </c>
      <c r="X185" s="656" t="str">
        <f>+VLOOKUP($L185,Data_Validation!$A:$F,6,0)</f>
        <v>Oui</v>
      </c>
    </row>
    <row r="186" spans="1:24" ht="15.75" customHeight="1">
      <c r="A186" s="1252" t="s">
        <v>1039</v>
      </c>
      <c r="B186" s="1252" t="s">
        <v>1040</v>
      </c>
      <c r="C186" s="1254">
        <v>-9510</v>
      </c>
      <c r="D186" s="1254">
        <v>-2770</v>
      </c>
      <c r="E186" s="1254">
        <v>-12280</v>
      </c>
      <c r="F186" s="1252" t="s">
        <v>963</v>
      </c>
      <c r="G186" s="1252" t="s">
        <v>1040</v>
      </c>
      <c r="H186" s="1252" t="s">
        <v>3955</v>
      </c>
      <c r="I186" s="667"/>
      <c r="J186" s="667"/>
      <c r="K186" s="667"/>
      <c r="L186" s="653" t="str">
        <f t="shared" si="171"/>
        <v>4493</v>
      </c>
      <c r="M186" s="654" t="str">
        <f t="shared" si="172"/>
        <v>VTE - SOUS-TRAITANCE GARANTIE</v>
      </c>
      <c r="N186" s="655">
        <f>+IF(OR($Q186=Parametres!$G$2,$Q186=Parametres!$G$3),I186,C186)</f>
        <v>-9510</v>
      </c>
      <c r="O186" s="659">
        <f>+IF(OR($Q186=Parametres!$G$2,$Q186=Parametres!$G$3),J186,D186)</f>
        <v>-2770</v>
      </c>
      <c r="P186" s="655">
        <f>+IF(OR($Q186=Parametres!$G$2,$Q186=Parametres!$G$3),K186,E186)</f>
        <v>-12280</v>
      </c>
      <c r="Q186" s="654" t="str">
        <f t="shared" si="173"/>
        <v>5-Ventes</v>
      </c>
      <c r="R186" s="653" t="str">
        <f t="shared" si="174"/>
        <v>4493</v>
      </c>
      <c r="S186" s="654" t="str">
        <f t="shared" si="175"/>
        <v>_</v>
      </c>
      <c r="T186" s="656" t="str">
        <f>+VLOOKUP($L186,Data_Validation!$A:$D,1,0)</f>
        <v>4493</v>
      </c>
      <c r="U186" s="656" t="str">
        <f>+VLOOKUP($L186,Data_Validation!$A:$D,3,0)</f>
        <v>Service</v>
      </c>
      <c r="V186" s="656" t="str">
        <f>+VLOOKUP($L186,Data_Validation!$A:$D,4,0)</f>
        <v>Sous-traitement</v>
      </c>
      <c r="W186" s="656" t="str">
        <f>+VLOOKUP($L186,Data_Validation!$A:$E,5,0)</f>
        <v>$</v>
      </c>
      <c r="X186" s="656" t="str">
        <f>+VLOOKUP($L186,Data_Validation!$A:$F,6,0)</f>
        <v>Oui</v>
      </c>
    </row>
    <row r="187" spans="1:24" ht="15" customHeight="1">
      <c r="A187" s="1252" t="s">
        <v>1043</v>
      </c>
      <c r="B187" s="1252" t="s">
        <v>1044</v>
      </c>
      <c r="C187" s="1254">
        <v>-24475</v>
      </c>
      <c r="D187" s="1254">
        <v>-10418.5</v>
      </c>
      <c r="E187" s="1254">
        <v>-34893.5</v>
      </c>
      <c r="F187" s="1252" t="s">
        <v>963</v>
      </c>
      <c r="G187" s="1252" t="s">
        <v>1044</v>
      </c>
      <c r="H187" s="1252" t="s">
        <v>3955</v>
      </c>
      <c r="I187" s="666"/>
      <c r="J187" s="666"/>
      <c r="K187" s="666"/>
      <c r="L187" s="653" t="str">
        <f t="shared" si="171"/>
        <v>4495</v>
      </c>
      <c r="M187" s="654" t="str">
        <f t="shared" si="172"/>
        <v>VTE - S-TRAITANCE MEC.INTERNE VW</v>
      </c>
      <c r="N187" s="655">
        <f>+IF(OR($Q187=Parametres!$G$2,$Q187=Parametres!$G$3),I187,C187)</f>
        <v>-24475</v>
      </c>
      <c r="O187" s="655">
        <f>+IF(OR($Q187=Parametres!$G$2,$Q187=Parametres!$G$3),J187,D187)</f>
        <v>-10418.5</v>
      </c>
      <c r="P187" s="655">
        <f>+IF(OR($Q187=Parametres!$G$2,$Q187=Parametres!$G$3),K187,E187)</f>
        <v>-34893.5</v>
      </c>
      <c r="Q187" s="654" t="str">
        <f t="shared" si="173"/>
        <v>5-Ventes</v>
      </c>
      <c r="R187" s="653" t="str">
        <f t="shared" si="174"/>
        <v>4495</v>
      </c>
      <c r="S187" s="654" t="str">
        <f t="shared" si="175"/>
        <v>_</v>
      </c>
      <c r="T187" s="656" t="str">
        <f>+VLOOKUP($L187,Data_Validation!$A:$D,1,0)</f>
        <v>4495</v>
      </c>
      <c r="U187" s="656" t="str">
        <f>+VLOOKUP($L187,Data_Validation!$A:$D,3,0)</f>
        <v>Service</v>
      </c>
      <c r="V187" s="656" t="str">
        <f>+VLOOKUP($L187,Data_Validation!$A:$D,4,0)</f>
        <v>Sous-traitement</v>
      </c>
      <c r="W187" s="656" t="str">
        <f>+VLOOKUP($L187,Data_Validation!$A:$E,5,0)</f>
        <v>$</v>
      </c>
      <c r="X187" s="656" t="str">
        <f>+VLOOKUP($L187,Data_Validation!$A:$F,6,0)</f>
        <v>Oui</v>
      </c>
    </row>
    <row r="188" spans="1:24" ht="15" customHeight="1">
      <c r="A188" s="1252" t="s">
        <v>3426</v>
      </c>
      <c r="B188" s="1252" t="s">
        <v>3427</v>
      </c>
      <c r="C188" s="1254">
        <v>-22533.85</v>
      </c>
      <c r="D188" s="1254">
        <v>-10458.5</v>
      </c>
      <c r="E188" s="1254">
        <v>-32992.35</v>
      </c>
      <c r="F188" s="1252" t="s">
        <v>963</v>
      </c>
      <c r="G188" s="1252" t="s">
        <v>3427</v>
      </c>
      <c r="H188" s="1252" t="s">
        <v>3955</v>
      </c>
      <c r="I188" s="652"/>
      <c r="J188" s="652"/>
      <c r="K188" s="652"/>
      <c r="L188" s="653" t="str">
        <f t="shared" si="171"/>
        <v>4505</v>
      </c>
      <c r="M188" s="654" t="str">
        <f t="shared" si="172"/>
        <v>VTE - M.O. INTERNE CARROSSERIE</v>
      </c>
      <c r="N188" s="655">
        <f>+IF(OR($Q188=Parametres!$G$2,$Q188=Parametres!$G$3),I188,C188)</f>
        <v>-22533.85</v>
      </c>
      <c r="O188" s="655">
        <f>+IF(OR($Q188=Parametres!$G$2,$Q188=Parametres!$G$3),J188,D188)</f>
        <v>-10458.5</v>
      </c>
      <c r="P188" s="655">
        <f>+IF(OR($Q188=Parametres!$G$2,$Q188=Parametres!$G$3),K188,E188)</f>
        <v>-32992.35</v>
      </c>
      <c r="Q188" s="654" t="str">
        <f t="shared" si="173"/>
        <v>5-Ventes</v>
      </c>
      <c r="R188" s="653" t="str">
        <f t="shared" si="174"/>
        <v>4505</v>
      </c>
      <c r="S188" s="654" t="str">
        <f t="shared" si="175"/>
        <v>_</v>
      </c>
      <c r="T188" s="656" t="str">
        <f>+VLOOKUP($L188,Data_Validation!$A:$D,1,0)</f>
        <v>4505</v>
      </c>
      <c r="U188" s="656" t="str">
        <f>+VLOOKUP($L188,Data_Validation!$A:$D,3,0)</f>
        <v>Service</v>
      </c>
      <c r="V188" s="656" t="str">
        <f>+VLOOKUP($L188,Data_Validation!$A:$D,4,0)</f>
        <v>M.O. Recond. MCPA</v>
      </c>
      <c r="W188" s="656" t="str">
        <f>+VLOOKUP($L188,Data_Validation!$A:$E,5,0)</f>
        <v>$</v>
      </c>
      <c r="X188" s="656" t="str">
        <f>+VLOOKUP($L188,Data_Validation!$A:$F,6,0)</f>
        <v>Oui</v>
      </c>
    </row>
    <row r="189" spans="1:24" ht="15" customHeight="1">
      <c r="A189" s="1252" t="s">
        <v>1050</v>
      </c>
      <c r="B189" s="1252" t="s">
        <v>1051</v>
      </c>
      <c r="C189" s="1254">
        <v>-11361.88</v>
      </c>
      <c r="D189" s="1254">
        <v>-8024.4</v>
      </c>
      <c r="E189" s="1254">
        <v>-19386.28</v>
      </c>
      <c r="F189" s="1252" t="s">
        <v>963</v>
      </c>
      <c r="G189" s="1252" t="s">
        <v>1051</v>
      </c>
      <c r="H189" s="1252" t="s">
        <v>3955</v>
      </c>
      <c r="I189" s="651"/>
      <c r="J189" s="651"/>
      <c r="K189" s="651"/>
      <c r="L189" s="653" t="str">
        <f t="shared" si="171"/>
        <v>4591</v>
      </c>
      <c r="M189" s="654" t="str">
        <f t="shared" si="172"/>
        <v>VTE - S-TRAIT. CARR.</v>
      </c>
      <c r="N189" s="655">
        <f>+IF(OR($Q189=Parametres!$G$2,$Q189=Parametres!$G$3),I189,C189)</f>
        <v>-11361.88</v>
      </c>
      <c r="O189" s="655">
        <f>+IF(OR($Q189=Parametres!$G$2,$Q189=Parametres!$G$3),J189,D189)</f>
        <v>-8024.4</v>
      </c>
      <c r="P189" s="655">
        <f>+IF(OR($Q189=Parametres!$G$2,$Q189=Parametres!$G$3),K189,E189)</f>
        <v>-19386.28</v>
      </c>
      <c r="Q189" s="654" t="str">
        <f t="shared" si="173"/>
        <v>5-Ventes</v>
      </c>
      <c r="R189" s="653" t="str">
        <f t="shared" si="174"/>
        <v>4591</v>
      </c>
      <c r="S189" s="654" t="str">
        <f t="shared" si="175"/>
        <v>_</v>
      </c>
      <c r="T189" s="656" t="str">
        <f>+VLOOKUP($L189,Data_Validation!$A:$D,1,0)</f>
        <v>4591</v>
      </c>
      <c r="U189" s="656" t="str">
        <f>+VLOOKUP($L189,Data_Validation!$A:$D,3,0)</f>
        <v>Carrosserie</v>
      </c>
      <c r="V189" s="656" t="str">
        <f>+VLOOKUP($L189,Data_Validation!$A:$D,4,0)</f>
        <v>M/O Sous-traitement</v>
      </c>
      <c r="W189" s="656" t="str">
        <f>+VLOOKUP($L189,Data_Validation!$A:$E,5,0)</f>
        <v>$</v>
      </c>
      <c r="X189" s="656" t="str">
        <f>+VLOOKUP($L189,Data_Validation!$A:$F,6,0)</f>
        <v>Oui</v>
      </c>
    </row>
    <row r="190" spans="1:24" ht="15" customHeight="1">
      <c r="A190" s="1252" t="s">
        <v>1054</v>
      </c>
      <c r="B190" s="1252" t="s">
        <v>1055</v>
      </c>
      <c r="C190" s="1254">
        <v>-33621.29</v>
      </c>
      <c r="D190" s="1254">
        <v>-11126.28</v>
      </c>
      <c r="E190" s="1254">
        <v>-44747.57</v>
      </c>
      <c r="F190" s="1252" t="s">
        <v>963</v>
      </c>
      <c r="G190" s="1252" t="s">
        <v>1055</v>
      </c>
      <c r="H190" s="1252" t="s">
        <v>3955</v>
      </c>
      <c r="I190" s="652"/>
      <c r="J190" s="652"/>
      <c r="K190" s="652"/>
      <c r="L190" s="653" t="str">
        <f t="shared" si="171"/>
        <v>4593</v>
      </c>
      <c r="M190" s="654" t="str">
        <f t="shared" si="172"/>
        <v>VTE - SOUS-TRAITANCE GARANTIE CARR.</v>
      </c>
      <c r="N190" s="655">
        <f>+IF(OR($Q190=Parametres!$G$2,$Q190=Parametres!$G$3),I190,C190)</f>
        <v>-33621.29</v>
      </c>
      <c r="O190" s="655">
        <f>+IF(OR($Q190=Parametres!$G$2,$Q190=Parametres!$G$3),J190,D190)</f>
        <v>-11126.28</v>
      </c>
      <c r="P190" s="655">
        <f>+IF(OR($Q190=Parametres!$G$2,$Q190=Parametres!$G$3),K190,E190)</f>
        <v>-44747.57</v>
      </c>
      <c r="Q190" s="654" t="str">
        <f t="shared" si="173"/>
        <v>5-Ventes</v>
      </c>
      <c r="R190" s="653" t="str">
        <f t="shared" si="174"/>
        <v>4593</v>
      </c>
      <c r="S190" s="654" t="str">
        <f t="shared" si="175"/>
        <v>_</v>
      </c>
      <c r="T190" s="656" t="str">
        <f>+VLOOKUP($L190,Data_Validation!$A:$D,1,0)</f>
        <v>4593</v>
      </c>
      <c r="U190" s="656" t="str">
        <f>+VLOOKUP($L190,Data_Validation!$A:$D,3,0)</f>
        <v>Carrosserie</v>
      </c>
      <c r="V190" s="656" t="str">
        <f>+VLOOKUP($L190,Data_Validation!$A:$D,4,0)</f>
        <v>M/O Sous-traitement</v>
      </c>
      <c r="W190" s="656" t="str">
        <f>+VLOOKUP($L190,Data_Validation!$A:$E,5,0)</f>
        <v>$</v>
      </c>
      <c r="X190" s="656" t="str">
        <f>+VLOOKUP($L190,Data_Validation!$A:$F,6,0)</f>
        <v>Oui</v>
      </c>
    </row>
    <row r="191" spans="1:24" ht="15" customHeight="1">
      <c r="A191" s="1252" t="s">
        <v>1058</v>
      </c>
      <c r="B191" s="1252" t="s">
        <v>1059</v>
      </c>
      <c r="C191" s="1254">
        <v>-4740.22</v>
      </c>
      <c r="D191" s="1254">
        <v>0</v>
      </c>
      <c r="E191" s="1254">
        <v>-4740.22</v>
      </c>
      <c r="F191" s="1252" t="s">
        <v>963</v>
      </c>
      <c r="G191" s="1252" t="s">
        <v>1059</v>
      </c>
      <c r="H191" s="1252" t="s">
        <v>3955</v>
      </c>
      <c r="I191" s="651"/>
      <c r="J191" s="651"/>
      <c r="K191" s="670"/>
      <c r="L191" s="653" t="str">
        <f t="shared" si="171"/>
        <v>4595</v>
      </c>
      <c r="M191" s="654" t="str">
        <f t="shared" si="172"/>
        <v>VTE - SOUS-TRAITANCE INTERNE CARR.</v>
      </c>
      <c r="N191" s="655">
        <f>+IF(OR($Q191=Parametres!$G$2,$Q191=Parametres!$G$3),I191,C191)</f>
        <v>-4740.22</v>
      </c>
      <c r="O191" s="655">
        <f>+IF(OR($Q191=Parametres!$G$2,$Q191=Parametres!$G$3),J191,D191)</f>
        <v>0</v>
      </c>
      <c r="P191" s="655">
        <f>+IF(OR($Q191=Parametres!$G$2,$Q191=Parametres!$G$3),K191,E191)</f>
        <v>-4740.22</v>
      </c>
      <c r="Q191" s="654" t="str">
        <f t="shared" si="173"/>
        <v>5-Ventes</v>
      </c>
      <c r="R191" s="653" t="str">
        <f t="shared" si="174"/>
        <v>4595</v>
      </c>
      <c r="S191" s="654" t="str">
        <f t="shared" si="175"/>
        <v>_</v>
      </c>
      <c r="T191" s="656" t="str">
        <f>+VLOOKUP($L191,Data_Validation!$A:$D,1,0)</f>
        <v>4595</v>
      </c>
      <c r="U191" s="656" t="str">
        <f>+VLOOKUP($L191,Data_Validation!$A:$D,3,0)</f>
        <v>Carrosserie</v>
      </c>
      <c r="V191" s="656" t="str">
        <f>+VLOOKUP($L191,Data_Validation!$A:$D,4,0)</f>
        <v>M/O Sous-traitement</v>
      </c>
      <c r="W191" s="656" t="str">
        <f>+VLOOKUP($L191,Data_Validation!$A:$E,5,0)</f>
        <v>$</v>
      </c>
      <c r="X191" s="656" t="str">
        <f>+VLOOKUP($L191,Data_Validation!$A:$F,6,0)</f>
        <v>Oui</v>
      </c>
    </row>
    <row r="192" spans="1:24" ht="15" customHeight="1">
      <c r="A192" s="1252" t="s">
        <v>3674</v>
      </c>
      <c r="B192" s="1252" t="s">
        <v>1063</v>
      </c>
      <c r="C192" s="1254">
        <v>-195593.88</v>
      </c>
      <c r="D192" s="1254">
        <v>-73903.259999999995</v>
      </c>
      <c r="E192" s="1254">
        <v>-269497.14</v>
      </c>
      <c r="F192" s="1252" t="s">
        <v>963</v>
      </c>
      <c r="G192" s="1252" t="s">
        <v>1063</v>
      </c>
      <c r="H192" s="1252" t="s">
        <v>3955</v>
      </c>
      <c r="I192" s="652"/>
      <c r="J192" s="652"/>
      <c r="K192" s="652"/>
      <c r="L192" s="653" t="str">
        <f t="shared" si="171"/>
        <v>4701</v>
      </c>
      <c r="M192" s="654" t="str">
        <f t="shared" si="172"/>
        <v>VW P&amp;A - BR - CLIENT - MCI</v>
      </c>
      <c r="N192" s="655">
        <f>+IF(OR($Q192=Parametres!$G$2,$Q192=Parametres!$G$3),I192,C192)</f>
        <v>-195593.88</v>
      </c>
      <c r="O192" s="655">
        <f>+IF(OR($Q192=Parametres!$G$2,$Q192=Parametres!$G$3),J192,D192)</f>
        <v>-73903.259999999995</v>
      </c>
      <c r="P192" s="655">
        <f>+IF(OR($Q192=Parametres!$G$2,$Q192=Parametres!$G$3),K192,E192)</f>
        <v>-269497.14</v>
      </c>
      <c r="Q192" s="654" t="str">
        <f t="shared" si="173"/>
        <v>5-Ventes</v>
      </c>
      <c r="R192" s="653" t="str">
        <f t="shared" si="174"/>
        <v>4701</v>
      </c>
      <c r="S192" s="654" t="str">
        <f t="shared" si="175"/>
        <v>_</v>
      </c>
      <c r="T192" s="656" t="str">
        <f>+VLOOKUP($L192,Data_Validation!$A:$D,1,0)</f>
        <v>4701</v>
      </c>
      <c r="U192" s="656" t="str">
        <f>+VLOOKUP($L192,Data_Validation!$A:$D,3,0)</f>
        <v>Pièces</v>
      </c>
      <c r="V192" s="656" t="str">
        <f>+VLOOKUP($L192,Data_Validation!$A:$D,4,0)</f>
        <v>Pièces Ro Clients</v>
      </c>
      <c r="W192" s="656" t="str">
        <f>+VLOOKUP($L192,Data_Validation!$A:$E,5,0)</f>
        <v>$</v>
      </c>
      <c r="X192" s="656" t="str">
        <f>+VLOOKUP($L192,Data_Validation!$A:$F,6,0)</f>
        <v>Oui</v>
      </c>
    </row>
    <row r="193" spans="1:24" ht="15" customHeight="1">
      <c r="A193" s="1252" t="s">
        <v>1066</v>
      </c>
      <c r="B193" s="1252" t="s">
        <v>1067</v>
      </c>
      <c r="C193" s="1254">
        <v>-1100.1500000000001</v>
      </c>
      <c r="D193" s="1254">
        <v>-1270.2</v>
      </c>
      <c r="E193" s="1254">
        <v>-2370.35</v>
      </c>
      <c r="F193" s="1252" t="s">
        <v>963</v>
      </c>
      <c r="G193" s="1252" t="s">
        <v>1067</v>
      </c>
      <c r="H193" s="1252" t="s">
        <v>3955</v>
      </c>
      <c r="I193" s="651"/>
      <c r="J193" s="651"/>
      <c r="K193" s="670"/>
      <c r="L193" s="653" t="str">
        <f t="shared" si="171"/>
        <v>4702</v>
      </c>
      <c r="M193" s="654" t="str">
        <f t="shared" si="172"/>
        <v>VTE - SHOP SUPPLY VW</v>
      </c>
      <c r="N193" s="655">
        <f>+IF(OR($Q193=Parametres!$G$2,$Q193=Parametres!$G$3),I193,C193)</f>
        <v>-1100.1500000000001</v>
      </c>
      <c r="O193" s="655">
        <f>+IF(OR($Q193=Parametres!$G$2,$Q193=Parametres!$G$3),J193,D193)</f>
        <v>-1270.2</v>
      </c>
      <c r="P193" s="655">
        <f>+IF(OR($Q193=Parametres!$G$2,$Q193=Parametres!$G$3),K193,E193)</f>
        <v>-2370.35</v>
      </c>
      <c r="Q193" s="654" t="str">
        <f t="shared" si="173"/>
        <v>5-Ventes</v>
      </c>
      <c r="R193" s="653" t="str">
        <f t="shared" si="174"/>
        <v>4702</v>
      </c>
      <c r="S193" s="654" t="str">
        <f t="shared" si="175"/>
        <v>_</v>
      </c>
      <c r="T193" s="656" t="str">
        <f>+VLOOKUP($L193,Data_Validation!$A:$D,1,0)</f>
        <v>4702</v>
      </c>
      <c r="U193" s="656" t="str">
        <f>+VLOOKUP($L193,Data_Validation!$A:$D,3,0)</f>
        <v>Service</v>
      </c>
      <c r="V193" s="656" t="str">
        <f>+VLOOKUP($L193,Data_Validation!$A:$D,4,0)</f>
        <v>M/O Client</v>
      </c>
      <c r="W193" s="656" t="str">
        <f>+VLOOKUP($L193,Data_Validation!$A:$E,5,0)</f>
        <v>$</v>
      </c>
      <c r="X193" s="656" t="str">
        <f>+VLOOKUP($L193,Data_Validation!$A:$F,6,0)</f>
        <v>Oui</v>
      </c>
    </row>
    <row r="194" spans="1:24" ht="15.75" customHeight="1">
      <c r="A194" s="1252" t="s">
        <v>3675</v>
      </c>
      <c r="B194" s="1252" t="s">
        <v>1069</v>
      </c>
      <c r="C194" s="1254">
        <v>-310746.27</v>
      </c>
      <c r="D194" s="1254">
        <v>-49369.33</v>
      </c>
      <c r="E194" s="1254">
        <v>-360115.6</v>
      </c>
      <c r="F194" s="1252" t="s">
        <v>963</v>
      </c>
      <c r="G194" s="1252" t="s">
        <v>1069</v>
      </c>
      <c r="H194" s="1252" t="s">
        <v>3955</v>
      </c>
      <c r="I194" s="652"/>
      <c r="J194" s="652"/>
      <c r="K194" s="652"/>
      <c r="L194" s="653" t="str">
        <f t="shared" si="171"/>
        <v>4703</v>
      </c>
      <c r="M194" s="654" t="str">
        <f t="shared" si="172"/>
        <v>VW P&amp;A - BR - GARANTIE - MCI</v>
      </c>
      <c r="N194" s="655">
        <f>+IF(OR($Q194=Parametres!$G$2,$Q194=Parametres!$G$3),I194,C194)</f>
        <v>-310746.27</v>
      </c>
      <c r="O194" s="655">
        <f>+IF(OR($Q194=Parametres!$G$2,$Q194=Parametres!$G$3),J194,D194)</f>
        <v>-49369.33</v>
      </c>
      <c r="P194" s="655">
        <f>+IF(OR($Q194=Parametres!$G$2,$Q194=Parametres!$G$3),K194,E194)</f>
        <v>-360115.6</v>
      </c>
      <c r="Q194" s="654" t="str">
        <f t="shared" si="173"/>
        <v>5-Ventes</v>
      </c>
      <c r="R194" s="653" t="str">
        <f t="shared" si="174"/>
        <v>4703</v>
      </c>
      <c r="S194" s="654" t="str">
        <f t="shared" si="175"/>
        <v>_</v>
      </c>
      <c r="T194" s="656" t="str">
        <f>+VLOOKUP($L194,Data_Validation!$A:$D,1,0)</f>
        <v>4703</v>
      </c>
      <c r="U194" s="656" t="str">
        <f>+VLOOKUP($L194,Data_Validation!$A:$D,3,0)</f>
        <v>Pièces</v>
      </c>
      <c r="V194" s="656" t="str">
        <f>+VLOOKUP($L194,Data_Validation!$A:$D,4,0)</f>
        <v>P/A Garantie</v>
      </c>
      <c r="W194" s="656" t="str">
        <f>+VLOOKUP($L194,Data_Validation!$A:$E,5,0)</f>
        <v>$</v>
      </c>
      <c r="X194" s="656" t="str">
        <f>+VLOOKUP($L194,Data_Validation!$A:$F,6,0)</f>
        <v>Oui</v>
      </c>
    </row>
    <row r="195" spans="1:24" ht="15" customHeight="1">
      <c r="A195" s="1252" t="s">
        <v>3676</v>
      </c>
      <c r="B195" s="1252" t="s">
        <v>1073</v>
      </c>
      <c r="C195" s="1254">
        <v>-191370.25</v>
      </c>
      <c r="D195" s="1254">
        <v>-51699.32</v>
      </c>
      <c r="E195" s="1254">
        <v>-243069.57</v>
      </c>
      <c r="F195" s="1252" t="s">
        <v>963</v>
      </c>
      <c r="G195" s="1252" t="s">
        <v>1073</v>
      </c>
      <c r="H195" s="1252" t="s">
        <v>3955</v>
      </c>
      <c r="I195" s="670"/>
      <c r="J195" s="651"/>
      <c r="K195" s="670"/>
      <c r="L195" s="653" t="str">
        <f t="shared" si="171"/>
        <v>4705</v>
      </c>
      <c r="M195" s="654" t="str">
        <f t="shared" si="172"/>
        <v>VW P&amp;A - BR - INTERNE - MCI</v>
      </c>
      <c r="N195" s="655">
        <f>+IF(OR($Q195=Parametres!$G$2,$Q195=Parametres!$G$3),I195,C195)</f>
        <v>-191370.25</v>
      </c>
      <c r="O195" s="655">
        <f>+IF(OR($Q195=Parametres!$G$2,$Q195=Parametres!$G$3),J195,D195)</f>
        <v>-51699.32</v>
      </c>
      <c r="P195" s="655">
        <f>+IF(OR($Q195=Parametres!$G$2,$Q195=Parametres!$G$3),K195,E195)</f>
        <v>-243069.57</v>
      </c>
      <c r="Q195" s="654" t="str">
        <f t="shared" si="173"/>
        <v>5-Ventes</v>
      </c>
      <c r="R195" s="653" t="str">
        <f t="shared" si="174"/>
        <v>4705</v>
      </c>
      <c r="S195" s="654" t="str">
        <f t="shared" si="175"/>
        <v>_</v>
      </c>
      <c r="T195" s="656" t="str">
        <f>+VLOOKUP($L195,Data_Validation!$A:$D,1,0)</f>
        <v>4705</v>
      </c>
      <c r="U195" s="656" t="str">
        <f>+VLOOKUP($L195,Data_Validation!$A:$D,3,0)</f>
        <v>Pièces</v>
      </c>
      <c r="V195" s="656" t="str">
        <f>+VLOOKUP($L195,Data_Validation!$A:$D,4,0)</f>
        <v>Ventes Internes</v>
      </c>
      <c r="W195" s="656" t="str">
        <f>+VLOOKUP($L195,Data_Validation!$A:$E,5,0)</f>
        <v>$</v>
      </c>
      <c r="X195" s="656" t="str">
        <f>+VLOOKUP($L195,Data_Validation!$A:$F,6,0)</f>
        <v>Oui</v>
      </c>
    </row>
    <row r="196" spans="1:24" ht="15" customHeight="1">
      <c r="A196" s="1252" t="s">
        <v>3677</v>
      </c>
      <c r="B196" s="1252" t="s">
        <v>1076</v>
      </c>
      <c r="C196" s="1254">
        <v>-345.14</v>
      </c>
      <c r="D196" s="1254">
        <v>-214.95</v>
      </c>
      <c r="E196" s="1254">
        <v>-560.09</v>
      </c>
      <c r="F196" s="1252" t="s">
        <v>963</v>
      </c>
      <c r="G196" s="1252" t="s">
        <v>1076</v>
      </c>
      <c r="H196" s="1252" t="s">
        <v>3955</v>
      </c>
      <c r="I196" s="652"/>
      <c r="J196" s="652"/>
      <c r="K196" s="652"/>
      <c r="L196" s="653" t="str">
        <f t="shared" si="171"/>
        <v>4706</v>
      </c>
      <c r="M196" s="654" t="str">
        <f t="shared" si="172"/>
        <v>VW P&amp;A - BR - CLIENT - VEB</v>
      </c>
      <c r="N196" s="655">
        <f>+IF(OR($Q196=Parametres!$G$2,$Q196=Parametres!$G$3),I196,C196)</f>
        <v>-345.14</v>
      </c>
      <c r="O196" s="655">
        <f>+IF(OR($Q196=Parametres!$G$2,$Q196=Parametres!$G$3),J196,D196)</f>
        <v>-214.95</v>
      </c>
      <c r="P196" s="655">
        <f>+IF(OR($Q196=Parametres!$G$2,$Q196=Parametres!$G$3),K196,E196)</f>
        <v>-560.09</v>
      </c>
      <c r="Q196" s="654" t="str">
        <f t="shared" si="173"/>
        <v>5-Ventes</v>
      </c>
      <c r="R196" s="653" t="str">
        <f t="shared" si="174"/>
        <v>4706</v>
      </c>
      <c r="S196" s="654" t="str">
        <f t="shared" si="175"/>
        <v>_</v>
      </c>
      <c r="T196" s="656" t="str">
        <f>+VLOOKUP($L196,Data_Validation!$A:$D,1,0)</f>
        <v>4706</v>
      </c>
      <c r="U196" s="656" t="str">
        <f>+VLOOKUP($L196,Data_Validation!$A:$D,3,0)</f>
        <v>Service</v>
      </c>
      <c r="V196" s="656" t="str">
        <f>+VLOOKUP($L196,Data_Validation!$A:$D,4,0)</f>
        <v>M/O Interne</v>
      </c>
      <c r="W196" s="656" t="str">
        <f>+VLOOKUP($L196,Data_Validation!$A:$E,5,0)</f>
        <v>$</v>
      </c>
      <c r="X196" s="656" t="str">
        <f>+VLOOKUP($L196,Data_Validation!$A:$F,6,0)</f>
        <v>Oui</v>
      </c>
    </row>
    <row r="197" spans="1:24" ht="15" customHeight="1">
      <c r="A197" s="1252" t="s">
        <v>1077</v>
      </c>
      <c r="B197" s="1252" t="s">
        <v>1142</v>
      </c>
      <c r="C197" s="1254">
        <v>-8688.8799999999992</v>
      </c>
      <c r="D197" s="1254">
        <v>-5710.91</v>
      </c>
      <c r="E197" s="1254">
        <v>-14399.79</v>
      </c>
      <c r="F197" s="1252" t="s">
        <v>963</v>
      </c>
      <c r="G197" s="1252" t="s">
        <v>1078</v>
      </c>
      <c r="H197" s="1252" t="s">
        <v>3955</v>
      </c>
      <c r="I197" s="651"/>
      <c r="J197" s="651"/>
      <c r="K197" s="670"/>
      <c r="L197" s="653" t="str">
        <f t="shared" si="171"/>
        <v>4711</v>
      </c>
      <c r="M197" s="654" t="str">
        <f t="shared" si="172"/>
        <v>VTE - AUTRE PIECE/ACC/CARR B.R. CLIENT</v>
      </c>
      <c r="N197" s="655">
        <f>+IF(OR($Q197=Parametres!$G$2,$Q197=Parametres!$G$3),I197,C197)</f>
        <v>-8688.8799999999992</v>
      </c>
      <c r="O197" s="659">
        <f>+IF(OR($Q197=Parametres!$G$2,$Q197=Parametres!$G$3),J197,D197)</f>
        <v>-5710.91</v>
      </c>
      <c r="P197" s="655">
        <f>+IF(OR($Q197=Parametres!$G$2,$Q197=Parametres!$G$3),K197,E197)</f>
        <v>-14399.79</v>
      </c>
      <c r="Q197" s="654" t="str">
        <f t="shared" si="173"/>
        <v>5-Ventes</v>
      </c>
      <c r="R197" s="653" t="str">
        <f t="shared" si="174"/>
        <v>84711</v>
      </c>
      <c r="S197" s="654" t="str">
        <f t="shared" si="175"/>
        <v>_</v>
      </c>
      <c r="T197" s="656" t="str">
        <f>+VLOOKUP($L197,Data_Validation!$A:$D,1,0)</f>
        <v>4711</v>
      </c>
      <c r="U197" s="656" t="str">
        <f>+VLOOKUP($L197,Data_Validation!$A:$D,3,0)</f>
        <v>Pièces</v>
      </c>
      <c r="V197" s="656" t="str">
        <f>+VLOOKUP($L197,Data_Validation!$A:$D,4,0)</f>
        <v>Pièces Ro Clients</v>
      </c>
      <c r="W197" s="656" t="str">
        <f>+VLOOKUP($L197,Data_Validation!$A:$E,5,0)</f>
        <v>$</v>
      </c>
      <c r="X197" s="656" t="str">
        <f>+VLOOKUP($L197,Data_Validation!$A:$F,6,0)</f>
        <v>Oui</v>
      </c>
    </row>
    <row r="198" spans="1:24" ht="15" customHeight="1">
      <c r="A198" s="1252" t="s">
        <v>3678</v>
      </c>
      <c r="B198" s="1252" t="s">
        <v>1086</v>
      </c>
      <c r="C198" s="1254">
        <v>-1365.95</v>
      </c>
      <c r="D198" s="1254">
        <v>0</v>
      </c>
      <c r="E198" s="1254">
        <v>-1365.95</v>
      </c>
      <c r="F198" s="1252" t="s">
        <v>963</v>
      </c>
      <c r="G198" s="1252" t="s">
        <v>1086</v>
      </c>
      <c r="H198" s="1252" t="s">
        <v>3955</v>
      </c>
      <c r="I198" s="652"/>
      <c r="J198" s="652"/>
      <c r="K198" s="652"/>
      <c r="L198" s="653" t="str">
        <f t="shared" si="171"/>
        <v>4731</v>
      </c>
      <c r="M198" s="654" t="str">
        <f t="shared" si="172"/>
        <v>VW-P&amp;A-P&amp;BRO-CLIENT - MCI</v>
      </c>
      <c r="N198" s="655">
        <f>+IF(OR($Q198=Parametres!$G$2,$Q198=Parametres!$G$3),I198,C198)</f>
        <v>-1365.95</v>
      </c>
      <c r="O198" s="655">
        <f>+IF(OR($Q198=Parametres!$G$2,$Q198=Parametres!$G$3),J198,D198)</f>
        <v>0</v>
      </c>
      <c r="P198" s="655">
        <f>+IF(OR($Q198=Parametres!$G$2,$Q198=Parametres!$G$3),K198,E198)</f>
        <v>-1365.95</v>
      </c>
      <c r="Q198" s="654" t="str">
        <f t="shared" si="173"/>
        <v>5-Ventes</v>
      </c>
      <c r="R198" s="653" t="str">
        <f t="shared" si="174"/>
        <v>4731</v>
      </c>
      <c r="S198" s="654" t="str">
        <f t="shared" si="175"/>
        <v>_</v>
      </c>
      <c r="T198" s="656" t="str">
        <f>+VLOOKUP($L198,Data_Validation!$A:$D,1,0)</f>
        <v>4731</v>
      </c>
      <c r="U198" s="656" t="str">
        <f>+VLOOKUP($L198,Data_Validation!$A:$D,3,0)</f>
        <v>Pièces</v>
      </c>
      <c r="V198" s="656" t="str">
        <f>+VLOOKUP($L198,Data_Validation!$A:$D,4,0)</f>
        <v>Pièces Ro Carrosserie</v>
      </c>
      <c r="W198" s="656" t="str">
        <f>+VLOOKUP($L198,Data_Validation!$A:$E,5,0)</f>
        <v>$</v>
      </c>
      <c r="X198" s="656" t="str">
        <f>+VLOOKUP($L198,Data_Validation!$A:$F,6,0)</f>
        <v>Oui</v>
      </c>
    </row>
    <row r="199" spans="1:24" ht="15.75" customHeight="1">
      <c r="A199" s="1252" t="s">
        <v>3679</v>
      </c>
      <c r="B199" s="1252" t="s">
        <v>1090</v>
      </c>
      <c r="C199" s="1254">
        <v>-16231.77</v>
      </c>
      <c r="D199" s="1254">
        <v>-5388.62</v>
      </c>
      <c r="E199" s="1254">
        <v>-21620.39</v>
      </c>
      <c r="F199" s="1252" t="s">
        <v>963</v>
      </c>
      <c r="G199" s="1252" t="s">
        <v>1090</v>
      </c>
      <c r="H199" s="1252" t="s">
        <v>3955</v>
      </c>
      <c r="I199" s="670"/>
      <c r="J199" s="651"/>
      <c r="K199" s="670"/>
      <c r="L199" s="653" t="str">
        <f t="shared" si="171"/>
        <v>4733</v>
      </c>
      <c r="M199" s="654" t="str">
        <f t="shared" si="172"/>
        <v>VW-P&amp;A-P&amp;BRO-GARANTIE - MCI</v>
      </c>
      <c r="N199" s="655">
        <f>+IF(OR($Q199=Parametres!$G$2,$Q199=Parametres!$G$3),I199,C199)</f>
        <v>-16231.77</v>
      </c>
      <c r="O199" s="655">
        <f>+IF(OR($Q199=Parametres!$G$2,$Q199=Parametres!$G$3),J199,D199)</f>
        <v>-5388.62</v>
      </c>
      <c r="P199" s="655">
        <f>+IF(OR($Q199=Parametres!$G$2,$Q199=Parametres!$G$3),K199,E199)</f>
        <v>-21620.39</v>
      </c>
      <c r="Q199" s="654" t="str">
        <f t="shared" si="173"/>
        <v>5-Ventes</v>
      </c>
      <c r="R199" s="653" t="str">
        <f t="shared" si="174"/>
        <v>4733</v>
      </c>
      <c r="S199" s="654" t="str">
        <f t="shared" si="175"/>
        <v>_</v>
      </c>
      <c r="T199" s="656" t="str">
        <f>+VLOOKUP($L199,Data_Validation!$A:$D,1,0)</f>
        <v>4733</v>
      </c>
      <c r="U199" s="656" t="str">
        <f>+VLOOKUP($L199,Data_Validation!$A:$D,3,0)</f>
        <v>Pièces</v>
      </c>
      <c r="V199" s="656" t="str">
        <f>+VLOOKUP($L199,Data_Validation!$A:$D,4,0)</f>
        <v>Pièces Ro Carrosserie</v>
      </c>
      <c r="W199" s="656" t="str">
        <f>+VLOOKUP($L199,Data_Validation!$A:$E,5,0)</f>
        <v>$</v>
      </c>
      <c r="X199" s="656" t="str">
        <f>+VLOOKUP($L199,Data_Validation!$A:$F,6,0)</f>
        <v>Oui</v>
      </c>
    </row>
    <row r="200" spans="1:24" ht="15" customHeight="1">
      <c r="A200" s="1252" t="s">
        <v>3680</v>
      </c>
      <c r="B200" s="1252" t="s">
        <v>1094</v>
      </c>
      <c r="C200" s="1254">
        <v>-633.58000000000004</v>
      </c>
      <c r="D200" s="1254">
        <v>0</v>
      </c>
      <c r="E200" s="1254">
        <v>-633.58000000000004</v>
      </c>
      <c r="F200" s="1252" t="s">
        <v>963</v>
      </c>
      <c r="G200" s="1252" t="s">
        <v>1094</v>
      </c>
      <c r="H200" s="1252" t="s">
        <v>3955</v>
      </c>
      <c r="I200" s="652"/>
      <c r="J200" s="652"/>
      <c r="K200" s="652"/>
      <c r="L200" s="653" t="str">
        <f t="shared" si="171"/>
        <v>4735</v>
      </c>
      <c r="M200" s="654" t="str">
        <f t="shared" si="172"/>
        <v>VW-P&amp;A-P&amp;BRO-INTERNE - MCI</v>
      </c>
      <c r="N200" s="655">
        <f>+IF(OR($Q200=Parametres!$G$2,$Q200=Parametres!$G$3),I200,C200)</f>
        <v>-633.58000000000004</v>
      </c>
      <c r="O200" s="655">
        <f>+IF(OR($Q200=Parametres!$G$2,$Q200=Parametres!$G$3),J200,D200)</f>
        <v>0</v>
      </c>
      <c r="P200" s="655">
        <f>+IF(OR($Q200=Parametres!$G$2,$Q200=Parametres!$G$3),K200,E200)</f>
        <v>-633.58000000000004</v>
      </c>
      <c r="Q200" s="654" t="str">
        <f t="shared" si="173"/>
        <v>5-Ventes</v>
      </c>
      <c r="R200" s="653" t="str">
        <f t="shared" si="174"/>
        <v>4735</v>
      </c>
      <c r="S200" s="654" t="str">
        <f t="shared" si="175"/>
        <v>_</v>
      </c>
      <c r="T200" s="656" t="str">
        <f>+VLOOKUP($L200,Data_Validation!$A:$D,1,0)</f>
        <v>4735</v>
      </c>
      <c r="U200" s="656" t="str">
        <f>+VLOOKUP($L200,Data_Validation!$A:$D,3,0)</f>
        <v>Pièces</v>
      </c>
      <c r="V200" s="656" t="str">
        <f>+VLOOKUP($L200,Data_Validation!$A:$D,4,0)</f>
        <v>Pièces Ro Carrosserie</v>
      </c>
      <c r="W200" s="656" t="str">
        <f>+VLOOKUP($L200,Data_Validation!$A:$E,5,0)</f>
        <v>$</v>
      </c>
      <c r="X200" s="656" t="str">
        <f>+VLOOKUP($L200,Data_Validation!$A:$F,6,0)</f>
        <v>Oui</v>
      </c>
    </row>
    <row r="201" spans="1:24" ht="15" customHeight="1">
      <c r="A201" s="1252" t="s">
        <v>1097</v>
      </c>
      <c r="B201" s="1252" t="s">
        <v>1098</v>
      </c>
      <c r="C201" s="1254">
        <v>-43978.17</v>
      </c>
      <c r="D201" s="1254">
        <v>-18999.689999999999</v>
      </c>
      <c r="E201" s="1254">
        <v>-62977.86</v>
      </c>
      <c r="F201" s="1252" t="s">
        <v>963</v>
      </c>
      <c r="G201" s="1252" t="s">
        <v>1098</v>
      </c>
      <c r="H201" s="1252" t="s">
        <v>3955</v>
      </c>
      <c r="I201" s="652"/>
      <c r="J201" s="652"/>
      <c r="K201" s="652"/>
      <c r="L201" s="653" t="str">
        <f t="shared" si="171"/>
        <v>4761</v>
      </c>
      <c r="M201" s="654" t="str">
        <f t="shared" si="172"/>
        <v>VTE - P&amp;A VW COMPTOIR - DETAIL</v>
      </c>
      <c r="N201" s="655">
        <f>+IF(OR($Q201=Parametres!$G$2,$Q201=Parametres!$G$3),I201,C201)</f>
        <v>-43978.17</v>
      </c>
      <c r="O201" s="655">
        <f>+IF(OR($Q201=Parametres!$G$2,$Q201=Parametres!$G$3),J201,D201)</f>
        <v>-18999.689999999999</v>
      </c>
      <c r="P201" s="655">
        <f>+IF(OR($Q201=Parametres!$G$2,$Q201=Parametres!$G$3),K201,E201)</f>
        <v>-62977.86</v>
      </c>
      <c r="Q201" s="654" t="str">
        <f t="shared" si="173"/>
        <v>5-Ventes</v>
      </c>
      <c r="R201" s="653" t="str">
        <f t="shared" si="174"/>
        <v>4761</v>
      </c>
      <c r="S201" s="654" t="str">
        <f t="shared" si="175"/>
        <v>_</v>
      </c>
      <c r="T201" s="656" t="str">
        <f>+VLOOKUP($L201,Data_Validation!$A:$D,1,0)</f>
        <v>4761</v>
      </c>
      <c r="U201" s="656" t="str">
        <f>+VLOOKUP($L201,Data_Validation!$A:$D,3,0)</f>
        <v>Pièces</v>
      </c>
      <c r="V201" s="656" t="str">
        <f>+VLOOKUP($L201,Data_Validation!$A:$D,4,0)</f>
        <v>Ventes Détails</v>
      </c>
      <c r="W201" s="656" t="str">
        <f>+VLOOKUP($L201,Data_Validation!$A:$E,5,0)</f>
        <v>$</v>
      </c>
      <c r="X201" s="656" t="str">
        <f>+VLOOKUP($L201,Data_Validation!$A:$F,6,0)</f>
        <v>Oui</v>
      </c>
    </row>
    <row r="202" spans="1:24" ht="15" customHeight="1">
      <c r="A202" s="1252" t="s">
        <v>1101</v>
      </c>
      <c r="B202" s="1252" t="s">
        <v>1102</v>
      </c>
      <c r="C202" s="1254">
        <v>-616155.51</v>
      </c>
      <c r="D202" s="1254">
        <v>-185450.93</v>
      </c>
      <c r="E202" s="1254">
        <v>-801606.44</v>
      </c>
      <c r="F202" s="1252" t="s">
        <v>963</v>
      </c>
      <c r="G202" s="1252" t="s">
        <v>1102</v>
      </c>
      <c r="H202" s="1252" t="s">
        <v>3955</v>
      </c>
      <c r="I202" s="652"/>
      <c r="J202" s="652"/>
      <c r="K202" s="652"/>
      <c r="L202" s="653" t="str">
        <f t="shared" si="171"/>
        <v>4763</v>
      </c>
      <c r="M202" s="654" t="str">
        <f t="shared" si="172"/>
        <v>VTE - P&amp;A VW COMPTOIR GROS - ECHANGE</v>
      </c>
      <c r="N202" s="655">
        <f>+IF(OR($Q202=Parametres!$G$2,$Q202=Parametres!$G$3),I202,C202)</f>
        <v>-616155.51</v>
      </c>
      <c r="O202" s="655">
        <f>+IF(OR($Q202=Parametres!$G$2,$Q202=Parametres!$G$3),J202,D202)</f>
        <v>-185450.93</v>
      </c>
      <c r="P202" s="655">
        <f>+IF(OR($Q202=Parametres!$G$2,$Q202=Parametres!$G$3),K202,E202)</f>
        <v>-801606.44</v>
      </c>
      <c r="Q202" s="654" t="str">
        <f t="shared" si="173"/>
        <v>5-Ventes</v>
      </c>
      <c r="R202" s="653" t="str">
        <f t="shared" si="174"/>
        <v>4763</v>
      </c>
      <c r="S202" s="654" t="str">
        <f t="shared" si="175"/>
        <v>_</v>
      </c>
      <c r="T202" s="656" t="str">
        <f>+VLOOKUP($L202,Data_Validation!$A:$D,1,0)</f>
        <v>4763</v>
      </c>
      <c r="U202" s="656" t="str">
        <f>+VLOOKUP($L202,Data_Validation!$A:$D,3,0)</f>
        <v>Pièces</v>
      </c>
      <c r="V202" s="656" t="str">
        <f>+VLOOKUP($L202,Data_Validation!$A:$D,4,0)</f>
        <v>Ventes de Gros</v>
      </c>
      <c r="W202" s="656" t="str">
        <f>+VLOOKUP($L202,Data_Validation!$A:$E,5,0)</f>
        <v>$</v>
      </c>
      <c r="X202" s="656" t="str">
        <f>+VLOOKUP($L202,Data_Validation!$A:$F,6,0)</f>
        <v>Oui</v>
      </c>
    </row>
    <row r="203" spans="1:24" ht="15" customHeight="1">
      <c r="A203" s="1252" t="s">
        <v>1105</v>
      </c>
      <c r="B203" s="1252" t="s">
        <v>1106</v>
      </c>
      <c r="C203" s="1254">
        <v>-128056.58</v>
      </c>
      <c r="D203" s="1254">
        <v>-43119.76</v>
      </c>
      <c r="E203" s="1254">
        <v>-171176.34</v>
      </c>
      <c r="F203" s="1252" t="s">
        <v>963</v>
      </c>
      <c r="G203" s="1252" t="s">
        <v>1106</v>
      </c>
      <c r="H203" s="1252" t="s">
        <v>3955</v>
      </c>
      <c r="I203" s="660"/>
      <c r="J203" s="660"/>
      <c r="K203" s="660"/>
      <c r="L203" s="653" t="str">
        <f t="shared" si="171"/>
        <v>4781</v>
      </c>
      <c r="M203" s="654" t="str">
        <f t="shared" si="172"/>
        <v>VENTES PNEUS</v>
      </c>
      <c r="N203" s="655">
        <f>+IF(OR($Q203=Parametres!$G$2,$Q203=Parametres!$G$3),I203,C203)</f>
        <v>-128056.58</v>
      </c>
      <c r="O203" s="655">
        <f>+IF(OR($Q203=Parametres!$G$2,$Q203=Parametres!$G$3),J203,D203)</f>
        <v>-43119.76</v>
      </c>
      <c r="P203" s="655">
        <f>+IF(OR($Q203=Parametres!$G$2,$Q203=Parametres!$G$3),K203,E203)</f>
        <v>-171176.34</v>
      </c>
      <c r="Q203" s="654" t="str">
        <f t="shared" si="173"/>
        <v>5-Ventes</v>
      </c>
      <c r="R203" s="653" t="str">
        <f t="shared" si="174"/>
        <v>4781</v>
      </c>
      <c r="S203" s="654" t="str">
        <f t="shared" si="175"/>
        <v>_</v>
      </c>
      <c r="T203" s="656" t="str">
        <f>+VLOOKUP($L203,Data_Validation!$A:$D,1,0)</f>
        <v>4781</v>
      </c>
      <c r="U203" s="656" t="str">
        <f>+VLOOKUP($L203,Data_Validation!$A:$D,3,0)</f>
        <v>Pièces</v>
      </c>
      <c r="V203" s="656" t="str">
        <f>+VLOOKUP($L203,Data_Validation!$A:$D,4,0)</f>
        <v>Ventes Pneus</v>
      </c>
      <c r="W203" s="656" t="str">
        <f>+VLOOKUP($L203,Data_Validation!$A:$E,5,0)</f>
        <v>$</v>
      </c>
      <c r="X203" s="656" t="str">
        <f>+VLOOKUP($L203,Data_Validation!$A:$F,6,0)</f>
        <v>Oui</v>
      </c>
    </row>
    <row r="204" spans="1:24" ht="15" customHeight="1">
      <c r="A204" s="1252" t="s">
        <v>1108</v>
      </c>
      <c r="B204" s="1252" t="s">
        <v>2050</v>
      </c>
      <c r="C204" s="1254">
        <v>-3783.6</v>
      </c>
      <c r="D204" s="1254">
        <v>1037.52</v>
      </c>
      <c r="E204" s="1254">
        <v>-2746.08</v>
      </c>
      <c r="F204" s="1252" t="s">
        <v>963</v>
      </c>
      <c r="G204" s="1252" t="s">
        <v>1106</v>
      </c>
      <c r="H204" s="1252" t="s">
        <v>3955</v>
      </c>
      <c r="I204" s="652"/>
      <c r="J204" s="652"/>
      <c r="K204" s="652"/>
      <c r="L204" s="653" t="str">
        <f t="shared" si="171"/>
        <v>4785</v>
      </c>
      <c r="M204" s="654" t="str">
        <f t="shared" si="172"/>
        <v>VTE - VW PNEUS</v>
      </c>
      <c r="N204" s="655">
        <f>+IF(OR($Q204=Parametres!$G$2,$Q204=Parametres!$G$3),I204,C204)</f>
        <v>-3783.6</v>
      </c>
      <c r="O204" s="659">
        <f>+IF(OR($Q204=Parametres!$G$2,$Q204=Parametres!$G$3),J204,D204)</f>
        <v>1037.52</v>
      </c>
      <c r="P204" s="655">
        <f>+IF(OR($Q204=Parametres!$G$2,$Q204=Parametres!$G$3),K204,E204)</f>
        <v>-2746.08</v>
      </c>
      <c r="Q204" s="654" t="str">
        <f t="shared" si="173"/>
        <v>5-Ventes</v>
      </c>
      <c r="R204" s="653" t="str">
        <f t="shared" si="174"/>
        <v>4781</v>
      </c>
      <c r="S204" s="654" t="str">
        <f t="shared" si="175"/>
        <v>_</v>
      </c>
      <c r="T204" s="656" t="str">
        <f>+VLOOKUP($L204,Data_Validation!$A:$D,1,0)</f>
        <v>4785</v>
      </c>
      <c r="U204" s="656" t="str">
        <f>+VLOOKUP($L204,Data_Validation!$A:$D,3,0)</f>
        <v>Pièces</v>
      </c>
      <c r="V204" s="656" t="str">
        <f>+VLOOKUP($L204,Data_Validation!$A:$D,4,0)</f>
        <v>Ventes Pneus</v>
      </c>
      <c r="W204" s="656" t="str">
        <f>+VLOOKUP($L204,Data_Validation!$A:$E,5,0)</f>
        <v>$</v>
      </c>
      <c r="X204" s="656" t="str">
        <f>+VLOOKUP($L204,Data_Validation!$A:$F,6,0)</f>
        <v>Oui</v>
      </c>
    </row>
    <row r="205" spans="1:24" ht="15" customHeight="1">
      <c r="A205" s="1252" t="s">
        <v>1109</v>
      </c>
      <c r="B205" s="1252" t="s">
        <v>2058</v>
      </c>
      <c r="C205" s="1254">
        <v>871435.67</v>
      </c>
      <c r="D205" s="1254">
        <v>265531.71000000002</v>
      </c>
      <c r="E205" s="1254">
        <v>1136967.3799999999</v>
      </c>
      <c r="F205" s="1252" t="s">
        <v>1110</v>
      </c>
      <c r="G205" s="1252" t="s">
        <v>964</v>
      </c>
      <c r="H205" s="1252" t="s">
        <v>3955</v>
      </c>
      <c r="I205" s="670"/>
      <c r="J205" s="651"/>
      <c r="K205" s="670"/>
      <c r="L205" s="653" t="str">
        <f t="shared" si="171"/>
        <v>5100</v>
      </c>
      <c r="M205" s="654" t="str">
        <f t="shared" si="172"/>
        <v>C/V - RACHAT DE BAIL</v>
      </c>
      <c r="N205" s="655">
        <f>+IF(OR($Q205=Parametres!$G$2,$Q205=Parametres!$G$3),I205,C205)</f>
        <v>871435.67</v>
      </c>
      <c r="O205" s="655">
        <f>+IF(OR($Q205=Parametres!$G$2,$Q205=Parametres!$G$3),J205,D205)</f>
        <v>265531.71000000002</v>
      </c>
      <c r="P205" s="655">
        <f>+IF(OR($Q205=Parametres!$G$2,$Q205=Parametres!$G$3),K205,E205)</f>
        <v>1136967.3799999999</v>
      </c>
      <c r="Q205" s="654" t="str">
        <f t="shared" si="173"/>
        <v>6-Coût des ventes</v>
      </c>
      <c r="R205" s="653" t="str">
        <f t="shared" si="174"/>
        <v>4100</v>
      </c>
      <c r="S205" s="654" t="str">
        <f t="shared" si="175"/>
        <v>_</v>
      </c>
      <c r="T205" s="671" t="str">
        <f>+VLOOKUP($L205,Data_Validation!$A:$D,1,0)</f>
        <v>5100</v>
      </c>
      <c r="U205" s="656" t="str">
        <f>+VLOOKUP($L205,Data_Validation!$A:$D,3,0)</f>
        <v>Véhicules neufs</v>
      </c>
      <c r="V205" s="656" t="str">
        <f>+VLOOKUP($L205,Data_Validation!$A:$D,4,0)</f>
        <v>Rachat bail</v>
      </c>
      <c r="W205" s="656" t="str">
        <f>+VLOOKUP($L205,Data_Validation!$A:$E,5,0)</f>
        <v>$</v>
      </c>
      <c r="X205" s="656">
        <f>+VLOOKUP($L205,Data_Validation!$A:$F,6,0)</f>
        <v>0</v>
      </c>
    </row>
    <row r="206" spans="1:24" ht="15.75" customHeight="1">
      <c r="A206" s="1252" t="s">
        <v>1111</v>
      </c>
      <c r="B206" s="1252" t="s">
        <v>2070</v>
      </c>
      <c r="C206" s="1254">
        <v>200482.21</v>
      </c>
      <c r="D206" s="1254">
        <v>348924.01</v>
      </c>
      <c r="E206" s="1254">
        <v>549406.22</v>
      </c>
      <c r="F206" s="1252" t="s">
        <v>1110</v>
      </c>
      <c r="G206" s="1252" t="s">
        <v>968</v>
      </c>
      <c r="H206" s="1252" t="s">
        <v>3955</v>
      </c>
      <c r="I206" s="652"/>
      <c r="J206" s="652"/>
      <c r="K206" s="652"/>
      <c r="L206" s="653" t="str">
        <f t="shared" si="171"/>
        <v>5109</v>
      </c>
      <c r="M206" s="654" t="str">
        <f t="shared" si="172"/>
        <v>C/V - GOLF R</v>
      </c>
      <c r="N206" s="655">
        <f>+IF(OR($Q206=Parametres!$G$2,$Q206=Parametres!$G$3),I206,C206)</f>
        <v>200482.21</v>
      </c>
      <c r="O206" s="655">
        <f>+IF(OR($Q206=Parametres!$G$2,$Q206=Parametres!$G$3),J206,D206)</f>
        <v>348924.01</v>
      </c>
      <c r="P206" s="655">
        <f>+IF(OR($Q206=Parametres!$G$2,$Q206=Parametres!$G$3),K206,E206)</f>
        <v>549406.22</v>
      </c>
      <c r="Q206" s="654" t="str">
        <f t="shared" si="173"/>
        <v>6-Coût des ventes</v>
      </c>
      <c r="R206" s="653" t="str">
        <f t="shared" si="174"/>
        <v>4109</v>
      </c>
      <c r="S206" s="654" t="str">
        <f t="shared" si="175"/>
        <v>_</v>
      </c>
      <c r="T206" s="656" t="str">
        <f>+VLOOKUP($L206,Data_Validation!$A:$D,1,0)</f>
        <v>5109</v>
      </c>
      <c r="U206" s="656" t="str">
        <f>+VLOOKUP($L206,Data_Validation!$A:$D,3,0)</f>
        <v>Véhicules neufs</v>
      </c>
      <c r="V206" s="656" t="str">
        <f>+VLOOKUP($L206,Data_Validation!$A:$D,4,0)</f>
        <v>Autos détail</v>
      </c>
      <c r="W206" s="656" t="str">
        <f>+VLOOKUP($L206,Data_Validation!$A:$E,5,0)</f>
        <v>$</v>
      </c>
      <c r="X206" s="656">
        <f>+VLOOKUP($L206,Data_Validation!$A:$F,6,0)</f>
        <v>0</v>
      </c>
    </row>
    <row r="207" spans="1:24" ht="15" customHeight="1">
      <c r="A207" s="1252" t="s">
        <v>971</v>
      </c>
      <c r="B207" s="1252" t="s">
        <v>2075</v>
      </c>
      <c r="C207" s="1254">
        <v>380519.32</v>
      </c>
      <c r="D207" s="1254">
        <v>292710.34999999998</v>
      </c>
      <c r="E207" s="1254">
        <v>673229.67</v>
      </c>
      <c r="F207" s="1252" t="s">
        <v>1110</v>
      </c>
      <c r="G207" s="1252" t="s">
        <v>972</v>
      </c>
      <c r="H207" s="1252" t="s">
        <v>3955</v>
      </c>
      <c r="I207" s="670"/>
      <c r="J207" s="651"/>
      <c r="K207" s="670"/>
      <c r="L207" s="653" t="str">
        <f t="shared" si="171"/>
        <v>5111</v>
      </c>
      <c r="M207" s="654" t="str">
        <f t="shared" si="172"/>
        <v>JETTA/ JETTA GLI</v>
      </c>
      <c r="N207" s="655">
        <f>+IF(OR($Q207=Parametres!$G$2,$Q207=Parametres!$G$3),I207,C207)</f>
        <v>380519.32</v>
      </c>
      <c r="O207" s="659">
        <f>+IF(OR($Q207=Parametres!$G$2,$Q207=Parametres!$G$3),J207,D207)</f>
        <v>292710.34999999998</v>
      </c>
      <c r="P207" s="655">
        <f>+IF(OR($Q207=Parametres!$G$2,$Q207=Parametres!$G$3),K207,E207)</f>
        <v>673229.67</v>
      </c>
      <c r="Q207" s="654" t="str">
        <f t="shared" si="173"/>
        <v>6-Coût des ventes</v>
      </c>
      <c r="R207" s="653" t="str">
        <f t="shared" si="174"/>
        <v>4111</v>
      </c>
      <c r="S207" s="654" t="str">
        <f t="shared" si="175"/>
        <v>_</v>
      </c>
      <c r="T207" s="656" t="str">
        <f>+VLOOKUP($L207,Data_Validation!$A:$D,1,0)</f>
        <v>5111</v>
      </c>
      <c r="U207" s="656" t="str">
        <f>+VLOOKUP($L207,Data_Validation!$A:$D,3,0)</f>
        <v>Véhicules neufs</v>
      </c>
      <c r="V207" s="656" t="str">
        <f>+VLOOKUP($L207,Data_Validation!$A:$D,4,0)</f>
        <v>Autos détail</v>
      </c>
      <c r="W207" s="656" t="str">
        <f>+VLOOKUP($L207,Data_Validation!$A:$E,5,0)</f>
        <v>$</v>
      </c>
      <c r="X207" s="656">
        <f>+VLOOKUP($L207,Data_Validation!$A:$F,6,0)</f>
        <v>0</v>
      </c>
    </row>
    <row r="208" spans="1:24" ht="15" customHeight="1">
      <c r="A208" s="1252" t="s">
        <v>1112</v>
      </c>
      <c r="B208" s="1252" t="s">
        <v>3384</v>
      </c>
      <c r="C208" s="1254">
        <v>1710003.11</v>
      </c>
      <c r="D208" s="1254">
        <v>712834.1</v>
      </c>
      <c r="E208" s="1254">
        <v>2422837.21</v>
      </c>
      <c r="F208" s="1252" t="s">
        <v>1110</v>
      </c>
      <c r="G208" s="1252" t="s">
        <v>1113</v>
      </c>
      <c r="H208" s="1252" t="s">
        <v>3955</v>
      </c>
      <c r="I208" s="652"/>
      <c r="J208" s="652"/>
      <c r="K208" s="652"/>
      <c r="L208" s="653" t="str">
        <f t="shared" si="171"/>
        <v>5118</v>
      </c>
      <c r="M208" s="654" t="str">
        <f t="shared" si="172"/>
        <v>C/V - TAOS</v>
      </c>
      <c r="N208" s="655">
        <f>+IF(OR($Q208=Parametres!$G$2,$Q208=Parametres!$G$3),I208,C208)</f>
        <v>1710003.11</v>
      </c>
      <c r="O208" s="655">
        <f>+IF(OR($Q208=Parametres!$G$2,$Q208=Parametres!$G$3),J208,D208)</f>
        <v>712834.1</v>
      </c>
      <c r="P208" s="655">
        <f>+IF(OR($Q208=Parametres!$G$2,$Q208=Parametres!$G$3),K208,E208)</f>
        <v>2422837.21</v>
      </c>
      <c r="Q208" s="654" t="str">
        <f t="shared" si="173"/>
        <v>6-Coût des ventes</v>
      </c>
      <c r="R208" s="653" t="str">
        <f t="shared" si="174"/>
        <v>511</v>
      </c>
      <c r="S208" s="654" t="str">
        <f t="shared" si="175"/>
        <v>_</v>
      </c>
      <c r="T208" s="656" t="str">
        <f>+VLOOKUP($L208,Data_Validation!$A:$D,1,0)</f>
        <v>5118</v>
      </c>
      <c r="U208" s="656" t="str">
        <f>+VLOOKUP($L208,Data_Validation!$A:$D,3,0)</f>
        <v>Véhicules neufs</v>
      </c>
      <c r="V208" s="656" t="str">
        <f>+VLOOKUP($L208,Data_Validation!$A:$D,4,0)</f>
        <v>Camions détail</v>
      </c>
      <c r="W208" s="656" t="str">
        <f>+VLOOKUP($L208,Data_Validation!$A:$E,5,0)</f>
        <v>$</v>
      </c>
      <c r="X208" s="656">
        <f>+VLOOKUP($L208,Data_Validation!$A:$F,6,0)</f>
        <v>0</v>
      </c>
    </row>
    <row r="209" spans="1:24" ht="15" customHeight="1">
      <c r="A209" s="1252" t="s">
        <v>1114</v>
      </c>
      <c r="B209" s="1252" t="s">
        <v>2084</v>
      </c>
      <c r="C209" s="1254">
        <v>829174.82</v>
      </c>
      <c r="D209" s="1254">
        <v>461684.04</v>
      </c>
      <c r="E209" s="1254">
        <v>1290858.8600000001</v>
      </c>
      <c r="F209" s="1252" t="s">
        <v>1110</v>
      </c>
      <c r="G209" s="1252" t="s">
        <v>980</v>
      </c>
      <c r="H209" s="1252" t="s">
        <v>3955</v>
      </c>
      <c r="I209" s="670"/>
      <c r="J209" s="651"/>
      <c r="K209" s="670"/>
      <c r="L209" s="653" t="str">
        <f t="shared" si="171"/>
        <v>5119</v>
      </c>
      <c r="M209" s="654" t="str">
        <f t="shared" si="172"/>
        <v>C/V - ATLAS</v>
      </c>
      <c r="N209" s="655">
        <f>+IF(OR($Q209=Parametres!$G$2,$Q209=Parametres!$G$3),I209,C209)</f>
        <v>829174.82</v>
      </c>
      <c r="O209" s="655">
        <f>+IF(OR($Q209=Parametres!$G$2,$Q209=Parametres!$G$3),J209,D209)</f>
        <v>461684.04</v>
      </c>
      <c r="P209" s="655">
        <f>+IF(OR($Q209=Parametres!$G$2,$Q209=Parametres!$G$3),K209,E209)</f>
        <v>1290858.8600000001</v>
      </c>
      <c r="Q209" s="654" t="str">
        <f t="shared" si="173"/>
        <v>6-Coût des ventes</v>
      </c>
      <c r="R209" s="653" t="str">
        <f t="shared" si="174"/>
        <v>4119</v>
      </c>
      <c r="S209" s="654" t="str">
        <f t="shared" si="175"/>
        <v>_</v>
      </c>
      <c r="T209" s="671" t="str">
        <f>+VLOOKUP($L209,Data_Validation!$A:$D,1,0)</f>
        <v>5119</v>
      </c>
      <c r="U209" s="656" t="str">
        <f>+VLOOKUP($L209,Data_Validation!$A:$D,3,0)</f>
        <v>Véhicules neufs</v>
      </c>
      <c r="V209" s="656" t="str">
        <f>+VLOOKUP($L209,Data_Validation!$A:$D,4,0)</f>
        <v>Camions détail</v>
      </c>
      <c r="W209" s="656" t="str">
        <f>+VLOOKUP($L209,Data_Validation!$A:$E,5,0)</f>
        <v>$</v>
      </c>
      <c r="X209" s="656">
        <f>+VLOOKUP($L209,Data_Validation!$A:$F,6,0)</f>
        <v>0</v>
      </c>
    </row>
    <row r="210" spans="1:24" ht="15" customHeight="1">
      <c r="A210" s="1252" t="s">
        <v>1115</v>
      </c>
      <c r="B210" s="1252" t="s">
        <v>3385</v>
      </c>
      <c r="C210" s="1254">
        <v>283520.55</v>
      </c>
      <c r="D210" s="1254">
        <v>273292.3</v>
      </c>
      <c r="E210" s="1254">
        <v>556812.85</v>
      </c>
      <c r="F210" s="1252" t="s">
        <v>1110</v>
      </c>
      <c r="G210" s="1252" t="s">
        <v>3349</v>
      </c>
      <c r="H210" s="1252" t="s">
        <v>3955</v>
      </c>
      <c r="I210" s="652"/>
      <c r="J210" s="652"/>
      <c r="K210" s="652"/>
      <c r="L210" s="653" t="str">
        <f t="shared" si="171"/>
        <v>5121</v>
      </c>
      <c r="M210" s="654" t="str">
        <f t="shared" si="172"/>
        <v>C/V - ATLAS CROSS SPORT</v>
      </c>
      <c r="N210" s="655">
        <f>+IF(OR($Q210=Parametres!$G$2,$Q210=Parametres!$G$3),I210,C210)</f>
        <v>283520.55</v>
      </c>
      <c r="O210" s="659">
        <f>+IF(OR($Q210=Parametres!$G$2,$Q210=Parametres!$G$3),J210,D210)</f>
        <v>273292.3</v>
      </c>
      <c r="P210" s="655">
        <f>+IF(OR($Q210=Parametres!$G$2,$Q210=Parametres!$G$3),K210,E210)</f>
        <v>556812.85</v>
      </c>
      <c r="Q210" s="654" t="str">
        <f t="shared" si="173"/>
        <v>6-Coût des ventes</v>
      </c>
      <c r="R210" s="653" t="str">
        <f t="shared" si="174"/>
        <v>4121</v>
      </c>
      <c r="S210" s="654" t="str">
        <f t="shared" si="175"/>
        <v>_</v>
      </c>
      <c r="T210" s="656" t="str">
        <f>+VLOOKUP($L210,Data_Validation!$A:$D,1,0)</f>
        <v>5121</v>
      </c>
      <c r="U210" s="656" t="str">
        <f>+VLOOKUP($L210,Data_Validation!$A:$D,3,0)</f>
        <v>Véhicules neufs</v>
      </c>
      <c r="V210" s="656" t="str">
        <f>+VLOOKUP($L210,Data_Validation!$A:$D,4,0)</f>
        <v>Camions détail</v>
      </c>
      <c r="W210" s="656" t="str">
        <f>+VLOOKUP($L210,Data_Validation!$A:$E,5,0)</f>
        <v>$</v>
      </c>
      <c r="X210" s="656">
        <f>+VLOOKUP($L210,Data_Validation!$A:$F,6,0)</f>
        <v>0</v>
      </c>
    </row>
    <row r="211" spans="1:24" ht="15.75" customHeight="1">
      <c r="A211" s="1252" t="s">
        <v>1116</v>
      </c>
      <c r="B211" s="1252" t="s">
        <v>2090</v>
      </c>
      <c r="C211" s="1254">
        <v>238831.11</v>
      </c>
      <c r="D211" s="1254">
        <v>127521.87</v>
      </c>
      <c r="E211" s="1254">
        <v>366352.98</v>
      </c>
      <c r="F211" s="1252" t="s">
        <v>1110</v>
      </c>
      <c r="G211" s="1252" t="s">
        <v>987</v>
      </c>
      <c r="H211" s="1252" t="s">
        <v>3955</v>
      </c>
      <c r="I211" s="670"/>
      <c r="J211" s="651"/>
      <c r="K211" s="670"/>
      <c r="L211" s="653" t="str">
        <f t="shared" si="171"/>
        <v>5127</v>
      </c>
      <c r="M211" s="654" t="str">
        <f t="shared" si="172"/>
        <v>C/V - GOLF GTI</v>
      </c>
      <c r="N211" s="655">
        <f>+IF(OR($Q211=Parametres!$G$2,$Q211=Parametres!$G$3),I211,C211)</f>
        <v>238831.11</v>
      </c>
      <c r="O211" s="655">
        <f>+IF(OR($Q211=Parametres!$G$2,$Q211=Parametres!$G$3),J211,D211)</f>
        <v>127521.87</v>
      </c>
      <c r="P211" s="655">
        <f>+IF(OR($Q211=Parametres!$G$2,$Q211=Parametres!$G$3),K211,E211)</f>
        <v>366352.98</v>
      </c>
      <c r="Q211" s="654" t="str">
        <f t="shared" si="173"/>
        <v>6-Coût des ventes</v>
      </c>
      <c r="R211" s="653" t="str">
        <f t="shared" si="174"/>
        <v>4127</v>
      </c>
      <c r="S211" s="654" t="str">
        <f t="shared" si="175"/>
        <v>_</v>
      </c>
      <c r="T211" s="656" t="str">
        <f>+VLOOKUP($L211,Data_Validation!$A:$D,1,0)</f>
        <v>5127</v>
      </c>
      <c r="U211" s="656" t="str">
        <f>+VLOOKUP($L211,Data_Validation!$A:$D,3,0)</f>
        <v>Véhicules neufs</v>
      </c>
      <c r="V211" s="656" t="str">
        <f>+VLOOKUP($L211,Data_Validation!$A:$D,4,0)</f>
        <v>Autos détail</v>
      </c>
      <c r="W211" s="656" t="str">
        <f>+VLOOKUP($L211,Data_Validation!$A:$E,5,0)</f>
        <v>$</v>
      </c>
      <c r="X211" s="656">
        <f>+VLOOKUP($L211,Data_Validation!$A:$F,6,0)</f>
        <v>0</v>
      </c>
    </row>
    <row r="212" spans="1:24" ht="15" customHeight="1">
      <c r="A212" s="1252" t="s">
        <v>1117</v>
      </c>
      <c r="B212" s="1252" t="s">
        <v>2093</v>
      </c>
      <c r="C212" s="1254">
        <v>634197</v>
      </c>
      <c r="D212" s="1254">
        <v>0</v>
      </c>
      <c r="E212" s="1254">
        <v>634197</v>
      </c>
      <c r="F212" s="1252" t="s">
        <v>1110</v>
      </c>
      <c r="G212" s="1252" t="s">
        <v>991</v>
      </c>
      <c r="H212" s="1252" t="s">
        <v>3955</v>
      </c>
      <c r="I212" s="652"/>
      <c r="J212" s="652"/>
      <c r="K212" s="652"/>
      <c r="L212" s="653" t="str">
        <f t="shared" si="171"/>
        <v>5131</v>
      </c>
      <c r="M212" s="654" t="str">
        <f t="shared" si="172"/>
        <v>C/V - TIGUAN LWB</v>
      </c>
      <c r="N212" s="655">
        <f>+IF(OR($Q212=Parametres!$G$2,$Q212=Parametres!$G$3),I212,C212)</f>
        <v>634197</v>
      </c>
      <c r="O212" s="655">
        <f>+IF(OR($Q212=Parametres!$G$2,$Q212=Parametres!$G$3),J212,D212)</f>
        <v>0</v>
      </c>
      <c r="P212" s="655">
        <f>+IF(OR($Q212=Parametres!$G$2,$Q212=Parametres!$G$3),K212,E212)</f>
        <v>634197</v>
      </c>
      <c r="Q212" s="654" t="str">
        <f t="shared" si="173"/>
        <v>6-Coût des ventes</v>
      </c>
      <c r="R212" s="653" t="str">
        <f t="shared" si="174"/>
        <v>4131</v>
      </c>
      <c r="S212" s="654" t="str">
        <f t="shared" si="175"/>
        <v>_</v>
      </c>
      <c r="T212" s="656" t="str">
        <f>+VLOOKUP($L212,Data_Validation!$A:$D,1,0)</f>
        <v>5131</v>
      </c>
      <c r="U212" s="656" t="str">
        <f>+VLOOKUP($L212,Data_Validation!$A:$D,3,0)</f>
        <v>Véhicules neufs</v>
      </c>
      <c r="V212" s="656" t="str">
        <f>+VLOOKUP($L212,Data_Validation!$A:$D,4,0)</f>
        <v>Camions détail</v>
      </c>
      <c r="W212" s="656" t="str">
        <f>+VLOOKUP($L212,Data_Validation!$A:$E,5,0)</f>
        <v>$</v>
      </c>
      <c r="X212" s="656">
        <f>+VLOOKUP($L212,Data_Validation!$A:$F,6,0)</f>
        <v>0</v>
      </c>
    </row>
    <row r="213" spans="1:24" ht="15" customHeight="1">
      <c r="A213" s="1252" t="s">
        <v>1118</v>
      </c>
      <c r="B213" s="1252" t="s">
        <v>2099</v>
      </c>
      <c r="C213" s="1254">
        <v>464399.04</v>
      </c>
      <c r="D213" s="1254">
        <v>0</v>
      </c>
      <c r="E213" s="1254">
        <v>464399.04</v>
      </c>
      <c r="F213" s="1252" t="s">
        <v>1110</v>
      </c>
      <c r="G213" s="1252" t="s">
        <v>995</v>
      </c>
      <c r="H213" s="1252" t="s">
        <v>3955</v>
      </c>
      <c r="I213" s="670"/>
      <c r="J213" s="651"/>
      <c r="K213" s="670"/>
      <c r="L213" s="653" t="str">
        <f t="shared" si="171"/>
        <v>5137</v>
      </c>
      <c r="M213" s="654" t="str">
        <f t="shared" si="172"/>
        <v>C/V - VW FLOTTE/VENTE ENTR/EMPLOYE/VEH DEMONS</v>
      </c>
      <c r="N213" s="655">
        <f>+IF(OR($Q213=Parametres!$G$2,$Q213=Parametres!$G$3),I213,C213)</f>
        <v>464399.04</v>
      </c>
      <c r="O213" s="655">
        <f>+IF(OR($Q213=Parametres!$G$2,$Q213=Parametres!$G$3),J213,D213)</f>
        <v>0</v>
      </c>
      <c r="P213" s="655">
        <f>+IF(OR($Q213=Parametres!$G$2,$Q213=Parametres!$G$3),K213,E213)</f>
        <v>464399.04</v>
      </c>
      <c r="Q213" s="654" t="str">
        <f t="shared" si="173"/>
        <v>6-Coût des ventes</v>
      </c>
      <c r="R213" s="653" t="str">
        <f t="shared" si="174"/>
        <v>4137</v>
      </c>
      <c r="S213" s="654" t="str">
        <f t="shared" si="175"/>
        <v>_</v>
      </c>
      <c r="T213" s="656" t="str">
        <f>+VLOOKUP($L213,Data_Validation!$A:$D,1,0)</f>
        <v>5137</v>
      </c>
      <c r="U213" s="656" t="str">
        <f>+VLOOKUP($L213,Data_Validation!$A:$D,3,0)</f>
        <v>Véhicules neufs</v>
      </c>
      <c r="V213" s="656" t="str">
        <f>+VLOOKUP($L213,Data_Validation!$A:$D,4,0)</f>
        <v>Flottes</v>
      </c>
      <c r="W213" s="656" t="str">
        <f>+VLOOKUP($L213,Data_Validation!$A:$E,5,0)</f>
        <v>$</v>
      </c>
      <c r="X213" s="656">
        <f>+VLOOKUP($L213,Data_Validation!$A:$F,6,0)</f>
        <v>0</v>
      </c>
    </row>
    <row r="214" spans="1:24" ht="15" customHeight="1">
      <c r="A214" s="1252" t="s">
        <v>1118</v>
      </c>
      <c r="B214" s="1252" t="s">
        <v>2102</v>
      </c>
      <c r="C214" s="1254">
        <v>341235.63</v>
      </c>
      <c r="D214" s="1254">
        <v>63523.09</v>
      </c>
      <c r="E214" s="1254">
        <v>404758.72</v>
      </c>
      <c r="F214" s="1252" t="s">
        <v>1110</v>
      </c>
      <c r="G214" s="1252" t="s">
        <v>999</v>
      </c>
      <c r="H214" s="1252" t="s">
        <v>3955</v>
      </c>
      <c r="I214" s="652"/>
      <c r="J214" s="652"/>
      <c r="K214" s="652"/>
      <c r="L214" s="653" t="str">
        <f t="shared" si="171"/>
        <v>5139</v>
      </c>
      <c r="M214" s="654" t="str">
        <f t="shared" si="172"/>
        <v>C/V - VW FLOTTE/VENTE ENTR/EMPLOYE/VEH DEMONS</v>
      </c>
      <c r="N214" s="655">
        <f>+IF(OR($Q214=Parametres!$G$2,$Q214=Parametres!$G$3),I214,C214)</f>
        <v>341235.63</v>
      </c>
      <c r="O214" s="655">
        <f>+IF(OR($Q214=Parametres!$G$2,$Q214=Parametres!$G$3),J214,D214)</f>
        <v>63523.09</v>
      </c>
      <c r="P214" s="655">
        <f>+IF(OR($Q214=Parametres!$G$2,$Q214=Parametres!$G$3),K214,E214)</f>
        <v>404758.72</v>
      </c>
      <c r="Q214" s="654" t="str">
        <f t="shared" si="173"/>
        <v>6-Coût des ventes</v>
      </c>
      <c r="R214" s="653" t="str">
        <f t="shared" si="174"/>
        <v>4139</v>
      </c>
      <c r="S214" s="654" t="str">
        <f t="shared" si="175"/>
        <v>_</v>
      </c>
      <c r="T214" s="656" t="str">
        <f>+VLOOKUP($L214,Data_Validation!$A:$D,1,0)</f>
        <v>5139</v>
      </c>
      <c r="U214" s="656" t="str">
        <f>+VLOOKUP($L214,Data_Validation!$A:$D,3,0)</f>
        <v>Véhicules neufs</v>
      </c>
      <c r="V214" s="656" t="str">
        <f>+VLOOKUP($L214,Data_Validation!$A:$D,4,0)</f>
        <v>Ex-Démos et courtoisies</v>
      </c>
      <c r="W214" s="656" t="str">
        <f>+VLOOKUP($L214,Data_Validation!$A:$E,5,0)</f>
        <v>$</v>
      </c>
      <c r="X214" s="656">
        <f>+VLOOKUP($L214,Data_Validation!$A:$F,6,0)</f>
        <v>0</v>
      </c>
    </row>
    <row r="215" spans="1:24" ht="15.75" customHeight="1">
      <c r="A215" s="1252" t="s">
        <v>3895</v>
      </c>
      <c r="B215" s="1252" t="s">
        <v>3896</v>
      </c>
      <c r="C215" s="1254">
        <v>1377625.86</v>
      </c>
      <c r="D215" s="1254">
        <v>-494</v>
      </c>
      <c r="E215" s="1254">
        <v>1377131.86</v>
      </c>
      <c r="F215" s="1252" t="s">
        <v>1110</v>
      </c>
      <c r="G215" s="1252" t="s">
        <v>3894</v>
      </c>
      <c r="H215" s="1252" t="s">
        <v>3955</v>
      </c>
      <c r="I215" s="670"/>
      <c r="J215" s="670"/>
      <c r="K215" s="670"/>
      <c r="L215" s="653" t="str">
        <f t="shared" si="171"/>
        <v>5141</v>
      </c>
      <c r="M215" s="654" t="str">
        <f t="shared" si="172"/>
        <v>C/V - ID4</v>
      </c>
      <c r="N215" s="655">
        <f>+IF(OR($Q215=Parametres!$G$2,$Q215=Parametres!$G$3),I215,C215)</f>
        <v>1377625.86</v>
      </c>
      <c r="O215" s="655">
        <f>+IF(OR($Q215=Parametres!$G$2,$Q215=Parametres!$G$3),J215,D215)</f>
        <v>-494</v>
      </c>
      <c r="P215" s="655">
        <f>+IF(OR($Q215=Parametres!$G$2,$Q215=Parametres!$G$3),K215,E215)</f>
        <v>1377131.86</v>
      </c>
      <c r="Q215" s="654" t="str">
        <f t="shared" si="173"/>
        <v>6-Coût des ventes</v>
      </c>
      <c r="R215" s="653" t="str">
        <f t="shared" si="174"/>
        <v>4141</v>
      </c>
      <c r="S215" s="654" t="str">
        <f t="shared" si="175"/>
        <v>_</v>
      </c>
      <c r="T215" s="656" t="str">
        <f>+VLOOKUP($L215,Data_Validation!$A:$D,1,0)</f>
        <v>5141</v>
      </c>
      <c r="U215" s="656" t="str">
        <f>+VLOOKUP($L215,Data_Validation!$A:$D,3,0)</f>
        <v>Véhicules neufs</v>
      </c>
      <c r="V215" s="656" t="str">
        <f>+VLOOKUP($L215,Data_Validation!$A:$D,4,0)</f>
        <v>Camions détail</v>
      </c>
      <c r="W215" s="656" t="str">
        <f>+VLOOKUP($L215,Data_Validation!$A:$E,5,0)</f>
        <v>$</v>
      </c>
      <c r="X215" s="656">
        <f>+VLOOKUP($L215,Data_Validation!$A:$F,6,0)</f>
        <v>0</v>
      </c>
    </row>
    <row r="216" spans="1:24" ht="15" customHeight="1">
      <c r="A216" s="1252" t="s">
        <v>1119</v>
      </c>
      <c r="B216" s="1252" t="s">
        <v>3386</v>
      </c>
      <c r="C216" s="1254">
        <v>36123.360000000001</v>
      </c>
      <c r="D216" s="1254">
        <v>141483.6</v>
      </c>
      <c r="E216" s="1254">
        <v>177606.96</v>
      </c>
      <c r="F216" s="1252" t="s">
        <v>1110</v>
      </c>
      <c r="G216" s="1252" t="s">
        <v>1120</v>
      </c>
      <c r="H216" s="1252" t="s">
        <v>3955</v>
      </c>
      <c r="I216" s="670"/>
      <c r="J216" s="660"/>
      <c r="K216" s="670"/>
      <c r="L216" s="653" t="str">
        <f t="shared" si="171"/>
        <v>5144</v>
      </c>
      <c r="M216" s="654" t="str">
        <f t="shared" si="172"/>
        <v>C/V - JETTA GLI</v>
      </c>
      <c r="N216" s="655">
        <f>+IF(OR($Q216=Parametres!$G$2,$Q216=Parametres!$G$3),I216,C216)</f>
        <v>36123.360000000001</v>
      </c>
      <c r="O216" s="655">
        <f>+IF(OR($Q216=Parametres!$G$2,$Q216=Parametres!$G$3),J216,D216)</f>
        <v>141483.6</v>
      </c>
      <c r="P216" s="655">
        <f>+IF(OR($Q216=Parametres!$G$2,$Q216=Parametres!$G$3),K216,E216)</f>
        <v>177606.96</v>
      </c>
      <c r="Q216" s="654" t="str">
        <f t="shared" si="173"/>
        <v>6-Coût des ventes</v>
      </c>
      <c r="R216" s="653" t="str">
        <f t="shared" si="174"/>
        <v>514</v>
      </c>
      <c r="S216" s="654" t="str">
        <f t="shared" si="175"/>
        <v>_</v>
      </c>
      <c r="T216" s="656" t="str">
        <f>+VLOOKUP($L216,Data_Validation!$A:$D,1,0)</f>
        <v>5144</v>
      </c>
      <c r="U216" s="656" t="str">
        <f>+VLOOKUP($L216,Data_Validation!$A:$D,3,0)</f>
        <v>Véhicules neufs</v>
      </c>
      <c r="V216" s="656" t="str">
        <f>+VLOOKUP($L216,Data_Validation!$A:$D,4,0)</f>
        <v>Autos détail</v>
      </c>
      <c r="W216" s="656" t="str">
        <f>+VLOOKUP($L216,Data_Validation!$A:$E,5,0)</f>
        <v>$</v>
      </c>
      <c r="X216" s="656">
        <f>+VLOOKUP($L216,Data_Validation!$A:$F,6,0)</f>
        <v>0</v>
      </c>
    </row>
    <row r="217" spans="1:24" ht="15" customHeight="1">
      <c r="A217" s="1252" t="s">
        <v>1121</v>
      </c>
      <c r="B217" s="1252" t="s">
        <v>2113</v>
      </c>
      <c r="C217" s="1254">
        <v>1097254.54</v>
      </c>
      <c r="D217" s="1254">
        <v>606643.26</v>
      </c>
      <c r="E217" s="1254">
        <v>1703897.8</v>
      </c>
      <c r="F217" s="1252" t="s">
        <v>1110</v>
      </c>
      <c r="G217" s="1252" t="s">
        <v>1007</v>
      </c>
      <c r="H217" s="1252" t="s">
        <v>3955</v>
      </c>
      <c r="I217" s="672"/>
      <c r="J217" s="663"/>
      <c r="K217" s="672"/>
      <c r="L217" s="653" t="str">
        <f t="shared" si="171"/>
        <v>5201</v>
      </c>
      <c r="M217" s="654" t="str">
        <f t="shared" si="172"/>
        <v>C/V - VEH.USAGE VW DETAIL CERTIFIE</v>
      </c>
      <c r="N217" s="655">
        <f>+IF(OR($Q217=Parametres!$G$2,$Q217=Parametres!$G$3),I217,C217)</f>
        <v>1097254.54</v>
      </c>
      <c r="O217" s="655">
        <f>+IF(OR($Q217=Parametres!$G$2,$Q217=Parametres!$G$3),J217,D217)</f>
        <v>606643.26</v>
      </c>
      <c r="P217" s="655">
        <f>+IF(OR($Q217=Parametres!$G$2,$Q217=Parametres!$G$3),K217,E217)</f>
        <v>1703897.8</v>
      </c>
      <c r="Q217" s="654" t="str">
        <f t="shared" si="173"/>
        <v>6-Coût des ventes</v>
      </c>
      <c r="R217" s="653" t="str">
        <f t="shared" si="174"/>
        <v>4201</v>
      </c>
      <c r="S217" s="654" t="str">
        <f t="shared" si="175"/>
        <v>_</v>
      </c>
      <c r="T217" s="656" t="str">
        <f>+VLOOKUP($L217,Data_Validation!$A:$D,1,0)</f>
        <v>5201</v>
      </c>
      <c r="U217" s="656" t="str">
        <f>+VLOOKUP($L217,Data_Validation!$A:$D,3,0)</f>
        <v>Véhicules usagés</v>
      </c>
      <c r="V217" s="656" t="str">
        <f>+VLOOKUP($L217,Data_Validation!$A:$D,4,0)</f>
        <v>Certifié</v>
      </c>
      <c r="W217" s="656" t="str">
        <f>+VLOOKUP($L217,Data_Validation!$A:$E,5,0)</f>
        <v>$</v>
      </c>
      <c r="X217" s="656">
        <f>+VLOOKUP($L217,Data_Validation!$A:$F,6,0)</f>
        <v>0</v>
      </c>
    </row>
    <row r="218" spans="1:24" ht="15" customHeight="1">
      <c r="A218" s="1252" t="s">
        <v>1122</v>
      </c>
      <c r="B218" s="1252" t="s">
        <v>2116</v>
      </c>
      <c r="C218" s="1254">
        <v>118629.07</v>
      </c>
      <c r="D218" s="1254">
        <v>53424.39</v>
      </c>
      <c r="E218" s="1254">
        <v>172053.46</v>
      </c>
      <c r="F218" s="1252" t="s">
        <v>1110</v>
      </c>
      <c r="G218" s="1252" t="s">
        <v>1007</v>
      </c>
      <c r="H218" s="1252" t="s">
        <v>3955</v>
      </c>
      <c r="I218" s="652"/>
      <c r="J218" s="652"/>
      <c r="K218" s="652"/>
      <c r="L218" s="653" t="str">
        <f t="shared" si="171"/>
        <v>5203</v>
      </c>
      <c r="M218" s="654" t="str">
        <f t="shared" si="172"/>
        <v>C/V - RECOND USAGE VW CERT.</v>
      </c>
      <c r="N218" s="655">
        <f>+IF(OR($Q218=Parametres!$G$2,$Q218=Parametres!$G$3),I218,C218)</f>
        <v>118629.07</v>
      </c>
      <c r="O218" s="655">
        <f>+IF(OR($Q218=Parametres!$G$2,$Q218=Parametres!$G$3),J218,D218)</f>
        <v>53424.39</v>
      </c>
      <c r="P218" s="655">
        <f>+IF(OR($Q218=Parametres!$G$2,$Q218=Parametres!$G$3),K218,E218)</f>
        <v>172053.46</v>
      </c>
      <c r="Q218" s="654" t="str">
        <f t="shared" si="173"/>
        <v>6-Coût des ventes</v>
      </c>
      <c r="R218" s="653" t="str">
        <f t="shared" si="174"/>
        <v>4201</v>
      </c>
      <c r="S218" s="654" t="str">
        <f t="shared" si="175"/>
        <v>_</v>
      </c>
      <c r="T218" s="656" t="str">
        <f>+VLOOKUP($L218,Data_Validation!$A:$D,1,0)</f>
        <v>5203</v>
      </c>
      <c r="U218" s="656" t="str">
        <f>+VLOOKUP($L218,Data_Validation!$A:$D,3,0)</f>
        <v>Véhicules usagés</v>
      </c>
      <c r="V218" s="656" t="str">
        <f>+VLOOKUP($L218,Data_Validation!$A:$D,4,0)</f>
        <v>Certifié</v>
      </c>
      <c r="W218" s="656" t="str">
        <f>+VLOOKUP($L218,Data_Validation!$A:$E,5,0)</f>
        <v>$</v>
      </c>
      <c r="X218" s="656">
        <f>+VLOOKUP($L218,Data_Validation!$A:$F,6,0)</f>
        <v>0</v>
      </c>
    </row>
    <row r="219" spans="1:24" ht="15.75" customHeight="1">
      <c r="A219" s="1252" t="s">
        <v>1123</v>
      </c>
      <c r="B219" s="1252" t="s">
        <v>2122</v>
      </c>
      <c r="C219" s="1254">
        <v>68588.42</v>
      </c>
      <c r="D219" s="1254">
        <v>-226.13</v>
      </c>
      <c r="E219" s="1254">
        <v>68362.289999999994</v>
      </c>
      <c r="F219" s="1252" t="s">
        <v>1110</v>
      </c>
      <c r="G219" s="1252" t="s">
        <v>1011</v>
      </c>
      <c r="H219" s="1252" t="s">
        <v>3955</v>
      </c>
      <c r="I219" s="652"/>
      <c r="J219" s="652"/>
      <c r="K219" s="652"/>
      <c r="L219" s="653" t="str">
        <f t="shared" si="171"/>
        <v>5211</v>
      </c>
      <c r="M219" s="654" t="str">
        <f t="shared" si="172"/>
        <v>C/V - VW USAGES DETAIL</v>
      </c>
      <c r="N219" s="655">
        <f>+IF(OR($Q219=Parametres!$G$2,$Q219=Parametres!$G$3),I219,C219)</f>
        <v>68588.42</v>
      </c>
      <c r="O219" s="659">
        <f>+IF(OR($Q219=Parametres!$G$2,$Q219=Parametres!$G$3),J219,D219)</f>
        <v>-226.13</v>
      </c>
      <c r="P219" s="655">
        <f>+IF(OR($Q219=Parametres!$G$2,$Q219=Parametres!$G$3),K219,E219)</f>
        <v>68362.289999999994</v>
      </c>
      <c r="Q219" s="654" t="str">
        <f t="shared" si="173"/>
        <v>6-Coût des ventes</v>
      </c>
      <c r="R219" s="653" t="str">
        <f t="shared" si="174"/>
        <v>4211</v>
      </c>
      <c r="S219" s="654" t="str">
        <f t="shared" si="175"/>
        <v>_</v>
      </c>
      <c r="T219" s="656" t="str">
        <f>+VLOOKUP($L219,Data_Validation!$A:$D,1,0)</f>
        <v>5211</v>
      </c>
      <c r="U219" s="656" t="str">
        <f>+VLOOKUP($L219,Data_Validation!$A:$D,3,0)</f>
        <v>Véhicules usagés</v>
      </c>
      <c r="V219" s="656" t="str">
        <f>+VLOOKUP($L219,Data_Validation!$A:$D,4,0)</f>
        <v>Non Certifié</v>
      </c>
      <c r="W219" s="656" t="str">
        <f>+VLOOKUP($L219,Data_Validation!$A:$E,5,0)</f>
        <v>$</v>
      </c>
      <c r="X219" s="656">
        <f>+VLOOKUP($L219,Data_Validation!$A:$F,6,0)</f>
        <v>0</v>
      </c>
    </row>
    <row r="220" spans="1:24" ht="15" customHeight="1">
      <c r="A220" s="1252" t="s">
        <v>1124</v>
      </c>
      <c r="B220" s="1252" t="s">
        <v>2125</v>
      </c>
      <c r="C220" s="1254">
        <v>10894.45</v>
      </c>
      <c r="D220" s="1254">
        <v>0</v>
      </c>
      <c r="E220" s="1254">
        <v>10894.45</v>
      </c>
      <c r="F220" s="1252" t="s">
        <v>1110</v>
      </c>
      <c r="G220" s="1252" t="s">
        <v>1011</v>
      </c>
      <c r="H220" s="1252" t="s">
        <v>3955</v>
      </c>
      <c r="I220" s="672"/>
      <c r="J220" s="663"/>
      <c r="K220" s="672"/>
      <c r="L220" s="653" t="str">
        <f t="shared" si="171"/>
        <v>5213</v>
      </c>
      <c r="M220" s="654" t="str">
        <f t="shared" si="172"/>
        <v>C/V - RECOND. USAGE VW DETAIL</v>
      </c>
      <c r="N220" s="655">
        <f>+IF(OR($Q220=Parametres!$G$2,$Q220=Parametres!$G$3),I220,C220)</f>
        <v>10894.45</v>
      </c>
      <c r="O220" s="655">
        <f>+IF(OR($Q220=Parametres!$G$2,$Q220=Parametres!$G$3),J220,D220)</f>
        <v>0</v>
      </c>
      <c r="P220" s="655">
        <f>+IF(OR($Q220=Parametres!$G$2,$Q220=Parametres!$G$3),K220,E220)</f>
        <v>10894.45</v>
      </c>
      <c r="Q220" s="654" t="str">
        <f t="shared" si="173"/>
        <v>6-Coût des ventes</v>
      </c>
      <c r="R220" s="653" t="str">
        <f t="shared" si="174"/>
        <v>4211</v>
      </c>
      <c r="S220" s="654" t="str">
        <f t="shared" si="175"/>
        <v>_</v>
      </c>
      <c r="T220" s="656" t="str">
        <f>+VLOOKUP($L220,Data_Validation!$A:$D,1,0)</f>
        <v>5213</v>
      </c>
      <c r="U220" s="656" t="str">
        <f>+VLOOKUP($L220,Data_Validation!$A:$D,3,0)</f>
        <v>Véhicules usagés</v>
      </c>
      <c r="V220" s="656" t="str">
        <f>+VLOOKUP($L220,Data_Validation!$A:$D,4,0)</f>
        <v>Non Certifié</v>
      </c>
      <c r="W220" s="656" t="str">
        <f>+VLOOKUP($L220,Data_Validation!$A:$E,5,0)</f>
        <v>$</v>
      </c>
      <c r="X220" s="656">
        <f>+VLOOKUP($L220,Data_Validation!$A:$F,6,0)</f>
        <v>0</v>
      </c>
    </row>
    <row r="221" spans="1:24" ht="15" customHeight="1">
      <c r="A221" s="1252" t="s">
        <v>1014</v>
      </c>
      <c r="B221" s="1252" t="s">
        <v>2136</v>
      </c>
      <c r="C221" s="1254">
        <v>68628.850000000006</v>
      </c>
      <c r="D221" s="1254">
        <v>28800</v>
      </c>
      <c r="E221" s="1254">
        <v>97428.85</v>
      </c>
      <c r="F221" s="1252" t="s">
        <v>1110</v>
      </c>
      <c r="G221" s="1252" t="s">
        <v>1015</v>
      </c>
      <c r="H221" s="1252" t="s">
        <v>3955</v>
      </c>
      <c r="I221" s="672"/>
      <c r="J221" s="663"/>
      <c r="K221" s="672"/>
      <c r="L221" s="653" t="str">
        <f t="shared" si="171"/>
        <v>5285</v>
      </c>
      <c r="M221" s="654" t="str">
        <f t="shared" si="172"/>
        <v>VEH. D'OCC. AUTRE DETAIL</v>
      </c>
      <c r="N221" s="655">
        <f>+IF(OR($Q221=Parametres!$G$2,$Q221=Parametres!$G$3),I221,C221)</f>
        <v>68628.850000000006</v>
      </c>
      <c r="O221" s="655">
        <f>+IF(OR($Q221=Parametres!$G$2,$Q221=Parametres!$G$3),J221,D221)</f>
        <v>28800</v>
      </c>
      <c r="P221" s="655">
        <f>+IF(OR($Q221=Parametres!$G$2,$Q221=Parametres!$G$3),K221,E221)</f>
        <v>97428.85</v>
      </c>
      <c r="Q221" s="654" t="str">
        <f t="shared" si="173"/>
        <v>6-Coût des ventes</v>
      </c>
      <c r="R221" s="653" t="str">
        <f t="shared" si="174"/>
        <v>4261</v>
      </c>
      <c r="S221" s="654" t="str">
        <f t="shared" si="175"/>
        <v>_</v>
      </c>
      <c r="T221" s="656" t="str">
        <f>+VLOOKUP($L221,Data_Validation!$A:$D,1,0)</f>
        <v>5285</v>
      </c>
      <c r="U221" s="656" t="str">
        <f>+VLOOKUP($L221,Data_Validation!$A:$D,3,0)</f>
        <v>Véhicules usagés</v>
      </c>
      <c r="V221" s="656" t="str">
        <f>+VLOOKUP($L221,Data_Validation!$A:$D,4,0)</f>
        <v>Autres Marques</v>
      </c>
      <c r="W221" s="656" t="str">
        <f>+VLOOKUP($L221,Data_Validation!$A:$E,5,0)</f>
        <v>$</v>
      </c>
      <c r="X221" s="656">
        <f>+VLOOKUP($L221,Data_Validation!$A:$F,6,0)</f>
        <v>0</v>
      </c>
    </row>
    <row r="222" spans="1:24" ht="15" customHeight="1">
      <c r="A222" s="1252" t="s">
        <v>1125</v>
      </c>
      <c r="B222" s="1252" t="s">
        <v>2139</v>
      </c>
      <c r="C222" s="1254">
        <v>5919.91</v>
      </c>
      <c r="D222" s="1254">
        <v>4705.95</v>
      </c>
      <c r="E222" s="1254">
        <v>10625.86</v>
      </c>
      <c r="F222" s="1252" t="s">
        <v>1110</v>
      </c>
      <c r="G222" s="1252" t="s">
        <v>1015</v>
      </c>
      <c r="H222" s="1252" t="s">
        <v>3955</v>
      </c>
      <c r="I222" s="670"/>
      <c r="J222" s="651"/>
      <c r="K222" s="670"/>
      <c r="L222" s="653" t="str">
        <f t="shared" si="171"/>
        <v>5286</v>
      </c>
      <c r="M222" s="654" t="str">
        <f t="shared" si="172"/>
        <v>RECOND. AUTRE DETAIL</v>
      </c>
      <c r="N222" s="655">
        <f>+IF(OR($Q222=Parametres!$G$2,$Q222=Parametres!$G$3),I222,C222)</f>
        <v>5919.91</v>
      </c>
      <c r="O222" s="655">
        <f>+IF(OR($Q222=Parametres!$G$2,$Q222=Parametres!$G$3),J222,D222)</f>
        <v>4705.95</v>
      </c>
      <c r="P222" s="655">
        <f>+IF(OR($Q222=Parametres!$G$2,$Q222=Parametres!$G$3),K222,E222)</f>
        <v>10625.86</v>
      </c>
      <c r="Q222" s="654" t="str">
        <f t="shared" si="173"/>
        <v>6-Coût des ventes</v>
      </c>
      <c r="R222" s="653" t="str">
        <f t="shared" si="174"/>
        <v>4261</v>
      </c>
      <c r="S222" s="654" t="str">
        <f t="shared" si="175"/>
        <v>_</v>
      </c>
      <c r="T222" s="656" t="str">
        <f>+VLOOKUP($L222,Data_Validation!$A:$D,1,0)</f>
        <v>5286</v>
      </c>
      <c r="U222" s="656" t="str">
        <f>+VLOOKUP($L222,Data_Validation!$A:$D,3,0)</f>
        <v>Véhicules usagés</v>
      </c>
      <c r="V222" s="656" t="str">
        <f>+VLOOKUP($L222,Data_Validation!$A:$D,4,0)</f>
        <v>Non Certifié</v>
      </c>
      <c r="W222" s="656" t="str">
        <f>+VLOOKUP($L222,Data_Validation!$A:$E,5,0)</f>
        <v>$</v>
      </c>
      <c r="X222" s="656">
        <f>+VLOOKUP($L222,Data_Validation!$A:$F,6,0)</f>
        <v>0</v>
      </c>
    </row>
    <row r="223" spans="1:24" ht="15" customHeight="1">
      <c r="A223" s="1252" t="s">
        <v>1018</v>
      </c>
      <c r="B223" s="1252" t="s">
        <v>2142</v>
      </c>
      <c r="C223" s="1254">
        <v>683666.33</v>
      </c>
      <c r="D223" s="1254">
        <v>213640.09</v>
      </c>
      <c r="E223" s="1254">
        <v>897306.42</v>
      </c>
      <c r="F223" s="1252" t="s">
        <v>1110</v>
      </c>
      <c r="G223" s="1252" t="s">
        <v>1019</v>
      </c>
      <c r="H223" s="1252" t="s">
        <v>3955</v>
      </c>
      <c r="I223" s="1157"/>
      <c r="J223" s="1157"/>
      <c r="K223" s="1157"/>
      <c r="L223" s="653" t="str">
        <f t="shared" si="171"/>
        <v>5291</v>
      </c>
      <c r="M223" s="654" t="str">
        <f t="shared" si="172"/>
        <v>VEH. D'OCC. AU GROS</v>
      </c>
      <c r="N223" s="655">
        <f>+IF(OR($Q223=Parametres!$G$2,$Q223=Parametres!$G$3),I223,C223)</f>
        <v>683666.33</v>
      </c>
      <c r="O223" s="655">
        <f>+IF(OR($Q223=Parametres!$G$2,$Q223=Parametres!$G$3),J223,D223)</f>
        <v>213640.09</v>
      </c>
      <c r="P223" s="655">
        <f>+IF(OR($Q223=Parametres!$G$2,$Q223=Parametres!$G$3),K223,E223)</f>
        <v>897306.42</v>
      </c>
      <c r="Q223" s="654" t="str">
        <f t="shared" si="173"/>
        <v>6-Coût des ventes</v>
      </c>
      <c r="R223" s="653" t="str">
        <f t="shared" si="174"/>
        <v>4281</v>
      </c>
      <c r="S223" s="654" t="str">
        <f t="shared" si="175"/>
        <v>_</v>
      </c>
      <c r="T223" s="656" t="str">
        <f>+VLOOKUP($L223,Data_Validation!$A:$D,1,0)</f>
        <v>5291</v>
      </c>
      <c r="U223" s="656" t="str">
        <f>+VLOOKUP($L223,Data_Validation!$A:$D,3,0)</f>
        <v>Véhicules usagés</v>
      </c>
      <c r="V223" s="656" t="str">
        <f>+VLOOKUP($L223,Data_Validation!$A:$D,4,0)</f>
        <v>Ventes au Gros</v>
      </c>
      <c r="W223" s="656" t="str">
        <f>+VLOOKUP($L223,Data_Validation!$A:$E,5,0)</f>
        <v>$</v>
      </c>
      <c r="X223" s="656">
        <f>+VLOOKUP($L223,Data_Validation!$A:$F,6,0)</f>
        <v>0</v>
      </c>
    </row>
    <row r="224" spans="1:24" ht="15" customHeight="1">
      <c r="A224" s="1252" t="s">
        <v>3671</v>
      </c>
      <c r="B224" s="1252" t="s">
        <v>2145</v>
      </c>
      <c r="C224" s="1254">
        <v>64994.58</v>
      </c>
      <c r="D224" s="1254">
        <v>45817.91</v>
      </c>
      <c r="E224" s="1254">
        <v>110812.49</v>
      </c>
      <c r="F224" s="1252" t="s">
        <v>1110</v>
      </c>
      <c r="G224" s="1252" t="s">
        <v>1023</v>
      </c>
      <c r="H224" s="1252" t="s">
        <v>3955</v>
      </c>
      <c r="I224" s="1157"/>
      <c r="J224" s="1157"/>
      <c r="K224" s="1157"/>
      <c r="L224" s="653" t="str">
        <f t="shared" si="171"/>
        <v>5401</v>
      </c>
      <c r="M224" s="654" t="str">
        <f t="shared" si="172"/>
        <v>MAIN-D'OEUVRE - CLIENT VW - MCI</v>
      </c>
      <c r="N224" s="655">
        <f>+IF(OR($Q224=Parametres!$G$2,$Q224=Parametres!$G$3),I224,C224)</f>
        <v>64994.58</v>
      </c>
      <c r="O224" s="655">
        <f>+IF(OR($Q224=Parametres!$G$2,$Q224=Parametres!$G$3),J224,D224)</f>
        <v>45817.91</v>
      </c>
      <c r="P224" s="655">
        <f>+IF(OR($Q224=Parametres!$G$2,$Q224=Parametres!$G$3),K224,E224)</f>
        <v>110812.49</v>
      </c>
      <c r="Q224" s="654" t="str">
        <f t="shared" si="173"/>
        <v>6-Coût des ventes</v>
      </c>
      <c r="R224" s="653" t="str">
        <f t="shared" si="174"/>
        <v>4401</v>
      </c>
      <c r="S224" s="654" t="str">
        <f t="shared" si="175"/>
        <v>_</v>
      </c>
      <c r="T224" s="656" t="str">
        <f>+VLOOKUP($L224,Data_Validation!$A:$D,1,0)</f>
        <v>5401</v>
      </c>
      <c r="U224" s="656" t="str">
        <f>+VLOOKUP($L224,Data_Validation!$A:$D,3,0)</f>
        <v>Service</v>
      </c>
      <c r="V224" s="656" t="str">
        <f>+VLOOKUP($L224,Data_Validation!$A:$D,4,0)</f>
        <v>M/O Client</v>
      </c>
      <c r="W224" s="656" t="str">
        <f>+VLOOKUP($L224,Data_Validation!$A:$E,5,0)</f>
        <v>$</v>
      </c>
      <c r="X224" s="656">
        <f>+VLOOKUP($L224,Data_Validation!$A:$F,6,0)</f>
        <v>0</v>
      </c>
    </row>
    <row r="225" spans="1:24" ht="15.75" customHeight="1">
      <c r="A225" s="1252" t="s">
        <v>1127</v>
      </c>
      <c r="B225" s="1252" t="s">
        <v>2148</v>
      </c>
      <c r="C225" s="1254">
        <v>3857.37</v>
      </c>
      <c r="D225" s="1254">
        <v>4609.2299999999996</v>
      </c>
      <c r="E225" s="1254">
        <v>8466.6</v>
      </c>
      <c r="F225" s="1252" t="s">
        <v>1110</v>
      </c>
      <c r="G225" s="1252" t="s">
        <v>1026</v>
      </c>
      <c r="H225" s="1252" t="s">
        <v>3955</v>
      </c>
      <c r="I225" s="1157"/>
      <c r="J225" s="1157"/>
      <c r="K225" s="1157"/>
      <c r="L225" s="653" t="str">
        <f t="shared" si="171"/>
        <v>5402</v>
      </c>
      <c r="M225" s="654" t="str">
        <f t="shared" si="172"/>
        <v>C/V - M.O. ESTHETIQUE CLIENT</v>
      </c>
      <c r="N225" s="655">
        <f>+IF(OR($Q225=Parametres!$G$2,$Q225=Parametres!$G$3),I225,C225)</f>
        <v>3857.37</v>
      </c>
      <c r="O225" s="655">
        <f>+IF(OR($Q225=Parametres!$G$2,$Q225=Parametres!$G$3),J225,D225)</f>
        <v>4609.2299999999996</v>
      </c>
      <c r="P225" s="655">
        <f>+IF(OR($Q225=Parametres!$G$2,$Q225=Parametres!$G$3),K225,E225)</f>
        <v>8466.6</v>
      </c>
      <c r="Q225" s="654" t="str">
        <f t="shared" si="173"/>
        <v>6-Coût des ventes</v>
      </c>
      <c r="R225" s="653" t="str">
        <f t="shared" si="174"/>
        <v>4402</v>
      </c>
      <c r="S225" s="654" t="str">
        <f t="shared" si="175"/>
        <v>_</v>
      </c>
      <c r="T225" s="656" t="str">
        <f>+VLOOKUP($L225,Data_Validation!$A:$D,1,0)</f>
        <v>5402</v>
      </c>
      <c r="U225" s="656" t="str">
        <f>+VLOOKUP($L225,Data_Validation!$A:$D,3,0)</f>
        <v>Service</v>
      </c>
      <c r="V225" s="656" t="str">
        <f>+VLOOKUP($L225,Data_Validation!$A:$D,4,0)</f>
        <v>M/O Esthétique</v>
      </c>
      <c r="W225" s="656" t="str">
        <f>+VLOOKUP($L225,Data_Validation!$A:$E,5,0)</f>
        <v>$</v>
      </c>
      <c r="X225" s="656">
        <f>+VLOOKUP($L225,Data_Validation!$A:$F,6,0)</f>
        <v>0</v>
      </c>
    </row>
    <row r="226" spans="1:24" ht="15" customHeight="1">
      <c r="A226" s="1252" t="s">
        <v>3672</v>
      </c>
      <c r="B226" s="1252" t="s">
        <v>2151</v>
      </c>
      <c r="C226" s="1254">
        <v>76245.03</v>
      </c>
      <c r="D226" s="1254">
        <v>16129.02</v>
      </c>
      <c r="E226" s="1254">
        <v>92374.05</v>
      </c>
      <c r="F226" s="1252" t="s">
        <v>1110</v>
      </c>
      <c r="G226" s="1252" t="s">
        <v>1028</v>
      </c>
      <c r="H226" s="1252" t="s">
        <v>3955</v>
      </c>
      <c r="I226" s="670"/>
      <c r="J226" s="651"/>
      <c r="K226" s="670"/>
      <c r="L226" s="653" t="str">
        <f t="shared" si="171"/>
        <v>5403</v>
      </c>
      <c r="M226" s="654" t="str">
        <f t="shared" si="172"/>
        <v>MAIN-D'OEUVRE - GARANTIE VW - MCI</v>
      </c>
      <c r="N226" s="655">
        <f>+IF(OR($Q226=Parametres!$G$2,$Q226=Parametres!$G$3),I226,C226)</f>
        <v>76245.03</v>
      </c>
      <c r="O226" s="655">
        <f>+IF(OR($Q226=Parametres!$G$2,$Q226=Parametres!$G$3),J226,D226)</f>
        <v>16129.02</v>
      </c>
      <c r="P226" s="655">
        <f>+IF(OR($Q226=Parametres!$G$2,$Q226=Parametres!$G$3),K226,E226)</f>
        <v>92374.05</v>
      </c>
      <c r="Q226" s="654" t="str">
        <f t="shared" si="173"/>
        <v>6-Coût des ventes</v>
      </c>
      <c r="R226" s="653" t="str">
        <f t="shared" si="174"/>
        <v>4403</v>
      </c>
      <c r="S226" s="654" t="str">
        <f t="shared" si="175"/>
        <v>_</v>
      </c>
      <c r="T226" s="656" t="str">
        <f>+VLOOKUP($L226,Data_Validation!$A:$D,1,0)</f>
        <v>5403</v>
      </c>
      <c r="U226" s="656" t="str">
        <f>+VLOOKUP($L226,Data_Validation!$A:$D,3,0)</f>
        <v>Service</v>
      </c>
      <c r="V226" s="656" t="str">
        <f>+VLOOKUP($L226,Data_Validation!$A:$D,4,0)</f>
        <v>M/O Garantie</v>
      </c>
      <c r="W226" s="656" t="str">
        <f>+VLOOKUP($L226,Data_Validation!$A:$E,5,0)</f>
        <v>$</v>
      </c>
      <c r="X226" s="656">
        <f>+VLOOKUP($L226,Data_Validation!$A:$F,6,0)</f>
        <v>0</v>
      </c>
    </row>
    <row r="227" spans="1:24" ht="15" customHeight="1">
      <c r="A227" s="1252" t="s">
        <v>3673</v>
      </c>
      <c r="B227" s="1252" t="s">
        <v>2154</v>
      </c>
      <c r="C227" s="1254">
        <v>46288.43</v>
      </c>
      <c r="D227" s="1254">
        <v>14044.93</v>
      </c>
      <c r="E227" s="1254">
        <v>60333.36</v>
      </c>
      <c r="F227" s="1252" t="s">
        <v>1110</v>
      </c>
      <c r="G227" s="1252" t="s">
        <v>1031</v>
      </c>
      <c r="H227" s="1252" t="s">
        <v>3955</v>
      </c>
      <c r="I227" s="652"/>
      <c r="J227" s="652"/>
      <c r="K227" s="652"/>
      <c r="L227" s="653" t="str">
        <f t="shared" si="171"/>
        <v>5405</v>
      </c>
      <c r="M227" s="654" t="str">
        <f t="shared" si="172"/>
        <v>MAIN-D'OEUVRE - INTERNE VW - MCI</v>
      </c>
      <c r="N227" s="655">
        <f>+IF(OR($Q227=Parametres!$G$2,$Q227=Parametres!$G$3),I227,C227)</f>
        <v>46288.43</v>
      </c>
      <c r="O227" s="655">
        <f>+IF(OR($Q227=Parametres!$G$2,$Q227=Parametres!$G$3),J227,D227)</f>
        <v>14044.93</v>
      </c>
      <c r="P227" s="655">
        <f>+IF(OR($Q227=Parametres!$G$2,$Q227=Parametres!$G$3),K227,E227)</f>
        <v>60333.36</v>
      </c>
      <c r="Q227" s="654" t="str">
        <f t="shared" si="173"/>
        <v>6-Coût des ventes</v>
      </c>
      <c r="R227" s="653" t="str">
        <f t="shared" si="174"/>
        <v>4405</v>
      </c>
      <c r="S227" s="654" t="str">
        <f t="shared" si="175"/>
        <v>_</v>
      </c>
      <c r="T227" s="656" t="str">
        <f>+VLOOKUP($L227,Data_Validation!$A:$D,1,0)</f>
        <v>5405</v>
      </c>
      <c r="U227" s="656" t="str">
        <f>+VLOOKUP($L227,Data_Validation!$A:$D,3,0)</f>
        <v>Service</v>
      </c>
      <c r="V227" s="656" t="str">
        <f>+VLOOKUP($L227,Data_Validation!$A:$D,4,0)</f>
        <v>M/O Interne</v>
      </c>
      <c r="W227" s="656" t="str">
        <f>+VLOOKUP($L227,Data_Validation!$A:$E,5,0)</f>
        <v>$</v>
      </c>
      <c r="X227" s="656">
        <f>+VLOOKUP($L227,Data_Validation!$A:$F,6,0)</f>
        <v>0</v>
      </c>
    </row>
    <row r="228" spans="1:24" ht="15" customHeight="1">
      <c r="A228" s="1252" t="s">
        <v>3681</v>
      </c>
      <c r="B228" s="1252" t="s">
        <v>2160</v>
      </c>
      <c r="C228" s="1254">
        <v>5383.3</v>
      </c>
      <c r="D228" s="1254">
        <v>3279.28</v>
      </c>
      <c r="E228" s="1254">
        <v>8662.58</v>
      </c>
      <c r="F228" s="1252" t="s">
        <v>1110</v>
      </c>
      <c r="G228" s="1252" t="s">
        <v>1131</v>
      </c>
      <c r="H228" s="1252" t="s">
        <v>3955</v>
      </c>
      <c r="I228" s="652"/>
      <c r="J228" s="652"/>
      <c r="K228" s="652"/>
      <c r="L228" s="653" t="str">
        <f t="shared" si="171"/>
        <v>5416</v>
      </c>
      <c r="M228" s="654" t="str">
        <f t="shared" si="172"/>
        <v>C/V - MAIN D'OEUVRE SVC NON APP - TOUS</v>
      </c>
      <c r="N228" s="655">
        <f>+IF(OR($Q228=Parametres!$G$2,$Q228=Parametres!$G$3),I228,C228)</f>
        <v>5383.3</v>
      </c>
      <c r="O228" s="655">
        <f>+IF(OR($Q228=Parametres!$G$2,$Q228=Parametres!$G$3),J228,D228)</f>
        <v>3279.28</v>
      </c>
      <c r="P228" s="655">
        <f>+IF(OR($Q228=Parametres!$G$2,$Q228=Parametres!$G$3),K228,E228)</f>
        <v>8662.58</v>
      </c>
      <c r="Q228" s="654" t="str">
        <f t="shared" si="173"/>
        <v>6-Coût des ventes</v>
      </c>
      <c r="R228" s="653" t="str">
        <f t="shared" si="174"/>
        <v>4416</v>
      </c>
      <c r="S228" s="654" t="str">
        <f t="shared" si="175"/>
        <v>_</v>
      </c>
      <c r="T228" s="656" t="str">
        <f>+VLOOKUP($L228,Data_Validation!$A:$D,1,0)</f>
        <v>5416</v>
      </c>
      <c r="U228" s="656" t="str">
        <f>+VLOOKUP($L228,Data_Validation!$A:$D,3,0)</f>
        <v>Service</v>
      </c>
      <c r="V228" s="656" t="str">
        <f>+VLOOKUP($L228,Data_Validation!$A:$D,4,0)</f>
        <v>Ajustement M/O</v>
      </c>
      <c r="W228" s="656" t="str">
        <f>+VLOOKUP($L228,Data_Validation!$A:$E,5,0)</f>
        <v>$</v>
      </c>
      <c r="X228" s="656">
        <f>+VLOOKUP($L228,Data_Validation!$A:$F,6,0)</f>
        <v>0</v>
      </c>
    </row>
    <row r="229" spans="1:24" ht="15.75" customHeight="1">
      <c r="A229" s="1252" t="s">
        <v>1033</v>
      </c>
      <c r="B229" s="1252" t="s">
        <v>2166</v>
      </c>
      <c r="C229" s="1254">
        <v>36832.44</v>
      </c>
      <c r="D229" s="1254">
        <v>20096.71</v>
      </c>
      <c r="E229" s="1254">
        <v>56929.15</v>
      </c>
      <c r="F229" s="1252" t="s">
        <v>1110</v>
      </c>
      <c r="G229" s="1252" t="s">
        <v>1034</v>
      </c>
      <c r="H229" s="1252" t="s">
        <v>3955</v>
      </c>
      <c r="I229" s="672"/>
      <c r="J229" s="663"/>
      <c r="K229" s="672"/>
      <c r="L229" s="653" t="str">
        <f t="shared" si="171"/>
        <v>5451</v>
      </c>
      <c r="M229" s="654" t="str">
        <f t="shared" si="172"/>
        <v>CARBURANT/HUILE/GRAISSE</v>
      </c>
      <c r="N229" s="655">
        <f>+IF(OR($Q229=Parametres!$G$2,$Q229=Parametres!$G$3),I229,C229)</f>
        <v>36832.44</v>
      </c>
      <c r="O229" s="655">
        <f>+IF(OR($Q229=Parametres!$G$2,$Q229=Parametres!$G$3),J229,D229)</f>
        <v>20096.71</v>
      </c>
      <c r="P229" s="655">
        <f>+IF(OR($Q229=Parametres!$G$2,$Q229=Parametres!$G$3),K229,E229)</f>
        <v>56929.15</v>
      </c>
      <c r="Q229" s="654" t="str">
        <f t="shared" si="173"/>
        <v>6-Coût des ventes</v>
      </c>
      <c r="R229" s="653" t="str">
        <f t="shared" si="174"/>
        <v>4782</v>
      </c>
      <c r="S229" s="654" t="str">
        <f t="shared" si="175"/>
        <v>_</v>
      </c>
      <c r="T229" s="656" t="str">
        <f>+VLOOKUP($L229,Data_Validation!$A:$D,1,0)</f>
        <v>5451</v>
      </c>
      <c r="U229" s="656" t="str">
        <f>+VLOOKUP($L229,Data_Validation!$A:$D,3,0)</f>
        <v>Pièces</v>
      </c>
      <c r="V229" s="656" t="str">
        <f>+VLOOKUP($L229,Data_Validation!$A:$D,4,0)</f>
        <v>Huiles et Graisse</v>
      </c>
      <c r="W229" s="656" t="str">
        <f>+VLOOKUP($L229,Data_Validation!$A:$E,5,0)</f>
        <v>$</v>
      </c>
      <c r="X229" s="656">
        <f>+VLOOKUP($L229,Data_Validation!$A:$F,6,0)</f>
        <v>0</v>
      </c>
    </row>
    <row r="230" spans="1:24" ht="15" customHeight="1">
      <c r="A230" s="1252" t="s">
        <v>1036</v>
      </c>
      <c r="B230" s="1252" t="s">
        <v>2169</v>
      </c>
      <c r="C230" s="1254">
        <v>8922.5</v>
      </c>
      <c r="D230" s="1254">
        <v>3911</v>
      </c>
      <c r="E230" s="1254">
        <v>12833.5</v>
      </c>
      <c r="F230" s="1252" t="s">
        <v>1110</v>
      </c>
      <c r="G230" s="1252" t="s">
        <v>1037</v>
      </c>
      <c r="H230" s="1252" t="s">
        <v>3955</v>
      </c>
      <c r="I230" s="670"/>
      <c r="J230" s="651"/>
      <c r="K230" s="670"/>
      <c r="L230" s="653" t="str">
        <f t="shared" si="171"/>
        <v>5491</v>
      </c>
      <c r="M230" s="654" t="str">
        <f t="shared" si="172"/>
        <v>REPARATION SOUS-LOC. - GENERAL</v>
      </c>
      <c r="N230" s="655">
        <f>+IF(OR($Q230=Parametres!$G$2,$Q230=Parametres!$G$3),I230,C230)</f>
        <v>8922.5</v>
      </c>
      <c r="O230" s="655">
        <f>+IF(OR($Q230=Parametres!$G$2,$Q230=Parametres!$G$3),J230,D230)</f>
        <v>3911</v>
      </c>
      <c r="P230" s="655">
        <f>+IF(OR($Q230=Parametres!$G$2,$Q230=Parametres!$G$3),K230,E230)</f>
        <v>12833.5</v>
      </c>
      <c r="Q230" s="654" t="str">
        <f t="shared" si="173"/>
        <v>6-Coût des ventes</v>
      </c>
      <c r="R230" s="653" t="str">
        <f t="shared" si="174"/>
        <v>4491</v>
      </c>
      <c r="S230" s="654" t="str">
        <f t="shared" si="175"/>
        <v>_</v>
      </c>
      <c r="T230" s="656" t="str">
        <f>+VLOOKUP($L230,Data_Validation!$A:$D,1,0)</f>
        <v>5491</v>
      </c>
      <c r="U230" s="656" t="str">
        <f>+VLOOKUP($L230,Data_Validation!$A:$D,3,0)</f>
        <v>Service</v>
      </c>
      <c r="V230" s="656" t="str">
        <f>+VLOOKUP($L230,Data_Validation!$A:$D,4,0)</f>
        <v>Sous-traitement</v>
      </c>
      <c r="W230" s="656" t="str">
        <f>+VLOOKUP($L230,Data_Validation!$A:$E,5,0)</f>
        <v>$</v>
      </c>
      <c r="X230" s="656">
        <f>+VLOOKUP($L230,Data_Validation!$A:$F,6,0)</f>
        <v>0</v>
      </c>
    </row>
    <row r="231" spans="1:24" ht="15" customHeight="1">
      <c r="A231" s="1252" t="s">
        <v>1132</v>
      </c>
      <c r="B231" s="1252" t="s">
        <v>2172</v>
      </c>
      <c r="C231" s="1254">
        <v>10117.73</v>
      </c>
      <c r="D231" s="1254">
        <v>3703</v>
      </c>
      <c r="E231" s="1254">
        <v>13820.73</v>
      </c>
      <c r="F231" s="1252" t="s">
        <v>1110</v>
      </c>
      <c r="G231" s="1252" t="s">
        <v>1040</v>
      </c>
      <c r="H231" s="1252" t="s">
        <v>3955</v>
      </c>
      <c r="I231" s="652"/>
      <c r="J231" s="652"/>
      <c r="K231" s="652"/>
      <c r="L231" s="653" t="str">
        <f t="shared" si="171"/>
        <v>5493</v>
      </c>
      <c r="M231" s="654" t="str">
        <f t="shared" si="172"/>
        <v>C/V - SOUS-TRAITANCE GARANTIE</v>
      </c>
      <c r="N231" s="655">
        <f>+IF(OR($Q231=Parametres!$G$2,$Q231=Parametres!$G$3),I231,C231)</f>
        <v>10117.73</v>
      </c>
      <c r="O231" s="655">
        <f>+IF(OR($Q231=Parametres!$G$2,$Q231=Parametres!$G$3),J231,D231)</f>
        <v>3703</v>
      </c>
      <c r="P231" s="655">
        <f>+IF(OR($Q231=Parametres!$G$2,$Q231=Parametres!$G$3),K231,E231)</f>
        <v>13820.73</v>
      </c>
      <c r="Q231" s="654" t="str">
        <f t="shared" si="173"/>
        <v>6-Coût des ventes</v>
      </c>
      <c r="R231" s="653" t="str">
        <f t="shared" si="174"/>
        <v>4493</v>
      </c>
      <c r="S231" s="654" t="str">
        <f t="shared" si="175"/>
        <v>_</v>
      </c>
      <c r="T231" s="656" t="str">
        <f>+VLOOKUP($L231,Data_Validation!$A:$D,1,0)</f>
        <v>5493</v>
      </c>
      <c r="U231" s="656" t="str">
        <f>+VLOOKUP($L231,Data_Validation!$A:$D,3,0)</f>
        <v>Service</v>
      </c>
      <c r="V231" s="656" t="str">
        <f>+VLOOKUP($L231,Data_Validation!$A:$D,4,0)</f>
        <v>Sous-traitement</v>
      </c>
      <c r="W231" s="656" t="str">
        <f>+VLOOKUP($L231,Data_Validation!$A:$E,5,0)</f>
        <v>$</v>
      </c>
      <c r="X231" s="656">
        <f>+VLOOKUP($L231,Data_Validation!$A:$F,6,0)</f>
        <v>0</v>
      </c>
    </row>
    <row r="232" spans="1:24" ht="15" customHeight="1">
      <c r="A232" s="1252" t="s">
        <v>1133</v>
      </c>
      <c r="B232" s="1252" t="s">
        <v>2175</v>
      </c>
      <c r="C232" s="1254">
        <v>19032</v>
      </c>
      <c r="D232" s="1254">
        <v>7913</v>
      </c>
      <c r="E232" s="1254">
        <v>26945</v>
      </c>
      <c r="F232" s="1252" t="s">
        <v>1110</v>
      </c>
      <c r="G232" s="1252" t="s">
        <v>1044</v>
      </c>
      <c r="H232" s="1252" t="s">
        <v>3955</v>
      </c>
      <c r="I232" s="652"/>
      <c r="J232" s="652"/>
      <c r="K232" s="652"/>
      <c r="L232" s="653" t="str">
        <f t="shared" si="171"/>
        <v>5495</v>
      </c>
      <c r="M232" s="654" t="str">
        <f t="shared" si="172"/>
        <v>C/V - SOUS-TRAITANCE INTERNE</v>
      </c>
      <c r="N232" s="655">
        <f>+IF(OR($Q232=Parametres!$G$2,$Q232=Parametres!$G$3),I232,C232)</f>
        <v>19032</v>
      </c>
      <c r="O232" s="655">
        <f>+IF(OR($Q232=Parametres!$G$2,$Q232=Parametres!$G$3),J232,D232)</f>
        <v>7913</v>
      </c>
      <c r="P232" s="655">
        <f>+IF(OR($Q232=Parametres!$G$2,$Q232=Parametres!$G$3),K232,E232)</f>
        <v>26945</v>
      </c>
      <c r="Q232" s="654" t="str">
        <f t="shared" si="173"/>
        <v>6-Coût des ventes</v>
      </c>
      <c r="R232" s="653" t="str">
        <f t="shared" si="174"/>
        <v>4495</v>
      </c>
      <c r="S232" s="654" t="str">
        <f t="shared" si="175"/>
        <v>_</v>
      </c>
      <c r="T232" s="656" t="str">
        <f>+VLOOKUP($L232,Data_Validation!$A:$D,1,0)</f>
        <v>5495</v>
      </c>
      <c r="U232" s="656" t="str">
        <f>+VLOOKUP($L232,Data_Validation!$A:$D,3,0)</f>
        <v>Service</v>
      </c>
      <c r="V232" s="656" t="str">
        <f>+VLOOKUP($L232,Data_Validation!$A:$D,4,0)</f>
        <v>Sous-traitement</v>
      </c>
      <c r="W232" s="656" t="str">
        <f>+VLOOKUP($L232,Data_Validation!$A:$E,5,0)</f>
        <v>$</v>
      </c>
      <c r="X232" s="656">
        <f>+VLOOKUP($L232,Data_Validation!$A:$F,6,0)</f>
        <v>0</v>
      </c>
    </row>
    <row r="233" spans="1:24" ht="15" customHeight="1">
      <c r="A233" s="1252" t="s">
        <v>3428</v>
      </c>
      <c r="B233" s="1252" t="s">
        <v>3429</v>
      </c>
      <c r="C233" s="1254">
        <v>5356.51</v>
      </c>
      <c r="D233" s="1254">
        <v>3416.11</v>
      </c>
      <c r="E233" s="1254">
        <v>8772.6200000000008</v>
      </c>
      <c r="F233" s="1252" t="s">
        <v>1110</v>
      </c>
      <c r="G233" s="1252" t="s">
        <v>3427</v>
      </c>
      <c r="H233" s="1252" t="s">
        <v>3955</v>
      </c>
      <c r="I233" s="660"/>
      <c r="J233" s="660"/>
      <c r="K233" s="660"/>
      <c r="L233" s="653" t="str">
        <f t="shared" si="171"/>
        <v>5505</v>
      </c>
      <c r="M233" s="654" t="str">
        <f t="shared" si="172"/>
        <v>C/V - M.O. INTERNE CARROSSERIE</v>
      </c>
      <c r="N233" s="655">
        <f>+IF(OR($Q233=Parametres!$G$2,$Q233=Parametres!$G$3),I233,C233)</f>
        <v>5356.51</v>
      </c>
      <c r="O233" s="655">
        <f>+IF(OR($Q233=Parametres!$G$2,$Q233=Parametres!$G$3),J233,D233)</f>
        <v>3416.11</v>
      </c>
      <c r="P233" s="655">
        <f>+IF(OR($Q233=Parametres!$G$2,$Q233=Parametres!$G$3),K233,E233)</f>
        <v>8772.6200000000008</v>
      </c>
      <c r="Q233" s="654" t="str">
        <f t="shared" si="173"/>
        <v>6-Coût des ventes</v>
      </c>
      <c r="R233" s="653" t="str">
        <f t="shared" si="174"/>
        <v>4505</v>
      </c>
      <c r="S233" s="654" t="str">
        <f t="shared" si="175"/>
        <v>_</v>
      </c>
      <c r="T233" s="656" t="str">
        <f>+VLOOKUP($L233,Data_Validation!$A:$D,1,0)</f>
        <v>5505</v>
      </c>
      <c r="U233" s="656" t="str">
        <f>+VLOOKUP($L233,Data_Validation!$A:$D,3,0)</f>
        <v>Service</v>
      </c>
      <c r="V233" s="656" t="str">
        <f>+VLOOKUP($L233,Data_Validation!$A:$D,4,0)</f>
        <v>M.O. Recond. MCPA</v>
      </c>
      <c r="W233" s="656" t="str">
        <f>+VLOOKUP($L233,Data_Validation!$A:$E,5,0)</f>
        <v>$</v>
      </c>
      <c r="X233" s="656">
        <f>+VLOOKUP($L233,Data_Validation!$A:$F,6,0)</f>
        <v>0</v>
      </c>
    </row>
    <row r="234" spans="1:24" ht="15.75" customHeight="1">
      <c r="A234" s="1252" t="s">
        <v>1134</v>
      </c>
      <c r="B234" s="1252" t="s">
        <v>2184</v>
      </c>
      <c r="C234" s="1254">
        <v>1433.58</v>
      </c>
      <c r="D234" s="1254">
        <v>3701.17</v>
      </c>
      <c r="E234" s="1254">
        <v>5134.75</v>
      </c>
      <c r="F234" s="1252" t="s">
        <v>1110</v>
      </c>
      <c r="G234" s="1252" t="s">
        <v>1051</v>
      </c>
      <c r="H234" s="1252" t="s">
        <v>3955</v>
      </c>
      <c r="I234" s="652"/>
      <c r="J234" s="652"/>
      <c r="K234" s="652"/>
      <c r="L234" s="653" t="str">
        <f t="shared" si="171"/>
        <v>5591</v>
      </c>
      <c r="M234" s="654" t="str">
        <f t="shared" si="172"/>
        <v>C/V - S-TRAIT. CARR.</v>
      </c>
      <c r="N234" s="655">
        <f>+IF(OR($Q234=Parametres!$G$2,$Q234=Parametres!$G$3),I234,C234)</f>
        <v>1433.58</v>
      </c>
      <c r="O234" s="655">
        <f>+IF(OR($Q234=Parametres!$G$2,$Q234=Parametres!$G$3),J234,D234)</f>
        <v>3701.17</v>
      </c>
      <c r="P234" s="655">
        <f>+IF(OR($Q234=Parametres!$G$2,$Q234=Parametres!$G$3),K234,E234)</f>
        <v>5134.75</v>
      </c>
      <c r="Q234" s="654" t="str">
        <f t="shared" si="173"/>
        <v>6-Coût des ventes</v>
      </c>
      <c r="R234" s="653" t="str">
        <f t="shared" si="174"/>
        <v>4591</v>
      </c>
      <c r="S234" s="654" t="str">
        <f t="shared" si="175"/>
        <v>_</v>
      </c>
      <c r="T234" s="656" t="str">
        <f>+VLOOKUP($L234,Data_Validation!$A:$D,1,0)</f>
        <v>5591</v>
      </c>
      <c r="U234" s="656" t="str">
        <f>+VLOOKUP($L234,Data_Validation!$A:$D,3,0)</f>
        <v>Carrosserie</v>
      </c>
      <c r="V234" s="656" t="str">
        <f>+VLOOKUP($L234,Data_Validation!$A:$D,4,0)</f>
        <v>M/O Sous-traitement</v>
      </c>
      <c r="W234" s="656" t="str">
        <f>+VLOOKUP($L234,Data_Validation!$A:$E,5,0)</f>
        <v>$</v>
      </c>
      <c r="X234" s="656">
        <f>+VLOOKUP($L234,Data_Validation!$A:$F,6,0)</f>
        <v>0</v>
      </c>
    </row>
    <row r="235" spans="1:24" ht="15" customHeight="1">
      <c r="A235" s="1252" t="s">
        <v>1135</v>
      </c>
      <c r="B235" s="1252" t="s">
        <v>2187</v>
      </c>
      <c r="C235" s="1254">
        <v>33621.29</v>
      </c>
      <c r="D235" s="1254">
        <v>11133.92</v>
      </c>
      <c r="E235" s="1254">
        <v>44755.21</v>
      </c>
      <c r="F235" s="1252" t="s">
        <v>1110</v>
      </c>
      <c r="G235" s="1252" t="s">
        <v>1055</v>
      </c>
      <c r="H235" s="1252" t="s">
        <v>3955</v>
      </c>
      <c r="I235" s="652"/>
      <c r="J235" s="652"/>
      <c r="K235" s="652"/>
      <c r="L235" s="653" t="str">
        <f t="shared" si="171"/>
        <v>5593</v>
      </c>
      <c r="M235" s="654" t="str">
        <f t="shared" si="172"/>
        <v>C/V - S-TRAIT.GARANTIE CARROS.</v>
      </c>
      <c r="N235" s="655">
        <f>+IF(OR($Q235=Parametres!$G$2,$Q235=Parametres!$G$3),I235,C235)</f>
        <v>33621.29</v>
      </c>
      <c r="O235" s="655">
        <f>+IF(OR($Q235=Parametres!$G$2,$Q235=Parametres!$G$3),J235,D235)</f>
        <v>11133.92</v>
      </c>
      <c r="P235" s="655">
        <f>+IF(OR($Q235=Parametres!$G$2,$Q235=Parametres!$G$3),K235,E235)</f>
        <v>44755.21</v>
      </c>
      <c r="Q235" s="654" t="str">
        <f t="shared" si="173"/>
        <v>6-Coût des ventes</v>
      </c>
      <c r="R235" s="653" t="str">
        <f t="shared" si="174"/>
        <v>4593</v>
      </c>
      <c r="S235" s="654" t="str">
        <f t="shared" si="175"/>
        <v>_</v>
      </c>
      <c r="T235" s="656" t="str">
        <f>+VLOOKUP($L235,Data_Validation!$A:$D,1,0)</f>
        <v>5593</v>
      </c>
      <c r="U235" s="656" t="str">
        <f>+VLOOKUP($L235,Data_Validation!$A:$D,3,0)</f>
        <v>Carrosserie</v>
      </c>
      <c r="V235" s="656" t="str">
        <f>+VLOOKUP($L235,Data_Validation!$A:$D,4,0)</f>
        <v>M/O Sous-traitement</v>
      </c>
      <c r="W235" s="656" t="str">
        <f>+VLOOKUP($L235,Data_Validation!$A:$E,5,0)</f>
        <v>$</v>
      </c>
      <c r="X235" s="656">
        <f>+VLOOKUP($L235,Data_Validation!$A:$F,6,0)</f>
        <v>0</v>
      </c>
    </row>
    <row r="236" spans="1:24" ht="15" customHeight="1">
      <c r="A236" s="1252" t="s">
        <v>1136</v>
      </c>
      <c r="B236" s="1252" t="s">
        <v>2190</v>
      </c>
      <c r="C236" s="1254">
        <v>4740.22</v>
      </c>
      <c r="D236" s="1254">
        <v>0</v>
      </c>
      <c r="E236" s="1254">
        <v>4740.22</v>
      </c>
      <c r="F236" s="1252" t="s">
        <v>1110</v>
      </c>
      <c r="G236" s="1252" t="s">
        <v>1059</v>
      </c>
      <c r="H236" s="1252" t="s">
        <v>3955</v>
      </c>
      <c r="I236" s="652"/>
      <c r="J236" s="652"/>
      <c r="K236" s="652"/>
      <c r="L236" s="653" t="str">
        <f t="shared" si="171"/>
        <v>5595</v>
      </c>
      <c r="M236" s="654" t="str">
        <f t="shared" si="172"/>
        <v>C/V - S-TRAIT.INTERNE CARROS.</v>
      </c>
      <c r="N236" s="655">
        <f>+IF(OR($Q236=Parametres!$G$2,$Q236=Parametres!$G$3),I236,C236)</f>
        <v>4740.22</v>
      </c>
      <c r="O236" s="655">
        <f>+IF(OR($Q236=Parametres!$G$2,$Q236=Parametres!$G$3),J236,D236)</f>
        <v>0</v>
      </c>
      <c r="P236" s="655">
        <f>+IF(OR($Q236=Parametres!$G$2,$Q236=Parametres!$G$3),K236,E236)</f>
        <v>4740.22</v>
      </c>
      <c r="Q236" s="654" t="str">
        <f t="shared" si="173"/>
        <v>6-Coût des ventes</v>
      </c>
      <c r="R236" s="653" t="str">
        <f t="shared" si="174"/>
        <v>4595</v>
      </c>
      <c r="S236" s="654" t="str">
        <f t="shared" si="175"/>
        <v>_</v>
      </c>
      <c r="T236" s="656" t="str">
        <f>+VLOOKUP($L236,Data_Validation!$A:$D,1,0)</f>
        <v>5595</v>
      </c>
      <c r="U236" s="656" t="str">
        <f>+VLOOKUP($L236,Data_Validation!$A:$D,3,0)</f>
        <v>Carrosserie</v>
      </c>
      <c r="V236" s="656" t="str">
        <f>+VLOOKUP($L236,Data_Validation!$A:$D,4,0)</f>
        <v>M/O Sous-traitement</v>
      </c>
      <c r="W236" s="656" t="str">
        <f>+VLOOKUP($L236,Data_Validation!$A:$E,5,0)</f>
        <v>$</v>
      </c>
      <c r="X236" s="656">
        <f>+VLOOKUP($L236,Data_Validation!$A:$F,6,0)</f>
        <v>0</v>
      </c>
    </row>
    <row r="237" spans="1:24" ht="15" customHeight="1">
      <c r="A237" s="1252" t="s">
        <v>3674</v>
      </c>
      <c r="B237" s="1252" t="s">
        <v>2193</v>
      </c>
      <c r="C237" s="1254">
        <v>136498.17000000001</v>
      </c>
      <c r="D237" s="1254">
        <v>49289.47</v>
      </c>
      <c r="E237" s="1254">
        <v>185787.64</v>
      </c>
      <c r="F237" s="1252" t="s">
        <v>1110</v>
      </c>
      <c r="G237" s="1252" t="s">
        <v>1063</v>
      </c>
      <c r="H237" s="1252" t="s">
        <v>3955</v>
      </c>
      <c r="I237" s="670"/>
      <c r="J237" s="651"/>
      <c r="K237" s="670"/>
      <c r="L237" s="653" t="str">
        <f t="shared" si="171"/>
        <v>5701</v>
      </c>
      <c r="M237" s="654" t="str">
        <f t="shared" si="172"/>
        <v>VW P&amp;A - BR - CLIENT - MCI</v>
      </c>
      <c r="N237" s="655">
        <f>+IF(OR($Q237=Parametres!$G$2,$Q237=Parametres!$G$3),I237,C237)</f>
        <v>136498.17000000001</v>
      </c>
      <c r="O237" s="659">
        <f>+IF(OR($Q237=Parametres!$G$2,$Q237=Parametres!$G$3),J237,D237)</f>
        <v>49289.47</v>
      </c>
      <c r="P237" s="655">
        <f>+IF(OR($Q237=Parametres!$G$2,$Q237=Parametres!$G$3),K237,E237)</f>
        <v>185787.64</v>
      </c>
      <c r="Q237" s="654" t="str">
        <f t="shared" si="173"/>
        <v>6-Coût des ventes</v>
      </c>
      <c r="R237" s="653" t="str">
        <f t="shared" si="174"/>
        <v>4701</v>
      </c>
      <c r="S237" s="654" t="str">
        <f t="shared" si="175"/>
        <v>_</v>
      </c>
      <c r="T237" s="656" t="str">
        <f>+VLOOKUP($L237,Data_Validation!$A:$D,1,0)</f>
        <v>5701</v>
      </c>
      <c r="U237" s="656" t="str">
        <f>+VLOOKUP($L237,Data_Validation!$A:$D,3,0)</f>
        <v>Pièces</v>
      </c>
      <c r="V237" s="656" t="str">
        <f>+VLOOKUP($L237,Data_Validation!$A:$D,4,0)</f>
        <v>Pièces Ro Clients</v>
      </c>
      <c r="W237" s="656" t="str">
        <f>+VLOOKUP($L237,Data_Validation!$A:$E,5,0)</f>
        <v>$</v>
      </c>
      <c r="X237" s="656">
        <f>+VLOOKUP($L237,Data_Validation!$A:$F,6,0)</f>
        <v>0</v>
      </c>
    </row>
    <row r="238" spans="1:24" ht="15.75" customHeight="1">
      <c r="A238" s="1252" t="s">
        <v>1138</v>
      </c>
      <c r="B238" s="1252" t="s">
        <v>2196</v>
      </c>
      <c r="C238" s="1254">
        <v>747.9</v>
      </c>
      <c r="D238" s="1254">
        <v>868.85</v>
      </c>
      <c r="E238" s="1254">
        <v>1616.75</v>
      </c>
      <c r="F238" s="1252" t="s">
        <v>1110</v>
      </c>
      <c r="G238" s="1252" t="s">
        <v>1067</v>
      </c>
      <c r="H238" s="1252" t="s">
        <v>3955</v>
      </c>
      <c r="I238" s="670"/>
      <c r="J238" s="670"/>
      <c r="K238" s="670"/>
      <c r="L238" s="653" t="str">
        <f t="shared" si="171"/>
        <v>5702</v>
      </c>
      <c r="M238" s="654" t="str">
        <f t="shared" si="172"/>
        <v>C/V - SHOP SUPPLY VW</v>
      </c>
      <c r="N238" s="655">
        <f>+IF(OR($Q238=Parametres!$G$2,$Q238=Parametres!$G$3),I238,C238)</f>
        <v>747.9</v>
      </c>
      <c r="O238" s="659">
        <f>+IF(OR($Q238=Parametres!$G$2,$Q238=Parametres!$G$3),J238,D238)</f>
        <v>868.85</v>
      </c>
      <c r="P238" s="655">
        <f>+IF(OR($Q238=Parametres!$G$2,$Q238=Parametres!$G$3),K238,E238)</f>
        <v>1616.75</v>
      </c>
      <c r="Q238" s="654" t="str">
        <f t="shared" si="173"/>
        <v>6-Coût des ventes</v>
      </c>
      <c r="R238" s="653" t="str">
        <f t="shared" si="174"/>
        <v>4702</v>
      </c>
      <c r="S238" s="654" t="str">
        <f t="shared" si="175"/>
        <v>_</v>
      </c>
      <c r="T238" s="656" t="str">
        <f>+VLOOKUP($L238,Data_Validation!$A:$D,1,0)</f>
        <v>5702</v>
      </c>
      <c r="U238" s="656" t="str">
        <f>+VLOOKUP($L238,Data_Validation!$A:$D,3,0)</f>
        <v>Service</v>
      </c>
      <c r="V238" s="656" t="str">
        <f>+VLOOKUP($L238,Data_Validation!$A:$D,4,0)</f>
        <v>M/O Client</v>
      </c>
      <c r="W238" s="656" t="str">
        <f>+VLOOKUP($L238,Data_Validation!$A:$E,5,0)</f>
        <v>$</v>
      </c>
      <c r="X238" s="656">
        <f>+VLOOKUP($L238,Data_Validation!$A:$F,6,0)</f>
        <v>0</v>
      </c>
    </row>
    <row r="239" spans="1:24" ht="15" customHeight="1">
      <c r="A239" s="1252" t="s">
        <v>3675</v>
      </c>
      <c r="B239" s="1252" t="s">
        <v>2199</v>
      </c>
      <c r="C239" s="1254">
        <v>238957.29</v>
      </c>
      <c r="D239" s="1254">
        <v>37308.43</v>
      </c>
      <c r="E239" s="1254">
        <v>276265.71999999997</v>
      </c>
      <c r="F239" s="1252" t="s">
        <v>1110</v>
      </c>
      <c r="G239" s="1252" t="s">
        <v>1069</v>
      </c>
      <c r="H239" s="1252" t="s">
        <v>3955</v>
      </c>
      <c r="I239" s="652"/>
      <c r="J239" s="652"/>
      <c r="K239" s="652"/>
      <c r="L239" s="653" t="str">
        <f t="shared" si="171"/>
        <v>5703</v>
      </c>
      <c r="M239" s="654" t="str">
        <f t="shared" si="172"/>
        <v>VW P&amp;A - BR - GARANTIE - MCI</v>
      </c>
      <c r="N239" s="655">
        <f>+IF(OR($Q239=Parametres!$G$2,$Q239=Parametres!$G$3),I239,C239)</f>
        <v>238957.29</v>
      </c>
      <c r="O239" s="655">
        <f>+IF(OR($Q239=Parametres!$G$2,$Q239=Parametres!$G$3),J239,D239)</f>
        <v>37308.43</v>
      </c>
      <c r="P239" s="655">
        <f>+IF(OR($Q239=Parametres!$G$2,$Q239=Parametres!$G$3),K239,E239)</f>
        <v>276265.71999999997</v>
      </c>
      <c r="Q239" s="654" t="str">
        <f t="shared" si="173"/>
        <v>6-Coût des ventes</v>
      </c>
      <c r="R239" s="653" t="str">
        <f t="shared" si="174"/>
        <v>4703</v>
      </c>
      <c r="S239" s="654" t="str">
        <f t="shared" si="175"/>
        <v>_</v>
      </c>
      <c r="T239" s="656" t="str">
        <f>+VLOOKUP($L239,Data_Validation!$A:$D,1,0)</f>
        <v>5703</v>
      </c>
      <c r="U239" s="656" t="str">
        <f>+VLOOKUP($L239,Data_Validation!$A:$D,3,0)</f>
        <v>Pièces</v>
      </c>
      <c r="V239" s="656" t="str">
        <f>+VLOOKUP($L239,Data_Validation!$A:$D,4,0)</f>
        <v>P/A Garantie</v>
      </c>
      <c r="W239" s="656" t="str">
        <f>+VLOOKUP($L239,Data_Validation!$A:$E,5,0)</f>
        <v>$</v>
      </c>
      <c r="X239" s="656">
        <f>+VLOOKUP($L239,Data_Validation!$A:$F,6,0)</f>
        <v>0</v>
      </c>
    </row>
    <row r="240" spans="1:24" ht="15" customHeight="1">
      <c r="A240" s="1252" t="s">
        <v>3676</v>
      </c>
      <c r="B240" s="1252" t="s">
        <v>2202</v>
      </c>
      <c r="C240" s="1254">
        <v>140197.06</v>
      </c>
      <c r="D240" s="1254">
        <v>34766.85</v>
      </c>
      <c r="E240" s="1254">
        <v>174963.91</v>
      </c>
      <c r="F240" s="1252" t="s">
        <v>1110</v>
      </c>
      <c r="G240" s="1252" t="s">
        <v>1073</v>
      </c>
      <c r="H240" s="1252" t="s">
        <v>3955</v>
      </c>
      <c r="I240" s="667"/>
      <c r="J240" s="667"/>
      <c r="K240" s="667"/>
      <c r="L240" s="653" t="str">
        <f t="shared" si="171"/>
        <v>5705</v>
      </c>
      <c r="M240" s="654" t="str">
        <f t="shared" si="172"/>
        <v>VW P&amp;A - BR - INTERNE - MCI</v>
      </c>
      <c r="N240" s="655">
        <f>+IF(OR($Q240=Parametres!$G$2,$Q240=Parametres!$G$3),I240,C240)</f>
        <v>140197.06</v>
      </c>
      <c r="O240" s="655">
        <f>+IF(OR($Q240=Parametres!$G$2,$Q240=Parametres!$G$3),J240,D240)</f>
        <v>34766.85</v>
      </c>
      <c r="P240" s="655">
        <f>+IF(OR($Q240=Parametres!$G$2,$Q240=Parametres!$G$3),K240,E240)</f>
        <v>174963.91</v>
      </c>
      <c r="Q240" s="654" t="str">
        <f t="shared" si="173"/>
        <v>6-Coût des ventes</v>
      </c>
      <c r="R240" s="653" t="str">
        <f t="shared" si="174"/>
        <v>4705</v>
      </c>
      <c r="S240" s="654" t="str">
        <f t="shared" si="175"/>
        <v>_</v>
      </c>
      <c r="T240" s="656" t="str">
        <f>+VLOOKUP($L240,Data_Validation!$A:$D,1,0)</f>
        <v>5705</v>
      </c>
      <c r="U240" s="656" t="str">
        <f>+VLOOKUP($L240,Data_Validation!$A:$D,3,0)</f>
        <v>Pièces</v>
      </c>
      <c r="V240" s="656" t="str">
        <f>+VLOOKUP($L240,Data_Validation!$A:$D,4,0)</f>
        <v>Ventes Internes</v>
      </c>
      <c r="W240" s="656" t="str">
        <f>+VLOOKUP($L240,Data_Validation!$A:$E,5,0)</f>
        <v>$</v>
      </c>
      <c r="X240" s="656">
        <f>+VLOOKUP($L240,Data_Validation!$A:$F,6,0)</f>
        <v>0</v>
      </c>
    </row>
    <row r="241" spans="1:24" ht="15" customHeight="1">
      <c r="A241" s="1252" t="s">
        <v>3677</v>
      </c>
      <c r="B241" s="1252" t="s">
        <v>2205</v>
      </c>
      <c r="C241" s="1254">
        <v>240.66</v>
      </c>
      <c r="D241" s="1254">
        <v>145.63</v>
      </c>
      <c r="E241" s="1254">
        <v>386.29</v>
      </c>
      <c r="F241" s="1252" t="s">
        <v>1110</v>
      </c>
      <c r="G241" s="1252" t="s">
        <v>1076</v>
      </c>
      <c r="H241" s="1252" t="s">
        <v>3955</v>
      </c>
      <c r="I241" s="666"/>
      <c r="J241" s="666"/>
      <c r="K241" s="666"/>
      <c r="L241" s="653" t="str">
        <f t="shared" si="171"/>
        <v>5706</v>
      </c>
      <c r="M241" s="654" t="str">
        <f t="shared" si="172"/>
        <v>VW P&amp;A - BR - CLIENT - VEB</v>
      </c>
      <c r="N241" s="655">
        <f>+IF(OR($Q241=Parametres!$G$2,$Q241=Parametres!$G$3),I241,C241)</f>
        <v>240.66</v>
      </c>
      <c r="O241" s="655">
        <f>+IF(OR($Q241=Parametres!$G$2,$Q241=Parametres!$G$3),J241,D241)</f>
        <v>145.63</v>
      </c>
      <c r="P241" s="655">
        <f>+IF(OR($Q241=Parametres!$G$2,$Q241=Parametres!$G$3),K241,E241)</f>
        <v>386.29</v>
      </c>
      <c r="Q241" s="654" t="str">
        <f t="shared" si="173"/>
        <v>6-Coût des ventes</v>
      </c>
      <c r="R241" s="653" t="str">
        <f t="shared" si="174"/>
        <v>4706</v>
      </c>
      <c r="S241" s="654" t="str">
        <f t="shared" si="175"/>
        <v>_</v>
      </c>
      <c r="T241" s="656" t="str">
        <f>+VLOOKUP($L241,Data_Validation!$A:$D,1,0)</f>
        <v>5706</v>
      </c>
      <c r="U241" s="656" t="str">
        <f>+VLOOKUP($L241,Data_Validation!$A:$D,3,0)</f>
        <v>Service</v>
      </c>
      <c r="V241" s="656" t="str">
        <f>+VLOOKUP($L241,Data_Validation!$A:$D,4,0)</f>
        <v>M/O Interne</v>
      </c>
      <c r="W241" s="656" t="str">
        <f>+VLOOKUP($L241,Data_Validation!$A:$E,5,0)</f>
        <v>$</v>
      </c>
      <c r="X241" s="656">
        <f>+VLOOKUP($L241,Data_Validation!$A:$F,6,0)</f>
        <v>0</v>
      </c>
    </row>
    <row r="242" spans="1:24" ht="15" customHeight="1">
      <c r="A242" s="1252" t="s">
        <v>1141</v>
      </c>
      <c r="B242" s="1252" t="s">
        <v>2208</v>
      </c>
      <c r="C242" s="1254">
        <v>5682.24</v>
      </c>
      <c r="D242" s="1254">
        <v>3751.37</v>
      </c>
      <c r="E242" s="1254">
        <v>9433.61</v>
      </c>
      <c r="F242" s="1252" t="s">
        <v>1110</v>
      </c>
      <c r="G242" s="1252" t="s">
        <v>1142</v>
      </c>
      <c r="H242" s="1252" t="s">
        <v>3955</v>
      </c>
      <c r="I242" s="666"/>
      <c r="J242" s="666"/>
      <c r="K242" s="666"/>
      <c r="L242" s="653" t="str">
        <f t="shared" si="171"/>
        <v>5711</v>
      </c>
      <c r="M242" s="654" t="str">
        <f t="shared" si="172"/>
        <v>C/V - AUTRE PIECE/ACC/CARR B.R. CLIENT</v>
      </c>
      <c r="N242" s="655">
        <f>+IF(OR($Q242=Parametres!$G$2,$Q242=Parametres!$G$3),I242,C242)</f>
        <v>5682.24</v>
      </c>
      <c r="O242" s="655">
        <f>+IF(OR($Q242=Parametres!$G$2,$Q242=Parametres!$G$3),J242,D242)</f>
        <v>3751.37</v>
      </c>
      <c r="P242" s="655">
        <f>+IF(OR($Q242=Parametres!$G$2,$Q242=Parametres!$G$3),K242,E242)</f>
        <v>9433.61</v>
      </c>
      <c r="Q242" s="654" t="str">
        <f t="shared" si="173"/>
        <v>6-Coût des ventes</v>
      </c>
      <c r="R242" s="653" t="str">
        <f t="shared" si="174"/>
        <v>4711</v>
      </c>
      <c r="S242" s="654" t="str">
        <f t="shared" si="175"/>
        <v>_</v>
      </c>
      <c r="T242" s="656" t="str">
        <f>+VLOOKUP($L242,Data_Validation!$A:$D,1,0)</f>
        <v>5711</v>
      </c>
      <c r="U242" s="656" t="str">
        <f>+VLOOKUP($L242,Data_Validation!$A:$D,3,0)</f>
        <v>Pièces</v>
      </c>
      <c r="V242" s="656" t="str">
        <f>+VLOOKUP($L242,Data_Validation!$A:$D,4,0)</f>
        <v>Pièces Ro Clients</v>
      </c>
      <c r="W242" s="656" t="str">
        <f>+VLOOKUP($L242,Data_Validation!$A:$E,5,0)</f>
        <v>$</v>
      </c>
      <c r="X242" s="656">
        <f>+VLOOKUP($L242,Data_Validation!$A:$F,6,0)</f>
        <v>0</v>
      </c>
    </row>
    <row r="243" spans="1:24" ht="15.75" customHeight="1">
      <c r="A243" s="1252" t="s">
        <v>3678</v>
      </c>
      <c r="B243" s="1252" t="s">
        <v>2214</v>
      </c>
      <c r="C243" s="1254">
        <v>1124.9000000000001</v>
      </c>
      <c r="D243" s="1254">
        <v>0</v>
      </c>
      <c r="E243" s="1254">
        <v>1124.9000000000001</v>
      </c>
      <c r="F243" s="1252" t="s">
        <v>1110</v>
      </c>
      <c r="G243" s="1252" t="s">
        <v>1086</v>
      </c>
      <c r="H243" s="1252" t="s">
        <v>3955</v>
      </c>
      <c r="I243" s="667"/>
      <c r="J243" s="667"/>
      <c r="K243" s="667"/>
      <c r="L243" s="653" t="str">
        <f t="shared" si="171"/>
        <v>5731</v>
      </c>
      <c r="M243" s="654" t="str">
        <f t="shared" si="172"/>
        <v>VW-P&amp;A-P&amp;BRO-CLIENT - MCI</v>
      </c>
      <c r="N243" s="655">
        <f>+IF(OR($Q243=Parametres!$G$2,$Q243=Parametres!$G$3),I243,C243)</f>
        <v>1124.9000000000001</v>
      </c>
      <c r="O243" s="659">
        <f>+IF(OR($Q243=Parametres!$G$2,$Q243=Parametres!$G$3),J243,D243)</f>
        <v>0</v>
      </c>
      <c r="P243" s="655">
        <f>+IF(OR($Q243=Parametres!$G$2,$Q243=Parametres!$G$3),K243,E243)</f>
        <v>1124.9000000000001</v>
      </c>
      <c r="Q243" s="654" t="str">
        <f t="shared" si="173"/>
        <v>6-Coût des ventes</v>
      </c>
      <c r="R243" s="653" t="str">
        <f t="shared" si="174"/>
        <v>4731</v>
      </c>
      <c r="S243" s="654" t="str">
        <f t="shared" si="175"/>
        <v>_</v>
      </c>
      <c r="T243" s="656" t="str">
        <f>+VLOOKUP($L243,Data_Validation!$A:$D,1,0)</f>
        <v>5731</v>
      </c>
      <c r="U243" s="656" t="str">
        <f>+VLOOKUP($L243,Data_Validation!$A:$D,3,0)</f>
        <v>Pièces</v>
      </c>
      <c r="V243" s="656" t="str">
        <f>+VLOOKUP($L243,Data_Validation!$A:$D,4,0)</f>
        <v>Pièces Ro Carrosserie</v>
      </c>
      <c r="W243" s="656" t="str">
        <f>+VLOOKUP($L243,Data_Validation!$A:$E,5,0)</f>
        <v>$</v>
      </c>
      <c r="X243" s="656">
        <f>+VLOOKUP($L243,Data_Validation!$A:$F,6,0)</f>
        <v>0</v>
      </c>
    </row>
    <row r="244" spans="1:24" ht="15" customHeight="1">
      <c r="A244" s="1252" t="s">
        <v>3679</v>
      </c>
      <c r="B244" s="1252" t="s">
        <v>2217</v>
      </c>
      <c r="C244" s="1254">
        <v>12455.69</v>
      </c>
      <c r="D244" s="1254">
        <v>4036.84</v>
      </c>
      <c r="E244" s="1254">
        <v>16492.53</v>
      </c>
      <c r="F244" s="1252" t="s">
        <v>1110</v>
      </c>
      <c r="G244" s="1252" t="s">
        <v>1090</v>
      </c>
      <c r="H244" s="1252" t="s">
        <v>3955</v>
      </c>
      <c r="I244" s="666"/>
      <c r="J244" s="666"/>
      <c r="K244" s="666"/>
      <c r="L244" s="653" t="str">
        <f t="shared" ref="L244:L307" si="176">TEXT(B244,0)</f>
        <v>5733</v>
      </c>
      <c r="M244" s="654" t="str">
        <f t="shared" ref="M244:M307" si="177">+A244</f>
        <v>VW-P&amp;A-P&amp;BRO-GARANTIE - MCI</v>
      </c>
      <c r="N244" s="655">
        <f>+IF(OR($Q244=Parametres!$G$2,$Q244=Parametres!$G$3),I244,C244)</f>
        <v>12455.69</v>
      </c>
      <c r="O244" s="655">
        <f>+IF(OR($Q244=Parametres!$G$2,$Q244=Parametres!$G$3),J244,D244)</f>
        <v>4036.84</v>
      </c>
      <c r="P244" s="655">
        <f>+IF(OR($Q244=Parametres!$G$2,$Q244=Parametres!$G$3),K244,E244)</f>
        <v>16492.53</v>
      </c>
      <c r="Q244" s="654" t="str">
        <f t="shared" ref="Q244:Q307" si="178">+F244</f>
        <v>6-Coût des ventes</v>
      </c>
      <c r="R244" s="653" t="str">
        <f t="shared" ref="R244:R307" si="179">+G244</f>
        <v>4733</v>
      </c>
      <c r="S244" s="654" t="str">
        <f t="shared" ref="S244:S307" si="180">+H244</f>
        <v>_</v>
      </c>
      <c r="T244" s="671" t="str">
        <f>+VLOOKUP($L244,Data_Validation!$A:$D,1,0)</f>
        <v>5733</v>
      </c>
      <c r="U244" s="656" t="str">
        <f>+VLOOKUP($L244,Data_Validation!$A:$D,3,0)</f>
        <v>Pièces</v>
      </c>
      <c r="V244" s="656" t="str">
        <f>+VLOOKUP($L244,Data_Validation!$A:$D,4,0)</f>
        <v>Pièces Ro Carrosserie</v>
      </c>
      <c r="W244" s="656" t="str">
        <f>+VLOOKUP($L244,Data_Validation!$A:$E,5,0)</f>
        <v>$</v>
      </c>
      <c r="X244" s="656">
        <f>+VLOOKUP($L244,Data_Validation!$A:$F,6,0)</f>
        <v>0</v>
      </c>
    </row>
    <row r="245" spans="1:24" ht="15" customHeight="1">
      <c r="A245" s="1252" t="s">
        <v>3680</v>
      </c>
      <c r="B245" s="1252" t="s">
        <v>2220</v>
      </c>
      <c r="C245" s="1254">
        <v>391.85</v>
      </c>
      <c r="D245" s="1254">
        <v>0</v>
      </c>
      <c r="E245" s="1254">
        <v>391.85</v>
      </c>
      <c r="F245" s="1252" t="s">
        <v>1110</v>
      </c>
      <c r="G245" s="1252" t="s">
        <v>1094</v>
      </c>
      <c r="H245" s="1252" t="s">
        <v>3955</v>
      </c>
      <c r="I245" s="667"/>
      <c r="J245" s="667"/>
      <c r="K245" s="667"/>
      <c r="L245" s="653" t="str">
        <f t="shared" si="176"/>
        <v>5735</v>
      </c>
      <c r="M245" s="654" t="str">
        <f t="shared" si="177"/>
        <v>VW-P&amp;A-P&amp;BRO-INTERNE - MCI</v>
      </c>
      <c r="N245" s="655">
        <f>+IF(OR($Q245=Parametres!$G$2,$Q245=Parametres!$G$3),I245,C245)</f>
        <v>391.85</v>
      </c>
      <c r="O245" s="655">
        <f>+IF(OR($Q245=Parametres!$G$2,$Q245=Parametres!$G$3),J245,D245)</f>
        <v>0</v>
      </c>
      <c r="P245" s="655">
        <f>+IF(OR($Q245=Parametres!$G$2,$Q245=Parametres!$G$3),K245,E245)</f>
        <v>391.85</v>
      </c>
      <c r="Q245" s="654" t="str">
        <f t="shared" si="178"/>
        <v>6-Coût des ventes</v>
      </c>
      <c r="R245" s="653" t="str">
        <f t="shared" si="179"/>
        <v>4735</v>
      </c>
      <c r="S245" s="654" t="str">
        <f t="shared" si="180"/>
        <v>_</v>
      </c>
      <c r="T245" s="656" t="str">
        <f>+VLOOKUP($L245,Data_Validation!$A:$D,1,0)</f>
        <v>5735</v>
      </c>
      <c r="U245" s="656" t="str">
        <f>+VLOOKUP($L245,Data_Validation!$A:$D,3,0)</f>
        <v>Pièces</v>
      </c>
      <c r="V245" s="656" t="str">
        <f>+VLOOKUP($L245,Data_Validation!$A:$D,4,0)</f>
        <v>Pièces Ro Carrosserie</v>
      </c>
      <c r="W245" s="656" t="str">
        <f>+VLOOKUP($L245,Data_Validation!$A:$E,5,0)</f>
        <v>$</v>
      </c>
      <c r="X245" s="656">
        <f>+VLOOKUP($L245,Data_Validation!$A:$F,6,0)</f>
        <v>0</v>
      </c>
    </row>
    <row r="246" spans="1:24" ht="15" customHeight="1">
      <c r="A246" s="1252" t="s">
        <v>1147</v>
      </c>
      <c r="B246" s="1252" t="s">
        <v>2223</v>
      </c>
      <c r="C246" s="1254">
        <v>30052.42</v>
      </c>
      <c r="D246" s="1254">
        <v>14040.44</v>
      </c>
      <c r="E246" s="1254">
        <v>44092.86</v>
      </c>
      <c r="F246" s="1252" t="s">
        <v>1110</v>
      </c>
      <c r="G246" s="1252" t="s">
        <v>1098</v>
      </c>
      <c r="H246" s="1252" t="s">
        <v>3955</v>
      </c>
      <c r="I246" s="666"/>
      <c r="J246" s="666"/>
      <c r="K246" s="666"/>
      <c r="L246" s="653" t="str">
        <f t="shared" si="176"/>
        <v>5761</v>
      </c>
      <c r="M246" s="654" t="str">
        <f t="shared" si="177"/>
        <v>C/V - P&amp;A VW COMPTOIR - DETAIL</v>
      </c>
      <c r="N246" s="655">
        <f>+IF(OR($Q246=Parametres!$G$2,$Q246=Parametres!$G$3),I246,C246)</f>
        <v>30052.42</v>
      </c>
      <c r="O246" s="655">
        <f>+IF(OR($Q246=Parametres!$G$2,$Q246=Parametres!$G$3),J246,D246)</f>
        <v>14040.44</v>
      </c>
      <c r="P246" s="655">
        <f>+IF(OR($Q246=Parametres!$G$2,$Q246=Parametres!$G$3),K246,E246)</f>
        <v>44092.86</v>
      </c>
      <c r="Q246" s="654" t="str">
        <f t="shared" si="178"/>
        <v>6-Coût des ventes</v>
      </c>
      <c r="R246" s="653" t="str">
        <f t="shared" si="179"/>
        <v>4761</v>
      </c>
      <c r="S246" s="654" t="str">
        <f t="shared" si="180"/>
        <v>_</v>
      </c>
      <c r="T246" s="656" t="str">
        <f>+VLOOKUP($L246,Data_Validation!$A:$D,1,0)</f>
        <v>5761</v>
      </c>
      <c r="U246" s="656" t="str">
        <f>+VLOOKUP($L246,Data_Validation!$A:$D,3,0)</f>
        <v>Pièces</v>
      </c>
      <c r="V246" s="656" t="str">
        <f>+VLOOKUP($L246,Data_Validation!$A:$D,4,0)</f>
        <v>Ventes Détails</v>
      </c>
      <c r="W246" s="656" t="str">
        <f>+VLOOKUP($L246,Data_Validation!$A:$E,5,0)</f>
        <v>$</v>
      </c>
      <c r="X246" s="656">
        <f>+VLOOKUP($L246,Data_Validation!$A:$F,6,0)</f>
        <v>0</v>
      </c>
    </row>
    <row r="247" spans="1:24" ht="15.75" customHeight="1">
      <c r="A247" s="1252" t="s">
        <v>1148</v>
      </c>
      <c r="B247" s="1252" t="s">
        <v>2226</v>
      </c>
      <c r="C247" s="1254">
        <v>514467.25</v>
      </c>
      <c r="D247" s="1254">
        <v>152491.88</v>
      </c>
      <c r="E247" s="1254">
        <v>666959.13</v>
      </c>
      <c r="F247" s="1252" t="s">
        <v>1110</v>
      </c>
      <c r="G247" s="1252" t="s">
        <v>1102</v>
      </c>
      <c r="H247" s="1252" t="s">
        <v>3955</v>
      </c>
      <c r="I247" s="667"/>
      <c r="J247" s="667"/>
      <c r="K247" s="667"/>
      <c r="L247" s="653" t="str">
        <f t="shared" si="176"/>
        <v>5763</v>
      </c>
      <c r="M247" s="654" t="str">
        <f t="shared" si="177"/>
        <v>C/V - P&amp;A VW COMPTOIR GROS - ECHANGE</v>
      </c>
      <c r="N247" s="655">
        <f>+IF(OR($Q247=Parametres!$G$2,$Q247=Parametres!$G$3),I247,C247)</f>
        <v>514467.25</v>
      </c>
      <c r="O247" s="655">
        <f>+IF(OR($Q247=Parametres!$G$2,$Q247=Parametres!$G$3),J247,D247)</f>
        <v>152491.88</v>
      </c>
      <c r="P247" s="655">
        <f>+IF(OR($Q247=Parametres!$G$2,$Q247=Parametres!$G$3),K247,E247)</f>
        <v>666959.13</v>
      </c>
      <c r="Q247" s="654" t="str">
        <f t="shared" si="178"/>
        <v>6-Coût des ventes</v>
      </c>
      <c r="R247" s="653" t="str">
        <f t="shared" si="179"/>
        <v>4763</v>
      </c>
      <c r="S247" s="654" t="str">
        <f t="shared" si="180"/>
        <v>_</v>
      </c>
      <c r="T247" s="656" t="str">
        <f>+VLOOKUP($L247,Data_Validation!$A:$D,1,0)</f>
        <v>5763</v>
      </c>
      <c r="U247" s="656" t="str">
        <f>+VLOOKUP($L247,Data_Validation!$A:$D,3,0)</f>
        <v>Pièces</v>
      </c>
      <c r="V247" s="656" t="str">
        <f>+VLOOKUP($L247,Data_Validation!$A:$D,4,0)</f>
        <v>Ventes de Gros</v>
      </c>
      <c r="W247" s="656" t="str">
        <f>+VLOOKUP($L247,Data_Validation!$A:$E,5,0)</f>
        <v>$</v>
      </c>
      <c r="X247" s="656">
        <f>+VLOOKUP($L247,Data_Validation!$A:$F,6,0)</f>
        <v>0</v>
      </c>
    </row>
    <row r="248" spans="1:24" ht="15" customHeight="1">
      <c r="A248" s="1252" t="s">
        <v>3683</v>
      </c>
      <c r="B248" s="1252" t="s">
        <v>3684</v>
      </c>
      <c r="C248" s="1254">
        <v>17178.599999999999</v>
      </c>
      <c r="D248" s="1254">
        <v>7404.13</v>
      </c>
      <c r="E248" s="1254">
        <v>24582.73</v>
      </c>
      <c r="F248" s="1252" t="s">
        <v>1110</v>
      </c>
      <c r="G248" s="1252" t="s">
        <v>3685</v>
      </c>
      <c r="H248" s="1252" t="s">
        <v>3955</v>
      </c>
      <c r="I248" s="666"/>
      <c r="J248" s="666"/>
      <c r="K248" s="666"/>
      <c r="L248" s="653" t="str">
        <f t="shared" si="176"/>
        <v>5773</v>
      </c>
      <c r="M248" s="654" t="str">
        <f t="shared" si="177"/>
        <v>C/V - P&amp;A - COMPTOIR - ENGROS - AUDI</v>
      </c>
      <c r="N248" s="655">
        <f>+IF(OR($Q248=Parametres!$G$2,$Q248=Parametres!$G$3),I248,C248)</f>
        <v>17178.599999999999</v>
      </c>
      <c r="O248" s="655">
        <f>+IF(OR($Q248=Parametres!$G$2,$Q248=Parametres!$G$3),J248,D248)</f>
        <v>7404.13</v>
      </c>
      <c r="P248" s="655">
        <f>+IF(OR($Q248=Parametres!$G$2,$Q248=Parametres!$G$3),K248,E248)</f>
        <v>24582.73</v>
      </c>
      <c r="Q248" s="654" t="str">
        <f t="shared" si="178"/>
        <v>6-Coût des ventes</v>
      </c>
      <c r="R248" s="653" t="str">
        <f t="shared" si="179"/>
        <v>4773</v>
      </c>
      <c r="S248" s="654" t="str">
        <f t="shared" si="180"/>
        <v>_</v>
      </c>
      <c r="T248" s="656" t="str">
        <f>+VLOOKUP($L248,Data_Validation!$A:$D,1,0)</f>
        <v>5773</v>
      </c>
      <c r="U248" s="656" t="str">
        <f>+VLOOKUP($L248,Data_Validation!$A:$D,3,0)</f>
        <v>Pièces</v>
      </c>
      <c r="V248" s="656" t="str">
        <f>+VLOOKUP($L248,Data_Validation!$A:$D,4,0)</f>
        <v>Ventes de Gros</v>
      </c>
      <c r="W248" s="656" t="str">
        <f>+VLOOKUP($L248,Data_Validation!$A:$E,5,0)</f>
        <v>$</v>
      </c>
      <c r="X248" s="656">
        <f>+VLOOKUP($L248,Data_Validation!$A:$F,6,0)</f>
        <v>0</v>
      </c>
    </row>
    <row r="249" spans="1:24" ht="15" customHeight="1">
      <c r="A249" s="1252" t="s">
        <v>1149</v>
      </c>
      <c r="B249" s="1252" t="s">
        <v>2229</v>
      </c>
      <c r="C249" s="1254">
        <v>107647.1</v>
      </c>
      <c r="D249" s="1254">
        <v>36236.1</v>
      </c>
      <c r="E249" s="1254">
        <v>143883.20000000001</v>
      </c>
      <c r="F249" s="1252" t="s">
        <v>1110</v>
      </c>
      <c r="G249" s="1252" t="s">
        <v>1106</v>
      </c>
      <c r="H249" s="1252" t="s">
        <v>3955</v>
      </c>
      <c r="I249" s="667"/>
      <c r="J249" s="667"/>
      <c r="K249" s="667"/>
      <c r="L249" s="653" t="str">
        <f t="shared" si="176"/>
        <v>5781</v>
      </c>
      <c r="M249" s="654" t="str">
        <f t="shared" si="177"/>
        <v>COUT PNEUS</v>
      </c>
      <c r="N249" s="655">
        <f>+IF(OR($Q249=Parametres!$G$2,$Q249=Parametres!$G$3),I249,C249)</f>
        <v>107647.1</v>
      </c>
      <c r="O249" s="655">
        <f>+IF(OR($Q249=Parametres!$G$2,$Q249=Parametres!$G$3),J249,D249)</f>
        <v>36236.1</v>
      </c>
      <c r="P249" s="655">
        <f>+IF(OR($Q249=Parametres!$G$2,$Q249=Parametres!$G$3),K249,E249)</f>
        <v>143883.20000000001</v>
      </c>
      <c r="Q249" s="654" t="str">
        <f t="shared" si="178"/>
        <v>6-Coût des ventes</v>
      </c>
      <c r="R249" s="653" t="str">
        <f t="shared" si="179"/>
        <v>4781</v>
      </c>
      <c r="S249" s="654" t="str">
        <f t="shared" si="180"/>
        <v>_</v>
      </c>
      <c r="T249" s="656" t="str">
        <f>+VLOOKUP($L249,Data_Validation!$A:$D,1,0)</f>
        <v>5781</v>
      </c>
      <c r="U249" s="656" t="str">
        <f>+VLOOKUP($L249,Data_Validation!$A:$D,3,0)</f>
        <v>Pièces</v>
      </c>
      <c r="V249" s="656" t="str">
        <f>+VLOOKUP($L249,Data_Validation!$A:$D,4,0)</f>
        <v>Ventes Pneus</v>
      </c>
      <c r="W249" s="656" t="str">
        <f>+VLOOKUP($L249,Data_Validation!$A:$E,5,0)</f>
        <v>$</v>
      </c>
      <c r="X249" s="656">
        <f>+VLOOKUP($L249,Data_Validation!$A:$F,6,0)</f>
        <v>0</v>
      </c>
    </row>
    <row r="250" spans="1:24" ht="15" customHeight="1">
      <c r="A250" s="1252" t="s">
        <v>1150</v>
      </c>
      <c r="B250" s="1252" t="s">
        <v>2232</v>
      </c>
      <c r="C250" s="1254">
        <v>3301.08</v>
      </c>
      <c r="D250" s="1254">
        <v>-1037.52</v>
      </c>
      <c r="E250" s="1254">
        <v>2263.56</v>
      </c>
      <c r="F250" s="1252" t="s">
        <v>1110</v>
      </c>
      <c r="G250" s="1252" t="s">
        <v>1106</v>
      </c>
      <c r="H250" s="1252" t="s">
        <v>3955</v>
      </c>
      <c r="I250" s="666"/>
      <c r="J250" s="666"/>
      <c r="K250" s="666"/>
      <c r="L250" s="653" t="str">
        <f t="shared" si="176"/>
        <v>5785</v>
      </c>
      <c r="M250" s="654" t="str">
        <f t="shared" si="177"/>
        <v>C/V - VW PNEUS</v>
      </c>
      <c r="N250" s="655">
        <f>+IF(OR($Q250=Parametres!$G$2,$Q250=Parametres!$G$3),I250,C250)</f>
        <v>3301.08</v>
      </c>
      <c r="O250" s="655">
        <f>+IF(OR($Q250=Parametres!$G$2,$Q250=Parametres!$G$3),J250,D250)</f>
        <v>-1037.52</v>
      </c>
      <c r="P250" s="655">
        <f>+IF(OR($Q250=Parametres!$G$2,$Q250=Parametres!$G$3),K250,E250)</f>
        <v>2263.56</v>
      </c>
      <c r="Q250" s="654" t="str">
        <f t="shared" si="178"/>
        <v>6-Coût des ventes</v>
      </c>
      <c r="R250" s="653" t="str">
        <f t="shared" si="179"/>
        <v>4781</v>
      </c>
      <c r="S250" s="654" t="str">
        <f t="shared" si="180"/>
        <v>_</v>
      </c>
      <c r="T250" s="656" t="str">
        <f>+VLOOKUP($L250,Data_Validation!$A:$D,1,0)</f>
        <v>5785</v>
      </c>
      <c r="U250" s="656" t="str">
        <f>+VLOOKUP($L250,Data_Validation!$A:$D,3,0)</f>
        <v>Pièces</v>
      </c>
      <c r="V250" s="656" t="str">
        <f>+VLOOKUP($L250,Data_Validation!$A:$D,4,0)</f>
        <v>Ventes Pneus</v>
      </c>
      <c r="W250" s="656" t="str">
        <f>+VLOOKUP($L250,Data_Validation!$A:$E,5,0)</f>
        <v>$</v>
      </c>
      <c r="X250" s="656">
        <f>+VLOOKUP($L250,Data_Validation!$A:$F,6,0)</f>
        <v>0</v>
      </c>
    </row>
    <row r="251" spans="1:24" ht="15" customHeight="1">
      <c r="A251" s="1252" t="s">
        <v>1151</v>
      </c>
      <c r="B251" s="1252" t="s">
        <v>2237</v>
      </c>
      <c r="C251" s="1254">
        <v>10619.87</v>
      </c>
      <c r="D251" s="1254">
        <v>3020.86</v>
      </c>
      <c r="E251" s="1254">
        <v>13640.73</v>
      </c>
      <c r="F251" s="1252" t="s">
        <v>1110</v>
      </c>
      <c r="G251" s="1252" t="s">
        <v>1152</v>
      </c>
      <c r="H251" s="1252" t="s">
        <v>3955</v>
      </c>
      <c r="I251" s="652"/>
      <c r="J251" s="652"/>
      <c r="K251" s="652"/>
      <c r="L251" s="653" t="str">
        <f t="shared" si="176"/>
        <v>5796</v>
      </c>
      <c r="M251" s="654" t="str">
        <f t="shared" si="177"/>
        <v>C/V - BONI / ESCPTE PI VW</v>
      </c>
      <c r="N251" s="655">
        <f>+IF(OR($Q251=Parametres!$G$2,$Q251=Parametres!$G$3),I251,C251)</f>
        <v>10619.87</v>
      </c>
      <c r="O251" s="655">
        <f>+IF(OR($Q251=Parametres!$G$2,$Q251=Parametres!$G$3),J251,D251)</f>
        <v>3020.86</v>
      </c>
      <c r="P251" s="655">
        <f>+IF(OR($Q251=Parametres!$G$2,$Q251=Parametres!$G$3),K251,E251)</f>
        <v>13640.73</v>
      </c>
      <c r="Q251" s="654" t="str">
        <f t="shared" si="178"/>
        <v>6-Coût des ventes</v>
      </c>
      <c r="R251" s="653" t="str">
        <f t="shared" si="179"/>
        <v>5792</v>
      </c>
      <c r="S251" s="654" t="str">
        <f t="shared" si="180"/>
        <v>_</v>
      </c>
      <c r="T251" s="656" t="str">
        <f>+VLOOKUP($L251,Data_Validation!$A:$D,1,0)</f>
        <v>5796</v>
      </c>
      <c r="U251" s="656" t="str">
        <f>+VLOOKUP($L251,Data_Validation!$A:$D,3,0)</f>
        <v>Pièces</v>
      </c>
      <c r="V251" s="656" t="str">
        <f>+VLOOKUP($L251,Data_Validation!$A:$D,4,0)</f>
        <v>Escomptes</v>
      </c>
      <c r="W251" s="656" t="str">
        <f>+VLOOKUP($L251,Data_Validation!$A:$E,5,0)</f>
        <v>$</v>
      </c>
      <c r="X251" s="656">
        <f>+VLOOKUP($L251,Data_Validation!$A:$F,6,0)</f>
        <v>0</v>
      </c>
    </row>
    <row r="252" spans="1:24" ht="15.75" customHeight="1">
      <c r="A252" s="1252" t="s">
        <v>1153</v>
      </c>
      <c r="B252" s="1252" t="s">
        <v>1155</v>
      </c>
      <c r="C252" s="1254">
        <v>101517.36</v>
      </c>
      <c r="D252" s="1254">
        <v>33891.050000000003</v>
      </c>
      <c r="E252" s="1254">
        <v>135408.41</v>
      </c>
      <c r="F252" s="1252" t="s">
        <v>1154</v>
      </c>
      <c r="G252" s="1252" t="s">
        <v>1155</v>
      </c>
      <c r="H252" s="1252" t="s">
        <v>3955</v>
      </c>
      <c r="I252" s="670"/>
      <c r="J252" s="651"/>
      <c r="K252" s="670"/>
      <c r="L252" s="653" t="str">
        <f t="shared" si="176"/>
        <v>6101</v>
      </c>
      <c r="M252" s="654" t="str">
        <f t="shared" si="177"/>
        <v>COMMISSION VENDEUR NEUFS</v>
      </c>
      <c r="N252" s="655">
        <f>+IF(OR($Q252=Parametres!$G$2,$Q252=Parametres!$G$3),I252,C252)</f>
        <v>101517.36</v>
      </c>
      <c r="O252" s="655">
        <f>+IF(OR($Q252=Parametres!$G$2,$Q252=Parametres!$G$3),J252,D252)</f>
        <v>33891.050000000003</v>
      </c>
      <c r="P252" s="655">
        <f>+IF(OR($Q252=Parametres!$G$2,$Q252=Parametres!$G$3),K252,E252)</f>
        <v>135408.41</v>
      </c>
      <c r="Q252" s="654" t="str">
        <f t="shared" si="178"/>
        <v>7-Dépenses</v>
      </c>
      <c r="R252" s="653" t="str">
        <f t="shared" si="179"/>
        <v>6101</v>
      </c>
      <c r="S252" s="654" t="str">
        <f t="shared" si="180"/>
        <v>_</v>
      </c>
      <c r="T252" s="656" t="str">
        <f>+VLOOKUP($L252,Data_Validation!$A:$D,1,0)</f>
        <v>6101</v>
      </c>
      <c r="U252" s="656" t="str">
        <f>+VLOOKUP($L252,Data_Validation!$A:$D,3,0)</f>
        <v>Véhicules neufs</v>
      </c>
      <c r="V252" s="656" t="str">
        <f>+VLOOKUP($L252,Data_Validation!$A:$D,4,0)</f>
        <v>Comm. vendeurs</v>
      </c>
      <c r="W252" s="656" t="str">
        <f>+VLOOKUP($L252,Data_Validation!$A:$E,5,0)</f>
        <v>$</v>
      </c>
      <c r="X252" s="656">
        <f>+VLOOKUP($L252,Data_Validation!$A:$F,6,0)</f>
        <v>0</v>
      </c>
    </row>
    <row r="253" spans="1:24" ht="15" customHeight="1">
      <c r="A253" s="1252" t="s">
        <v>1156</v>
      </c>
      <c r="B253" s="1252" t="s">
        <v>1157</v>
      </c>
      <c r="C253" s="1254">
        <v>36158.720000000001</v>
      </c>
      <c r="D253" s="1254">
        <v>10810.05</v>
      </c>
      <c r="E253" s="1254">
        <v>46968.77</v>
      </c>
      <c r="F253" s="1252" t="s">
        <v>1154</v>
      </c>
      <c r="G253" s="1252" t="s">
        <v>1157</v>
      </c>
      <c r="H253" s="1252" t="s">
        <v>3955</v>
      </c>
      <c r="I253" s="652"/>
      <c r="J253" s="652"/>
      <c r="K253" s="652"/>
      <c r="L253" s="653" t="str">
        <f t="shared" si="176"/>
        <v>6102</v>
      </c>
      <c r="M253" s="654" t="str">
        <f t="shared" si="177"/>
        <v>RENUMERATION F &amp; I</v>
      </c>
      <c r="N253" s="655">
        <f>+IF(OR($Q253=Parametres!$G$2,$Q253=Parametres!$G$3),I253,C253)</f>
        <v>36158.720000000001</v>
      </c>
      <c r="O253" s="655">
        <f>+IF(OR($Q253=Parametres!$G$2,$Q253=Parametres!$G$3),J253,D253)</f>
        <v>10810.05</v>
      </c>
      <c r="P253" s="655">
        <f>+IF(OR($Q253=Parametres!$G$2,$Q253=Parametres!$G$3),K253,E253)</f>
        <v>46968.77</v>
      </c>
      <c r="Q253" s="654" t="str">
        <f t="shared" si="178"/>
        <v>7-Dépenses</v>
      </c>
      <c r="R253" s="653" t="str">
        <f t="shared" si="179"/>
        <v>6102</v>
      </c>
      <c r="S253" s="654" t="str">
        <f t="shared" si="180"/>
        <v>_</v>
      </c>
      <c r="T253" s="656" t="str">
        <f>+VLOOKUP($L253,Data_Validation!$A:$D,1,0)</f>
        <v>6102</v>
      </c>
      <c r="U253" s="656" t="str">
        <f>+VLOOKUP($L253,Data_Validation!$A:$D,3,0)</f>
        <v>Véhicules neufs</v>
      </c>
      <c r="V253" s="656" t="str">
        <f>+VLOOKUP($L253,Data_Validation!$A:$D,4,0)</f>
        <v>Comm. F&amp;I</v>
      </c>
      <c r="W253" s="656" t="str">
        <f>+VLOOKUP($L253,Data_Validation!$A:$E,5,0)</f>
        <v>$</v>
      </c>
      <c r="X253" s="656">
        <f>+VLOOKUP($L253,Data_Validation!$A:$F,6,0)</f>
        <v>0</v>
      </c>
    </row>
    <row r="254" spans="1:24" ht="15" customHeight="1">
      <c r="A254" s="1252" t="s">
        <v>1158</v>
      </c>
      <c r="B254" s="1252" t="s">
        <v>1159</v>
      </c>
      <c r="C254" s="1254">
        <v>1626.09</v>
      </c>
      <c r="D254" s="1254">
        <v>348.99</v>
      </c>
      <c r="E254" s="1254">
        <v>1975.08</v>
      </c>
      <c r="F254" s="1252" t="s">
        <v>1154</v>
      </c>
      <c r="G254" s="1252" t="s">
        <v>1159</v>
      </c>
      <c r="H254" s="1252" t="s">
        <v>3955</v>
      </c>
      <c r="I254" s="670"/>
      <c r="J254" s="651"/>
      <c r="K254" s="670"/>
      <c r="L254" s="653" t="str">
        <f t="shared" si="176"/>
        <v>6103</v>
      </c>
      <c r="M254" s="654" t="str">
        <f t="shared" si="177"/>
        <v>RELAT. A LA CLIENTELE &amp; AJUST.</v>
      </c>
      <c r="N254" s="655">
        <f>+IF(OR($Q254=Parametres!$G$2,$Q254=Parametres!$G$3),I254,C254)</f>
        <v>1626.09</v>
      </c>
      <c r="O254" s="655">
        <f>+IF(OR($Q254=Parametres!$G$2,$Q254=Parametres!$G$3),J254,D254)</f>
        <v>348.99</v>
      </c>
      <c r="P254" s="655">
        <f>+IF(OR($Q254=Parametres!$G$2,$Q254=Parametres!$G$3),K254,E254)</f>
        <v>1975.08</v>
      </c>
      <c r="Q254" s="654" t="str">
        <f t="shared" si="178"/>
        <v>7-Dépenses</v>
      </c>
      <c r="R254" s="653" t="str">
        <f t="shared" si="179"/>
        <v>6103</v>
      </c>
      <c r="S254" s="654" t="str">
        <f t="shared" si="180"/>
        <v>_</v>
      </c>
      <c r="T254" s="656" t="str">
        <f>+VLOOKUP($L254,Data_Validation!$A:$D,1,0)</f>
        <v>6103</v>
      </c>
      <c r="U254" s="656" t="str">
        <f>+VLOOKUP($L254,Data_Validation!$A:$D,3,0)</f>
        <v>Véhicules neufs</v>
      </c>
      <c r="V254" s="656" t="str">
        <f>+VLOOKUP($L254,Data_Validation!$A:$D,4,0)</f>
        <v>Service gratuit 1</v>
      </c>
      <c r="W254" s="656" t="str">
        <f>+VLOOKUP($L254,Data_Validation!$A:$E,5,0)</f>
        <v>$</v>
      </c>
      <c r="X254" s="656">
        <f>+VLOOKUP($L254,Data_Validation!$A:$F,6,0)</f>
        <v>0</v>
      </c>
    </row>
    <row r="255" spans="1:24" ht="15" customHeight="1">
      <c r="A255" s="1252" t="s">
        <v>1160</v>
      </c>
      <c r="B255" s="1252" t="s">
        <v>1161</v>
      </c>
      <c r="C255" s="1254">
        <v>20867.8</v>
      </c>
      <c r="D255" s="1254">
        <v>7771.77</v>
      </c>
      <c r="E255" s="1254">
        <v>28639.57</v>
      </c>
      <c r="F255" s="1252" t="s">
        <v>1154</v>
      </c>
      <c r="G255" s="1252" t="s">
        <v>1161</v>
      </c>
      <c r="H255" s="1252" t="s">
        <v>3955</v>
      </c>
      <c r="I255" s="652"/>
      <c r="J255" s="652"/>
      <c r="K255" s="652"/>
      <c r="L255" s="653" t="str">
        <f t="shared" si="176"/>
        <v>6106</v>
      </c>
      <c r="M255" s="654" t="str">
        <f t="shared" si="177"/>
        <v>ENTRETIEN DES STOCKS</v>
      </c>
      <c r="N255" s="655">
        <f>+IF(OR($Q255=Parametres!$G$2,$Q255=Parametres!$G$3),I255,C255)</f>
        <v>20867.8</v>
      </c>
      <c r="O255" s="655">
        <f>+IF(OR($Q255=Parametres!$G$2,$Q255=Parametres!$G$3),J255,D255)</f>
        <v>7771.77</v>
      </c>
      <c r="P255" s="655">
        <f>+IF(OR($Q255=Parametres!$G$2,$Q255=Parametres!$G$3),K255,E255)</f>
        <v>28639.57</v>
      </c>
      <c r="Q255" s="654" t="str">
        <f t="shared" si="178"/>
        <v>7-Dépenses</v>
      </c>
      <c r="R255" s="653" t="str">
        <f t="shared" si="179"/>
        <v>6106</v>
      </c>
      <c r="S255" s="654" t="str">
        <f t="shared" si="180"/>
        <v>_</v>
      </c>
      <c r="T255" s="656" t="str">
        <f>+VLOOKUP($L255,Data_Validation!$A:$D,1,0)</f>
        <v>6106</v>
      </c>
      <c r="U255" s="656" t="str">
        <f>+VLOOKUP($L255,Data_Validation!$A:$D,3,0)</f>
        <v>Véhicules neufs</v>
      </c>
      <c r="V255" s="656" t="str">
        <f>+VLOOKUP($L255,Data_Validation!$A:$D,4,0)</f>
        <v>Entretien stock</v>
      </c>
      <c r="W255" s="656" t="str">
        <f>+VLOOKUP($L255,Data_Validation!$A:$E,5,0)</f>
        <v>$</v>
      </c>
      <c r="X255" s="656">
        <f>+VLOOKUP($L255,Data_Validation!$A:$F,6,0)</f>
        <v>0</v>
      </c>
    </row>
    <row r="256" spans="1:24" ht="15.75" customHeight="1">
      <c r="A256" s="1252" t="s">
        <v>1162</v>
      </c>
      <c r="B256" s="1252" t="s">
        <v>1163</v>
      </c>
      <c r="C256" s="1254">
        <v>39651.08</v>
      </c>
      <c r="D256" s="1254">
        <v>16491.54</v>
      </c>
      <c r="E256" s="1254">
        <v>56142.62</v>
      </c>
      <c r="F256" s="1252" t="s">
        <v>1154</v>
      </c>
      <c r="G256" s="1252" t="s">
        <v>1163</v>
      </c>
      <c r="H256" s="1252" t="s">
        <v>3955</v>
      </c>
      <c r="I256" s="670"/>
      <c r="J256" s="651"/>
      <c r="K256" s="670"/>
      <c r="L256" s="653" t="str">
        <f t="shared" si="176"/>
        <v>6107</v>
      </c>
      <c r="M256" s="654" t="str">
        <f t="shared" si="177"/>
        <v>INTERET-PLAN DE FINANCEMENT</v>
      </c>
      <c r="N256" s="655">
        <f>+IF(OR($Q256=Parametres!$G$2,$Q256=Parametres!$G$3),I256,C256)</f>
        <v>39651.08</v>
      </c>
      <c r="O256" s="655">
        <f>+IF(OR($Q256=Parametres!$G$2,$Q256=Parametres!$G$3),J256,D256)</f>
        <v>16491.54</v>
      </c>
      <c r="P256" s="655">
        <f>+IF(OR($Q256=Parametres!$G$2,$Q256=Parametres!$G$3),K256,E256)</f>
        <v>56142.62</v>
      </c>
      <c r="Q256" s="654" t="str">
        <f t="shared" si="178"/>
        <v>7-Dépenses</v>
      </c>
      <c r="R256" s="653" t="str">
        <f t="shared" si="179"/>
        <v>6107</v>
      </c>
      <c r="S256" s="654" t="str">
        <f t="shared" si="180"/>
        <v>_</v>
      </c>
      <c r="T256" s="656" t="str">
        <f>+VLOOKUP($L256,Data_Validation!$A:$D,1,0)</f>
        <v>6107</v>
      </c>
      <c r="U256" s="656" t="str">
        <f>+VLOOKUP($L256,Data_Validation!$A:$D,3,0)</f>
        <v>Véhicules neufs</v>
      </c>
      <c r="V256" s="656" t="str">
        <f>+VLOOKUP($L256,Data_Validation!$A:$D,4,0)</f>
        <v>Intérêt de gros</v>
      </c>
      <c r="W256" s="656" t="str">
        <f>+VLOOKUP($L256,Data_Validation!$A:$E,5,0)</f>
        <v>$</v>
      </c>
      <c r="X256" s="656">
        <f>+VLOOKUP($L256,Data_Validation!$A:$F,6,0)</f>
        <v>0</v>
      </c>
    </row>
    <row r="257" spans="1:24" ht="15" customHeight="1">
      <c r="A257" s="1252" t="s">
        <v>1164</v>
      </c>
      <c r="B257" s="1252" t="s">
        <v>1165</v>
      </c>
      <c r="C257" s="1254">
        <v>9513.6</v>
      </c>
      <c r="D257" s="1254">
        <v>9640.48</v>
      </c>
      <c r="E257" s="1254">
        <v>19154.080000000002</v>
      </c>
      <c r="F257" s="1252" t="s">
        <v>1154</v>
      </c>
      <c r="G257" s="1252" t="s">
        <v>1165</v>
      </c>
      <c r="H257" s="1252" t="s">
        <v>3955</v>
      </c>
      <c r="I257" s="670"/>
      <c r="J257" s="651"/>
      <c r="K257" s="670"/>
      <c r="L257" s="653" t="str">
        <f t="shared" si="176"/>
        <v>6108</v>
      </c>
      <c r="M257" s="654" t="str">
        <f t="shared" si="177"/>
        <v>FRAIS DE LIVRAISON</v>
      </c>
      <c r="N257" s="655">
        <f>+IF(OR($Q257=Parametres!$G$2,$Q257=Parametres!$G$3),I257,C257)</f>
        <v>9513.6</v>
      </c>
      <c r="O257" s="655">
        <f>+IF(OR($Q257=Parametres!$G$2,$Q257=Parametres!$G$3),J257,D257)</f>
        <v>9640.48</v>
      </c>
      <c r="P257" s="655">
        <f>+IF(OR($Q257=Parametres!$G$2,$Q257=Parametres!$G$3),K257,E257)</f>
        <v>19154.080000000002</v>
      </c>
      <c r="Q257" s="654" t="str">
        <f t="shared" si="178"/>
        <v>7-Dépenses</v>
      </c>
      <c r="R257" s="653" t="str">
        <f t="shared" si="179"/>
        <v>6108</v>
      </c>
      <c r="S257" s="654" t="str">
        <f t="shared" si="180"/>
        <v>_</v>
      </c>
      <c r="T257" s="656" t="str">
        <f>+VLOOKUP($L257,Data_Validation!$A:$D,1,0)</f>
        <v>6108</v>
      </c>
      <c r="U257" s="656" t="str">
        <f>+VLOOKUP($L257,Data_Validation!$A:$D,3,0)</f>
        <v>Véhicules neufs</v>
      </c>
      <c r="V257" s="656" t="str">
        <f>+VLOOKUP($L257,Data_Validation!$A:$D,4,0)</f>
        <v>Frais de livraison</v>
      </c>
      <c r="W257" s="656" t="str">
        <f>+VLOOKUP($L257,Data_Validation!$A:$E,5,0)</f>
        <v>$</v>
      </c>
      <c r="X257" s="656">
        <f>+VLOOKUP($L257,Data_Validation!$A:$F,6,0)</f>
        <v>0</v>
      </c>
    </row>
    <row r="258" spans="1:24" ht="15" customHeight="1">
      <c r="A258" s="1252" t="s">
        <v>1166</v>
      </c>
      <c r="B258" s="1252" t="s">
        <v>1167</v>
      </c>
      <c r="C258" s="1254">
        <v>51552.83</v>
      </c>
      <c r="D258" s="1254">
        <v>29952.18</v>
      </c>
      <c r="E258" s="1254">
        <v>81505.009999999995</v>
      </c>
      <c r="F258" s="1252" t="s">
        <v>1154</v>
      </c>
      <c r="G258" s="1252" t="s">
        <v>1167</v>
      </c>
      <c r="H258" s="1252" t="s">
        <v>3955</v>
      </c>
      <c r="I258" s="670"/>
      <c r="J258" s="651"/>
      <c r="K258" s="670"/>
      <c r="L258" s="653" t="str">
        <f t="shared" si="176"/>
        <v>6114</v>
      </c>
      <c r="M258" s="654" t="str">
        <f t="shared" si="177"/>
        <v>PUBLICITE</v>
      </c>
      <c r="N258" s="655">
        <f>+IF(OR($Q258=Parametres!$G$2,$Q258=Parametres!$G$3),I258,C258)</f>
        <v>51552.83</v>
      </c>
      <c r="O258" s="655">
        <f>+IF(OR($Q258=Parametres!$G$2,$Q258=Parametres!$G$3),J258,D258)</f>
        <v>29952.18</v>
      </c>
      <c r="P258" s="655">
        <f>+IF(OR($Q258=Parametres!$G$2,$Q258=Parametres!$G$3),K258,E258)</f>
        <v>81505.009999999995</v>
      </c>
      <c r="Q258" s="654" t="str">
        <f t="shared" si="178"/>
        <v>7-Dépenses</v>
      </c>
      <c r="R258" s="653" t="str">
        <f t="shared" si="179"/>
        <v>6114</v>
      </c>
      <c r="S258" s="654" t="str">
        <f t="shared" si="180"/>
        <v>_</v>
      </c>
      <c r="T258" s="656" t="str">
        <f>+VLOOKUP($L258,Data_Validation!$A:$D,1,0)</f>
        <v>6114</v>
      </c>
      <c r="U258" s="656" t="str">
        <f>+VLOOKUP($L258,Data_Validation!$A:$D,3,0)</f>
        <v>Véhicules neufs</v>
      </c>
      <c r="V258" s="656" t="str">
        <f>+VLOOKUP($L258,Data_Validation!$A:$D,4,0)</f>
        <v>Publicité 1</v>
      </c>
      <c r="W258" s="656" t="str">
        <f>+VLOOKUP($L258,Data_Validation!$A:$E,5,0)</f>
        <v>$</v>
      </c>
      <c r="X258" s="656">
        <f>+VLOOKUP($L258,Data_Validation!$A:$F,6,0)</f>
        <v>0</v>
      </c>
    </row>
    <row r="259" spans="1:24" ht="15" customHeight="1">
      <c r="A259" s="1252" t="s">
        <v>1168</v>
      </c>
      <c r="B259" s="1252" t="s">
        <v>2257</v>
      </c>
      <c r="C259" s="1254">
        <v>-22350</v>
      </c>
      <c r="D259" s="1254">
        <v>-8700</v>
      </c>
      <c r="E259" s="1254">
        <v>-31050</v>
      </c>
      <c r="F259" s="1252" t="s">
        <v>1154</v>
      </c>
      <c r="G259" s="1252" t="s">
        <v>1167</v>
      </c>
      <c r="H259" s="1252" t="s">
        <v>3955</v>
      </c>
      <c r="I259" s="670"/>
      <c r="J259" s="651"/>
      <c r="K259" s="670"/>
      <c r="L259" s="653" t="str">
        <f t="shared" si="176"/>
        <v>6115</v>
      </c>
      <c r="M259" s="654" t="str">
        <f t="shared" si="177"/>
        <v>CREDIT PUBLICITE NEUF</v>
      </c>
      <c r="N259" s="655">
        <f>+IF(OR($Q259=Parametres!$G$2,$Q259=Parametres!$G$3),I259,C259)</f>
        <v>-22350</v>
      </c>
      <c r="O259" s="659">
        <f>+IF(OR($Q259=Parametres!$G$2,$Q259=Parametres!$G$3),J259,D259)</f>
        <v>-8700</v>
      </c>
      <c r="P259" s="655">
        <f>+IF(OR($Q259=Parametres!$G$2,$Q259=Parametres!$G$3),K259,E259)</f>
        <v>-31050</v>
      </c>
      <c r="Q259" s="654" t="str">
        <f t="shared" si="178"/>
        <v>7-Dépenses</v>
      </c>
      <c r="R259" s="653" t="str">
        <f t="shared" si="179"/>
        <v>6114</v>
      </c>
      <c r="S259" s="654" t="str">
        <f t="shared" si="180"/>
        <v>_</v>
      </c>
      <c r="T259" s="656" t="str">
        <f>+VLOOKUP($L259,Data_Validation!$A:$D,1,0)</f>
        <v>6115</v>
      </c>
      <c r="U259" s="656" t="str">
        <f>+VLOOKUP($L259,Data_Validation!$A:$D,3,0)</f>
        <v>Véhicules neufs</v>
      </c>
      <c r="V259" s="656" t="str">
        <f>+VLOOKUP($L259,Data_Validation!$A:$D,4,0)</f>
        <v>Publicité 1</v>
      </c>
      <c r="W259" s="656" t="str">
        <f>+VLOOKUP($L259,Data_Validation!$A:$E,5,0)</f>
        <v>$</v>
      </c>
      <c r="X259" s="656">
        <f>+VLOOKUP($L259,Data_Validation!$A:$F,6,0)</f>
        <v>0</v>
      </c>
    </row>
    <row r="260" spans="1:24" ht="15" customHeight="1">
      <c r="A260" s="1252" t="s">
        <v>1169</v>
      </c>
      <c r="B260" s="1252" t="s">
        <v>1170</v>
      </c>
      <c r="C260" s="1254">
        <v>19399.599999999999</v>
      </c>
      <c r="D260" s="1254">
        <v>5883.66</v>
      </c>
      <c r="E260" s="1254">
        <v>25283.26</v>
      </c>
      <c r="F260" s="1252" t="s">
        <v>1154</v>
      </c>
      <c r="G260" s="1252" t="s">
        <v>1170</v>
      </c>
      <c r="H260" s="1252" t="s">
        <v>3955</v>
      </c>
      <c r="I260" s="670"/>
      <c r="J260" s="651"/>
      <c r="K260" s="670"/>
      <c r="L260" s="653" t="str">
        <f t="shared" si="176"/>
        <v>6121</v>
      </c>
      <c r="M260" s="654" t="str">
        <f t="shared" si="177"/>
        <v>SALAIRES - PROPRIETAIRES</v>
      </c>
      <c r="N260" s="655">
        <f>+IF(OR($Q260=Parametres!$G$2,$Q260=Parametres!$G$3),I260,C260)</f>
        <v>19399.599999999999</v>
      </c>
      <c r="O260" s="655">
        <f>+IF(OR($Q260=Parametres!$G$2,$Q260=Parametres!$G$3),J260,D260)</f>
        <v>5883.66</v>
      </c>
      <c r="P260" s="655">
        <f>+IF(OR($Q260=Parametres!$G$2,$Q260=Parametres!$G$3),K260,E260)</f>
        <v>25283.26</v>
      </c>
      <c r="Q260" s="654" t="str">
        <f t="shared" si="178"/>
        <v>7-Dépenses</v>
      </c>
      <c r="R260" s="653" t="str">
        <f t="shared" si="179"/>
        <v>6121</v>
      </c>
      <c r="S260" s="654" t="str">
        <f t="shared" si="180"/>
        <v>_</v>
      </c>
      <c r="T260" s="656" t="str">
        <f>+VLOOKUP($L260,Data_Validation!$A:$D,1,0)</f>
        <v>6121</v>
      </c>
      <c r="U260" s="656" t="str">
        <f>+VLOOKUP($L260,Data_Validation!$A:$D,3,0)</f>
        <v>Véhicules neufs</v>
      </c>
      <c r="V260" s="656" t="str">
        <f>+VLOOKUP($L260,Data_Validation!$A:$D,4,0)</f>
        <v>Salaires propriétaire</v>
      </c>
      <c r="W260" s="656" t="str">
        <f>+VLOOKUP($L260,Data_Validation!$A:$E,5,0)</f>
        <v>$</v>
      </c>
      <c r="X260" s="656">
        <f>+VLOOKUP($L260,Data_Validation!$A:$F,6,0)</f>
        <v>0</v>
      </c>
    </row>
    <row r="261" spans="1:24" ht="15" customHeight="1">
      <c r="A261" s="1252" t="s">
        <v>1171</v>
      </c>
      <c r="B261" s="1252" t="s">
        <v>1172</v>
      </c>
      <c r="C261" s="1254">
        <v>67454.100000000006</v>
      </c>
      <c r="D261" s="1254">
        <v>14988.29</v>
      </c>
      <c r="E261" s="1254">
        <v>82442.39</v>
      </c>
      <c r="F261" s="1252" t="s">
        <v>1154</v>
      </c>
      <c r="G261" s="1252" t="s">
        <v>1172</v>
      </c>
      <c r="H261" s="1252" t="s">
        <v>3955</v>
      </c>
      <c r="I261" s="652"/>
      <c r="J261" s="652"/>
      <c r="K261" s="652"/>
      <c r="L261" s="653" t="str">
        <f t="shared" si="176"/>
        <v>6122</v>
      </c>
      <c r="M261" s="654" t="str">
        <f t="shared" si="177"/>
        <v>SAL SUPERVISION / GERANT</v>
      </c>
      <c r="N261" s="655">
        <f>+IF(OR($Q261=Parametres!$G$2,$Q261=Parametres!$G$3),I261,C261)</f>
        <v>67454.100000000006</v>
      </c>
      <c r="O261" s="655">
        <f>+IF(OR($Q261=Parametres!$G$2,$Q261=Parametres!$G$3),J261,D261)</f>
        <v>14988.29</v>
      </c>
      <c r="P261" s="655">
        <f>+IF(OR($Q261=Parametres!$G$2,$Q261=Parametres!$G$3),K261,E261)</f>
        <v>82442.39</v>
      </c>
      <c r="Q261" s="654" t="str">
        <f t="shared" si="178"/>
        <v>7-Dépenses</v>
      </c>
      <c r="R261" s="653" t="str">
        <f t="shared" si="179"/>
        <v>6122</v>
      </c>
      <c r="S261" s="654" t="str">
        <f t="shared" si="180"/>
        <v>_</v>
      </c>
      <c r="T261" s="656" t="str">
        <f>+VLOOKUP($L261,Data_Validation!$A:$D,1,0)</f>
        <v>6122</v>
      </c>
      <c r="U261" s="656" t="str">
        <f>+VLOOKUP($L261,Data_Validation!$A:$D,3,0)</f>
        <v>Véhicules neufs</v>
      </c>
      <c r="V261" s="656" t="str">
        <f>+VLOOKUP($L261,Data_Validation!$A:$D,4,0)</f>
        <v>Salaires cadres</v>
      </c>
      <c r="W261" s="656" t="str">
        <f>+VLOOKUP($L261,Data_Validation!$A:$E,5,0)</f>
        <v>$</v>
      </c>
      <c r="X261" s="656">
        <f>+VLOOKUP($L261,Data_Validation!$A:$F,6,0)</f>
        <v>0</v>
      </c>
    </row>
    <row r="262" spans="1:24" ht="15.75" customHeight="1">
      <c r="A262" s="1252" t="s">
        <v>1173</v>
      </c>
      <c r="B262" s="1252" t="s">
        <v>1174</v>
      </c>
      <c r="C262" s="1254">
        <v>37832.32</v>
      </c>
      <c r="D262" s="1254">
        <v>12485.89</v>
      </c>
      <c r="E262" s="1254">
        <v>50318.21</v>
      </c>
      <c r="F262" s="1252" t="s">
        <v>1154</v>
      </c>
      <c r="G262" s="1252" t="s">
        <v>1174</v>
      </c>
      <c r="H262" s="1252" t="s">
        <v>3955</v>
      </c>
      <c r="I262" s="672"/>
      <c r="J262" s="663"/>
      <c r="K262" s="672"/>
      <c r="L262" s="653" t="str">
        <f t="shared" si="176"/>
        <v>6123</v>
      </c>
      <c r="M262" s="654" t="str">
        <f t="shared" si="177"/>
        <v>SAL. &amp; RENUM. - CLERICAL</v>
      </c>
      <c r="N262" s="655">
        <f>+IF(OR($Q262=Parametres!$G$2,$Q262=Parametres!$G$3),I262,C262)</f>
        <v>37832.32</v>
      </c>
      <c r="O262" s="655">
        <f>+IF(OR($Q262=Parametres!$G$2,$Q262=Parametres!$G$3),J262,D262)</f>
        <v>12485.89</v>
      </c>
      <c r="P262" s="655">
        <f>+IF(OR($Q262=Parametres!$G$2,$Q262=Parametres!$G$3),K262,E262)</f>
        <v>50318.21</v>
      </c>
      <c r="Q262" s="654" t="str">
        <f t="shared" si="178"/>
        <v>7-Dépenses</v>
      </c>
      <c r="R262" s="653" t="str">
        <f t="shared" si="179"/>
        <v>6123</v>
      </c>
      <c r="S262" s="654" t="str">
        <f t="shared" si="180"/>
        <v>_</v>
      </c>
      <c r="T262" s="671" t="str">
        <f>+VLOOKUP($L262,Data_Validation!$A:$D,1,0)</f>
        <v>6123</v>
      </c>
      <c r="U262" s="656" t="str">
        <f>+VLOOKUP($L262,Data_Validation!$A:$D,3,0)</f>
        <v>Véhicules neufs</v>
      </c>
      <c r="V262" s="656" t="str">
        <f>+VLOOKUP($L262,Data_Validation!$A:$D,4,0)</f>
        <v>Salaires commis</v>
      </c>
      <c r="W262" s="656" t="str">
        <f>+VLOOKUP($L262,Data_Validation!$A:$E,5,0)</f>
        <v>$</v>
      </c>
      <c r="X262" s="656">
        <f>+VLOOKUP($L262,Data_Validation!$A:$F,6,0)</f>
        <v>0</v>
      </c>
    </row>
    <row r="263" spans="1:24" ht="15" customHeight="1">
      <c r="A263" s="1252" t="s">
        <v>1175</v>
      </c>
      <c r="B263" s="1252" t="s">
        <v>1176</v>
      </c>
      <c r="C263" s="1254">
        <v>3752</v>
      </c>
      <c r="D263" s="1254">
        <v>3948.25</v>
      </c>
      <c r="E263" s="1254">
        <v>7700.25</v>
      </c>
      <c r="F263" s="1252" t="s">
        <v>1154</v>
      </c>
      <c r="G263" s="1252" t="s">
        <v>1176</v>
      </c>
      <c r="H263" s="1252" t="s">
        <v>3955</v>
      </c>
      <c r="I263" s="670"/>
      <c r="J263" s="651"/>
      <c r="K263" s="670"/>
      <c r="L263" s="653" t="str">
        <f t="shared" si="176"/>
        <v>6124</v>
      </c>
      <c r="M263" s="654" t="str">
        <f t="shared" si="177"/>
        <v>SALAIRES &amp; RENUM. - AUTRES</v>
      </c>
      <c r="N263" s="655">
        <f>+IF(OR($Q263=Parametres!$G$2,$Q263=Parametres!$G$3),I263,C263)</f>
        <v>3752</v>
      </c>
      <c r="O263" s="655">
        <f>+IF(OR($Q263=Parametres!$G$2,$Q263=Parametres!$G$3),J263,D263)</f>
        <v>3948.25</v>
      </c>
      <c r="P263" s="655">
        <f>+IF(OR($Q263=Parametres!$G$2,$Q263=Parametres!$G$3),K263,E263)</f>
        <v>7700.25</v>
      </c>
      <c r="Q263" s="654" t="str">
        <f t="shared" si="178"/>
        <v>7-Dépenses</v>
      </c>
      <c r="R263" s="653" t="str">
        <f t="shared" si="179"/>
        <v>6124</v>
      </c>
      <c r="S263" s="654" t="str">
        <f t="shared" si="180"/>
        <v>_</v>
      </c>
      <c r="T263" s="656" t="str">
        <f>+VLOOKUP($L263,Data_Validation!$A:$D,1,0)</f>
        <v>6124</v>
      </c>
      <c r="U263" s="656" t="str">
        <f>+VLOOKUP($L263,Data_Validation!$A:$D,3,0)</f>
        <v>Véhicules neufs</v>
      </c>
      <c r="V263" s="656" t="str">
        <f>+VLOOKUP($L263,Data_Validation!$A:$D,4,0)</f>
        <v>Salaires autres</v>
      </c>
      <c r="W263" s="656" t="str">
        <f>+VLOOKUP($L263,Data_Validation!$A:$E,5,0)</f>
        <v>$</v>
      </c>
      <c r="X263" s="656">
        <f>+VLOOKUP($L263,Data_Validation!$A:$F,6,0)</f>
        <v>0</v>
      </c>
    </row>
    <row r="264" spans="1:24" ht="15" customHeight="1">
      <c r="A264" s="1252" t="s">
        <v>1177</v>
      </c>
      <c r="B264" s="1252" t="s">
        <v>1178</v>
      </c>
      <c r="C264" s="1254">
        <v>32533.94</v>
      </c>
      <c r="D264" s="1254">
        <v>12288.84</v>
      </c>
      <c r="E264" s="1254">
        <v>44822.78</v>
      </c>
      <c r="F264" s="1252" t="s">
        <v>1154</v>
      </c>
      <c r="G264" s="1252" t="s">
        <v>1178</v>
      </c>
      <c r="H264" s="1252" t="s">
        <v>3955</v>
      </c>
      <c r="I264" s="652"/>
      <c r="J264" s="652"/>
      <c r="K264" s="652"/>
      <c r="L264" s="653" t="str">
        <f t="shared" si="176"/>
        <v>6129</v>
      </c>
      <c r="M264" s="654" t="str">
        <f t="shared" si="177"/>
        <v>ABS., VACANCE &amp; SAL. JOURS FER</v>
      </c>
      <c r="N264" s="655">
        <f>+IF(OR($Q264=Parametres!$G$2,$Q264=Parametres!$G$3),I264,C264)</f>
        <v>32533.94</v>
      </c>
      <c r="O264" s="659">
        <f>+IF(OR($Q264=Parametres!$G$2,$Q264=Parametres!$G$3),J264,D264)</f>
        <v>12288.84</v>
      </c>
      <c r="P264" s="655">
        <f>+IF(OR($Q264=Parametres!$G$2,$Q264=Parametres!$G$3),K264,E264)</f>
        <v>44822.78</v>
      </c>
      <c r="Q264" s="654" t="str">
        <f t="shared" si="178"/>
        <v>7-Dépenses</v>
      </c>
      <c r="R264" s="653" t="str">
        <f t="shared" si="179"/>
        <v>6129</v>
      </c>
      <c r="S264" s="654" t="str">
        <f t="shared" si="180"/>
        <v>_</v>
      </c>
      <c r="T264" s="656" t="str">
        <f>+VLOOKUP($L264,Data_Validation!$A:$D,1,0)</f>
        <v>6129</v>
      </c>
      <c r="U264" s="656" t="str">
        <f>+VLOOKUP($L264,Data_Validation!$A:$D,3,0)</f>
        <v>Véhicules neufs</v>
      </c>
      <c r="V264" s="656" t="str">
        <f>+VLOOKUP($L264,Data_Validation!$A:$D,4,0)</f>
        <v>Salaires en absences</v>
      </c>
      <c r="W264" s="656" t="str">
        <f>+VLOOKUP($L264,Data_Validation!$A:$E,5,0)</f>
        <v>$</v>
      </c>
      <c r="X264" s="656">
        <f>+VLOOKUP($L264,Data_Validation!$A:$F,6,0)</f>
        <v>0</v>
      </c>
    </row>
    <row r="265" spans="1:24" ht="15" customHeight="1">
      <c r="A265" s="1252" t="s">
        <v>1179</v>
      </c>
      <c r="B265" s="1252" t="s">
        <v>1180</v>
      </c>
      <c r="C265" s="1254">
        <v>8010.75</v>
      </c>
      <c r="D265" s="1254">
        <v>3094.69</v>
      </c>
      <c r="E265" s="1254">
        <v>11105.44</v>
      </c>
      <c r="F265" s="1252" t="s">
        <v>1154</v>
      </c>
      <c r="G265" s="1252" t="s">
        <v>1180</v>
      </c>
      <c r="H265" s="1252" t="s">
        <v>3955</v>
      </c>
      <c r="I265" s="651"/>
      <c r="J265" s="651"/>
      <c r="K265" s="651"/>
      <c r="L265" s="653" t="str">
        <f t="shared" si="176"/>
        <v>6131</v>
      </c>
      <c r="M265" s="654" t="str">
        <f t="shared" si="177"/>
        <v>CSST</v>
      </c>
      <c r="N265" s="655">
        <f>+IF(OR($Q265=Parametres!$G$2,$Q265=Parametres!$G$3),I265,C265)</f>
        <v>8010.75</v>
      </c>
      <c r="O265" s="659">
        <f>+IF(OR($Q265=Parametres!$G$2,$Q265=Parametres!$G$3),J265,D265)</f>
        <v>3094.69</v>
      </c>
      <c r="P265" s="655">
        <f>+IF(OR($Q265=Parametres!$G$2,$Q265=Parametres!$G$3),K265,E265)</f>
        <v>11105.44</v>
      </c>
      <c r="Q265" s="654" t="str">
        <f t="shared" si="178"/>
        <v>7-Dépenses</v>
      </c>
      <c r="R265" s="653" t="str">
        <f t="shared" si="179"/>
        <v>6131</v>
      </c>
      <c r="S265" s="654" t="str">
        <f t="shared" si="180"/>
        <v>_</v>
      </c>
      <c r="T265" s="656" t="str">
        <f>+VLOOKUP($L265,Data_Validation!$A:$D,1,0)</f>
        <v>6131</v>
      </c>
      <c r="U265" s="656" t="str">
        <f>+VLOOKUP($L265,Data_Validation!$A:$D,3,0)</f>
        <v>Véhicules neufs</v>
      </c>
      <c r="V265" s="656" t="str">
        <f>+VLOOKUP($L265,Data_Validation!$A:$D,4,0)</f>
        <v>Csst</v>
      </c>
      <c r="W265" s="656" t="str">
        <f>+VLOOKUP($L265,Data_Validation!$A:$E,5,0)</f>
        <v>$</v>
      </c>
      <c r="X265" s="656">
        <f>+VLOOKUP($L265,Data_Validation!$A:$F,6,0)</f>
        <v>0</v>
      </c>
    </row>
    <row r="266" spans="1:24" ht="15" customHeight="1">
      <c r="A266" s="1252" t="s">
        <v>1181</v>
      </c>
      <c r="B266" s="1252" t="s">
        <v>1182</v>
      </c>
      <c r="C266" s="1254">
        <v>41679.39</v>
      </c>
      <c r="D266" s="1254">
        <v>15510.75</v>
      </c>
      <c r="E266" s="1254">
        <v>57190.14</v>
      </c>
      <c r="F266" s="1252" t="s">
        <v>1154</v>
      </c>
      <c r="G266" s="1252" t="s">
        <v>1182</v>
      </c>
      <c r="H266" s="1252" t="s">
        <v>3955</v>
      </c>
      <c r="I266" s="670"/>
      <c r="J266" s="651"/>
      <c r="K266" s="670"/>
      <c r="L266" s="653" t="str">
        <f t="shared" si="176"/>
        <v>6132</v>
      </c>
      <c r="M266" s="654" t="str">
        <f t="shared" si="177"/>
        <v>RRQ RAMQ AC</v>
      </c>
      <c r="N266" s="655">
        <f>+IF(OR($Q266=Parametres!$G$2,$Q266=Parametres!$G$3),I266,C266)</f>
        <v>41679.39</v>
      </c>
      <c r="O266" s="655">
        <f>+IF(OR($Q266=Parametres!$G$2,$Q266=Parametres!$G$3),J266,D266)</f>
        <v>15510.75</v>
      </c>
      <c r="P266" s="655">
        <f>+IF(OR($Q266=Parametres!$G$2,$Q266=Parametres!$G$3),K266,E266)</f>
        <v>57190.14</v>
      </c>
      <c r="Q266" s="654" t="str">
        <f t="shared" si="178"/>
        <v>7-Dépenses</v>
      </c>
      <c r="R266" s="653" t="str">
        <f t="shared" si="179"/>
        <v>6132</v>
      </c>
      <c r="S266" s="654" t="str">
        <f t="shared" si="180"/>
        <v>_</v>
      </c>
      <c r="T266" s="656" t="str">
        <f>+VLOOKUP($L266,Data_Validation!$A:$D,1,0)</f>
        <v>6132</v>
      </c>
      <c r="U266" s="656" t="str">
        <f>+VLOOKUP($L266,Data_Validation!$A:$D,3,0)</f>
        <v>Véhicules neufs</v>
      </c>
      <c r="V266" s="656" t="str">
        <f>+VLOOKUP($L266,Data_Validation!$A:$D,4,0)</f>
        <v>Déduction à la source</v>
      </c>
      <c r="W266" s="656" t="str">
        <f>+VLOOKUP($L266,Data_Validation!$A:$E,5,0)</f>
        <v>$</v>
      </c>
      <c r="X266" s="656">
        <f>+VLOOKUP($L266,Data_Validation!$A:$F,6,0)</f>
        <v>0</v>
      </c>
    </row>
    <row r="267" spans="1:24" ht="15" customHeight="1">
      <c r="A267" s="1252" t="s">
        <v>1183</v>
      </c>
      <c r="B267" s="1252" t="s">
        <v>1184</v>
      </c>
      <c r="C267" s="1254">
        <v>11023.15</v>
      </c>
      <c r="D267" s="1254">
        <v>5595.13</v>
      </c>
      <c r="E267" s="1254">
        <v>16618.28</v>
      </c>
      <c r="F267" s="1252" t="s">
        <v>1154</v>
      </c>
      <c r="G267" s="1252" t="s">
        <v>1184</v>
      </c>
      <c r="H267" s="1252" t="s">
        <v>3955</v>
      </c>
      <c r="I267" s="670"/>
      <c r="J267" s="651"/>
      <c r="K267" s="670"/>
      <c r="L267" s="653" t="str">
        <f t="shared" si="176"/>
        <v>6133</v>
      </c>
      <c r="M267" s="654" t="str">
        <f t="shared" si="177"/>
        <v>FOND PENSION - NEUF</v>
      </c>
      <c r="N267" s="655">
        <f>+IF(OR($Q267=Parametres!$G$2,$Q267=Parametres!$G$3),I267,C267)</f>
        <v>11023.15</v>
      </c>
      <c r="O267" s="655">
        <f>+IF(OR($Q267=Parametres!$G$2,$Q267=Parametres!$G$3),J267,D267)</f>
        <v>5595.13</v>
      </c>
      <c r="P267" s="655">
        <f>+IF(OR($Q267=Parametres!$G$2,$Q267=Parametres!$G$3),K267,E267)</f>
        <v>16618.28</v>
      </c>
      <c r="Q267" s="654" t="str">
        <f t="shared" si="178"/>
        <v>7-Dépenses</v>
      </c>
      <c r="R267" s="653" t="str">
        <f t="shared" si="179"/>
        <v>6133</v>
      </c>
      <c r="S267" s="654" t="str">
        <f t="shared" si="180"/>
        <v>_</v>
      </c>
      <c r="T267" s="656" t="str">
        <f>+VLOOKUP($L267,Data_Validation!$A:$D,1,0)</f>
        <v>6133</v>
      </c>
      <c r="U267" s="656" t="str">
        <f>+VLOOKUP($L267,Data_Validation!$A:$D,3,0)</f>
        <v>Véhicules neufs</v>
      </c>
      <c r="V267" s="656" t="str">
        <f>+VLOOKUP($L267,Data_Validation!$A:$D,4,0)</f>
        <v>Bénéfices marginaux</v>
      </c>
      <c r="W267" s="656" t="str">
        <f>+VLOOKUP($L267,Data_Validation!$A:$E,5,0)</f>
        <v>$</v>
      </c>
      <c r="X267" s="656">
        <f>+VLOOKUP($L267,Data_Validation!$A:$F,6,0)</f>
        <v>0</v>
      </c>
    </row>
    <row r="268" spans="1:24" ht="15" customHeight="1">
      <c r="A268" s="1252" t="s">
        <v>1185</v>
      </c>
      <c r="B268" s="1252" t="s">
        <v>1186</v>
      </c>
      <c r="C268" s="1254">
        <v>8908.07</v>
      </c>
      <c r="D268" s="1254">
        <v>2583.38</v>
      </c>
      <c r="E268" s="1254">
        <v>11491.45</v>
      </c>
      <c r="F268" s="1252" t="s">
        <v>1154</v>
      </c>
      <c r="G268" s="1252" t="s">
        <v>1186</v>
      </c>
      <c r="H268" s="1252" t="s">
        <v>3955</v>
      </c>
      <c r="I268" s="670"/>
      <c r="J268" s="651"/>
      <c r="K268" s="670"/>
      <c r="L268" s="653" t="str">
        <f t="shared" si="176"/>
        <v>6139</v>
      </c>
      <c r="M268" s="654" t="str">
        <f t="shared" si="177"/>
        <v>ASSURANCE GROUPS</v>
      </c>
      <c r="N268" s="655">
        <f>+IF(OR($Q268=Parametres!$G$2,$Q268=Parametres!$G$3),I268,C268)</f>
        <v>8908.07</v>
      </c>
      <c r="O268" s="655">
        <f>+IF(OR($Q268=Parametres!$G$2,$Q268=Parametres!$G$3),J268,D268)</f>
        <v>2583.38</v>
      </c>
      <c r="P268" s="655">
        <f>+IF(OR($Q268=Parametres!$G$2,$Q268=Parametres!$G$3),K268,E268)</f>
        <v>11491.45</v>
      </c>
      <c r="Q268" s="654" t="str">
        <f t="shared" si="178"/>
        <v>7-Dépenses</v>
      </c>
      <c r="R268" s="653" t="str">
        <f t="shared" si="179"/>
        <v>6139</v>
      </c>
      <c r="S268" s="654" t="str">
        <f t="shared" si="180"/>
        <v>_</v>
      </c>
      <c r="T268" s="656" t="str">
        <f>+VLOOKUP($L268,Data_Validation!$A:$D,1,0)</f>
        <v>6139</v>
      </c>
      <c r="U268" s="656" t="str">
        <f>+VLOOKUP($L268,Data_Validation!$A:$D,3,0)</f>
        <v>Véhicules neufs</v>
      </c>
      <c r="V268" s="656" t="str">
        <f>+VLOOKUP($L268,Data_Validation!$A:$D,4,0)</f>
        <v>Bénéfices marginaux</v>
      </c>
      <c r="W268" s="656" t="str">
        <f>+VLOOKUP($L268,Data_Validation!$A:$E,5,0)</f>
        <v>$</v>
      </c>
      <c r="X268" s="656">
        <f>+VLOOKUP($L268,Data_Validation!$A:$F,6,0)</f>
        <v>0</v>
      </c>
    </row>
    <row r="269" spans="1:24" ht="15" customHeight="1">
      <c r="A269" s="1252" t="s">
        <v>1187</v>
      </c>
      <c r="B269" s="1252" t="s">
        <v>1188</v>
      </c>
      <c r="C269" s="1254">
        <v>306.39</v>
      </c>
      <c r="D269" s="1254">
        <v>0</v>
      </c>
      <c r="E269" s="1254">
        <v>306.39</v>
      </c>
      <c r="F269" s="1252" t="s">
        <v>1154</v>
      </c>
      <c r="G269" s="1252" t="s">
        <v>1188</v>
      </c>
      <c r="H269" s="1252" t="s">
        <v>3955</v>
      </c>
      <c r="I269" s="652"/>
      <c r="J269" s="652"/>
      <c r="K269" s="652"/>
      <c r="L269" s="653" t="str">
        <f t="shared" si="176"/>
        <v>6142</v>
      </c>
      <c r="M269" s="654" t="str">
        <f t="shared" si="177"/>
        <v>FOURNITURES &amp; PETITS OUTILS</v>
      </c>
      <c r="N269" s="655">
        <f>+IF(OR($Q269=Parametres!$G$2,$Q269=Parametres!$G$3),I269,C269)</f>
        <v>306.39</v>
      </c>
      <c r="O269" s="655">
        <f>+IF(OR($Q269=Parametres!$G$2,$Q269=Parametres!$G$3),J269,D269)</f>
        <v>0</v>
      </c>
      <c r="P269" s="655">
        <f>+IF(OR($Q269=Parametres!$G$2,$Q269=Parametres!$G$3),K269,E269)</f>
        <v>306.39</v>
      </c>
      <c r="Q269" s="654" t="str">
        <f t="shared" si="178"/>
        <v>7-Dépenses</v>
      </c>
      <c r="R269" s="653" t="str">
        <f t="shared" si="179"/>
        <v>6142</v>
      </c>
      <c r="S269" s="654" t="str">
        <f t="shared" si="180"/>
        <v>_</v>
      </c>
      <c r="T269" s="656" t="str">
        <f>+VLOOKUP($L269,Data_Validation!$A:$D,1,0)</f>
        <v>6142</v>
      </c>
      <c r="U269" s="656" t="str">
        <f>+VLOOKUP($L269,Data_Validation!$A:$D,3,0)</f>
        <v>Véhicules neufs</v>
      </c>
      <c r="V269" s="656" t="str">
        <f>+VLOOKUP($L269,Data_Validation!$A:$D,4,0)</f>
        <v>Fournitures autres</v>
      </c>
      <c r="W269" s="656" t="str">
        <f>+VLOOKUP($L269,Data_Validation!$A:$E,5,0)</f>
        <v>$</v>
      </c>
      <c r="X269" s="656">
        <f>+VLOOKUP($L269,Data_Validation!$A:$F,6,0)</f>
        <v>0</v>
      </c>
    </row>
    <row r="270" spans="1:24" ht="15" customHeight="1">
      <c r="A270" s="1252" t="s">
        <v>1189</v>
      </c>
      <c r="B270" s="1252" t="s">
        <v>1190</v>
      </c>
      <c r="C270" s="1254">
        <v>623</v>
      </c>
      <c r="D270" s="1254">
        <v>0</v>
      </c>
      <c r="E270" s="1254">
        <v>623</v>
      </c>
      <c r="F270" s="1252" t="s">
        <v>1154</v>
      </c>
      <c r="G270" s="1252" t="s">
        <v>1190</v>
      </c>
      <c r="H270" s="1252" t="s">
        <v>3955</v>
      </c>
      <c r="I270" s="652"/>
      <c r="J270" s="652"/>
      <c r="K270" s="652"/>
      <c r="L270" s="653" t="str">
        <f t="shared" si="176"/>
        <v>6143</v>
      </c>
      <c r="M270" s="654" t="str">
        <f t="shared" si="177"/>
        <v>UNIFORMES &amp; LESSIVE</v>
      </c>
      <c r="N270" s="655">
        <f>+IF(OR($Q270=Parametres!$G$2,$Q270=Parametres!$G$3),I270,C270)</f>
        <v>623</v>
      </c>
      <c r="O270" s="655">
        <f>+IF(OR($Q270=Parametres!$G$2,$Q270=Parametres!$G$3),J270,D270)</f>
        <v>0</v>
      </c>
      <c r="P270" s="655">
        <f>+IF(OR($Q270=Parametres!$G$2,$Q270=Parametres!$G$3),K270,E270)</f>
        <v>623</v>
      </c>
      <c r="Q270" s="654" t="str">
        <f t="shared" si="178"/>
        <v>7-Dépenses</v>
      </c>
      <c r="R270" s="653" t="str">
        <f t="shared" si="179"/>
        <v>6143</v>
      </c>
      <c r="S270" s="654" t="str">
        <f t="shared" si="180"/>
        <v>_</v>
      </c>
      <c r="T270" s="656" t="str">
        <f>+VLOOKUP($L270,Data_Validation!$A:$D,1,0)</f>
        <v>6143</v>
      </c>
      <c r="U270" s="656" t="str">
        <f>+VLOOKUP($L270,Data_Validation!$A:$D,3,0)</f>
        <v>Véhicules neufs</v>
      </c>
      <c r="V270" s="656" t="str">
        <f>+VLOOKUP($L270,Data_Validation!$A:$D,4,0)</f>
        <v>Uniformes</v>
      </c>
      <c r="W270" s="656" t="str">
        <f>+VLOOKUP($L270,Data_Validation!$A:$E,5,0)</f>
        <v>$</v>
      </c>
      <c r="X270" s="656">
        <f>+VLOOKUP($L270,Data_Validation!$A:$F,6,0)</f>
        <v>0</v>
      </c>
    </row>
    <row r="271" spans="1:24" ht="15" customHeight="1">
      <c r="A271" s="1252" t="s">
        <v>1191</v>
      </c>
      <c r="B271" s="1252" t="s">
        <v>1192</v>
      </c>
      <c r="C271" s="1254">
        <v>6836.67</v>
      </c>
      <c r="D271" s="1254">
        <v>3882.08</v>
      </c>
      <c r="E271" s="1254">
        <v>10718.75</v>
      </c>
      <c r="F271" s="1252" t="s">
        <v>1154</v>
      </c>
      <c r="G271" s="1252" t="s">
        <v>1192</v>
      </c>
      <c r="H271" s="1252" t="s">
        <v>3955</v>
      </c>
      <c r="I271" s="670"/>
      <c r="J271" s="651"/>
      <c r="K271" s="670"/>
      <c r="L271" s="653" t="str">
        <f t="shared" si="176"/>
        <v>6144</v>
      </c>
      <c r="M271" s="654" t="str">
        <f t="shared" si="177"/>
        <v>FORMATION</v>
      </c>
      <c r="N271" s="655">
        <f>+IF(OR($Q271=Parametres!$G$2,$Q271=Parametres!$G$3),I271,C271)</f>
        <v>6836.67</v>
      </c>
      <c r="O271" s="655">
        <f>+IF(OR($Q271=Parametres!$G$2,$Q271=Parametres!$G$3),J271,D271)</f>
        <v>3882.08</v>
      </c>
      <c r="P271" s="655">
        <f>+IF(OR($Q271=Parametres!$G$2,$Q271=Parametres!$G$3),K271,E271)</f>
        <v>10718.75</v>
      </c>
      <c r="Q271" s="654" t="str">
        <f t="shared" si="178"/>
        <v>7-Dépenses</v>
      </c>
      <c r="R271" s="653" t="str">
        <f t="shared" si="179"/>
        <v>6144</v>
      </c>
      <c r="S271" s="654" t="str">
        <f t="shared" si="180"/>
        <v>_</v>
      </c>
      <c r="T271" s="656" t="str">
        <f>+VLOOKUP($L271,Data_Validation!$A:$D,1,0)</f>
        <v>6144</v>
      </c>
      <c r="U271" s="656" t="str">
        <f>+VLOOKUP($L271,Data_Validation!$A:$D,3,0)</f>
        <v>Véhicules neufs</v>
      </c>
      <c r="V271" s="656" t="str">
        <f>+VLOOKUP($L271,Data_Validation!$A:$D,4,0)</f>
        <v>Formation</v>
      </c>
      <c r="W271" s="656" t="str">
        <f>+VLOOKUP($L271,Data_Validation!$A:$E,5,0)</f>
        <v>$</v>
      </c>
      <c r="X271" s="656">
        <f>+VLOOKUP($L271,Data_Validation!$A:$F,6,0)</f>
        <v>0</v>
      </c>
    </row>
    <row r="272" spans="1:24" ht="15.75" customHeight="1">
      <c r="A272" s="1252" t="s">
        <v>1193</v>
      </c>
      <c r="B272" s="1252" t="s">
        <v>1194</v>
      </c>
      <c r="C272" s="1254">
        <v>30068.15</v>
      </c>
      <c r="D272" s="1254">
        <v>5799.11</v>
      </c>
      <c r="E272" s="1254">
        <v>35867.26</v>
      </c>
      <c r="F272" s="1252" t="s">
        <v>1154</v>
      </c>
      <c r="G272" s="1252" t="s">
        <v>1194</v>
      </c>
      <c r="H272" s="1252" t="s">
        <v>3955</v>
      </c>
      <c r="I272" s="672"/>
      <c r="J272" s="663"/>
      <c r="K272" s="672"/>
      <c r="L272" s="653" t="str">
        <f t="shared" si="176"/>
        <v>6145</v>
      </c>
      <c r="M272" s="654" t="str">
        <f t="shared" si="177"/>
        <v>VEHICULE DE COMPAGNIE - DEPENS</v>
      </c>
      <c r="N272" s="655">
        <f>+IF(OR($Q272=Parametres!$G$2,$Q272=Parametres!$G$3),I272,C272)</f>
        <v>30068.15</v>
      </c>
      <c r="O272" s="655">
        <f>+IF(OR($Q272=Parametres!$G$2,$Q272=Parametres!$G$3),J272,D272)</f>
        <v>5799.11</v>
      </c>
      <c r="P272" s="655">
        <f>+IF(OR($Q272=Parametres!$G$2,$Q272=Parametres!$G$3),K272,E272)</f>
        <v>35867.26</v>
      </c>
      <c r="Q272" s="654" t="str">
        <f t="shared" si="178"/>
        <v>7-Dépenses</v>
      </c>
      <c r="R272" s="653" t="str">
        <f t="shared" si="179"/>
        <v>6145</v>
      </c>
      <c r="S272" s="654" t="str">
        <f t="shared" si="180"/>
        <v>_</v>
      </c>
      <c r="T272" s="656" t="str">
        <f>+VLOOKUP($L272,Data_Validation!$A:$D,1,0)</f>
        <v>6145</v>
      </c>
      <c r="U272" s="656" t="str">
        <f>+VLOOKUP($L272,Data_Validation!$A:$D,3,0)</f>
        <v>Véhicules neufs</v>
      </c>
      <c r="V272" s="656" t="str">
        <f>+VLOOKUP($L272,Data_Validation!$A:$D,4,0)</f>
        <v>Frais véhicules de cie</v>
      </c>
      <c r="W272" s="656" t="str">
        <f>+VLOOKUP($L272,Data_Validation!$A:$E,5,0)</f>
        <v>$</v>
      </c>
      <c r="X272" s="656">
        <f>+VLOOKUP($L272,Data_Validation!$A:$F,6,0)</f>
        <v>0</v>
      </c>
    </row>
    <row r="273" spans="1:24" ht="15" customHeight="1">
      <c r="A273" s="1252" t="s">
        <v>1195</v>
      </c>
      <c r="B273" s="1252" t="s">
        <v>1196</v>
      </c>
      <c r="C273" s="1254">
        <v>1579.53</v>
      </c>
      <c r="D273" s="1254">
        <v>131.27000000000001</v>
      </c>
      <c r="E273" s="1254">
        <v>1710.8</v>
      </c>
      <c r="F273" s="1252" t="s">
        <v>1154</v>
      </c>
      <c r="G273" s="1252" t="s">
        <v>1196</v>
      </c>
      <c r="H273" s="1252" t="s">
        <v>3955</v>
      </c>
      <c r="I273" s="652"/>
      <c r="J273" s="652"/>
      <c r="K273" s="652"/>
      <c r="L273" s="653" t="str">
        <f t="shared" si="176"/>
        <v>6147</v>
      </c>
      <c r="M273" s="654" t="str">
        <f t="shared" si="177"/>
        <v>FRET/EXPRESS/TRANS. PAR CAMION</v>
      </c>
      <c r="N273" s="655">
        <f>+IF(OR($Q273=Parametres!$G$2,$Q273=Parametres!$G$3),I273,C273)</f>
        <v>1579.53</v>
      </c>
      <c r="O273" s="659">
        <f>+IF(OR($Q273=Parametres!$G$2,$Q273=Parametres!$G$3),J273,D273)</f>
        <v>131.27000000000001</v>
      </c>
      <c r="P273" s="655">
        <f>+IF(OR($Q273=Parametres!$G$2,$Q273=Parametres!$G$3),K273,E273)</f>
        <v>1710.8</v>
      </c>
      <c r="Q273" s="654" t="str">
        <f t="shared" si="178"/>
        <v>7-Dépenses</v>
      </c>
      <c r="R273" s="653" t="str">
        <f t="shared" si="179"/>
        <v>6147</v>
      </c>
      <c r="S273" s="654" t="str">
        <f t="shared" si="180"/>
        <v>_</v>
      </c>
      <c r="T273" s="656" t="str">
        <f>+VLOOKUP($L273,Data_Validation!$A:$D,1,0)</f>
        <v>6147</v>
      </c>
      <c r="U273" s="656" t="str">
        <f>+VLOOKUP($L273,Data_Validation!$A:$D,3,0)</f>
        <v>Véhicules neufs</v>
      </c>
      <c r="V273" s="656" t="str">
        <f>+VLOOKUP($L273,Data_Validation!$A:$D,4,0)</f>
        <v>Frais postaux</v>
      </c>
      <c r="W273" s="656" t="str">
        <f>+VLOOKUP($L273,Data_Validation!$A:$E,5,0)</f>
        <v>$</v>
      </c>
      <c r="X273" s="656">
        <f>+VLOOKUP($L273,Data_Validation!$A:$F,6,0)</f>
        <v>0</v>
      </c>
    </row>
    <row r="274" spans="1:24" ht="15" customHeight="1">
      <c r="A274" s="1252" t="s">
        <v>1197</v>
      </c>
      <c r="B274" s="1252" t="s">
        <v>1198</v>
      </c>
      <c r="C274" s="1254">
        <v>19777.849999999999</v>
      </c>
      <c r="D274" s="1254">
        <v>7784.61</v>
      </c>
      <c r="E274" s="1254">
        <v>27562.46</v>
      </c>
      <c r="F274" s="1252" t="s">
        <v>1154</v>
      </c>
      <c r="G274" s="1252" t="s">
        <v>1198</v>
      </c>
      <c r="H274" s="1252" t="s">
        <v>3955</v>
      </c>
      <c r="I274" s="670"/>
      <c r="J274" s="651"/>
      <c r="K274" s="670"/>
      <c r="L274" s="653" t="str">
        <f t="shared" si="176"/>
        <v>6151</v>
      </c>
      <c r="M274" s="654" t="str">
        <f t="shared" si="177"/>
        <v>DEP. DU TRAITEMENT DES DONNEES</v>
      </c>
      <c r="N274" s="655">
        <f>+IF(OR($Q274=Parametres!$G$2,$Q274=Parametres!$G$3),I274,C274)</f>
        <v>19777.849999999999</v>
      </c>
      <c r="O274" s="655">
        <f>+IF(OR($Q274=Parametres!$G$2,$Q274=Parametres!$G$3),J274,D274)</f>
        <v>7784.61</v>
      </c>
      <c r="P274" s="655">
        <f>+IF(OR($Q274=Parametres!$G$2,$Q274=Parametres!$G$3),K274,E274)</f>
        <v>27562.46</v>
      </c>
      <c r="Q274" s="654" t="str">
        <f t="shared" si="178"/>
        <v>7-Dépenses</v>
      </c>
      <c r="R274" s="653" t="str">
        <f t="shared" si="179"/>
        <v>6151</v>
      </c>
      <c r="S274" s="654" t="str">
        <f t="shared" si="180"/>
        <v>_</v>
      </c>
      <c r="T274" s="656" t="str">
        <f>+VLOOKUP($L274,Data_Validation!$A:$D,1,0)</f>
        <v>6151</v>
      </c>
      <c r="U274" s="656" t="str">
        <f>+VLOOKUP($L274,Data_Validation!$A:$D,3,0)</f>
        <v>Véhicules neufs</v>
      </c>
      <c r="V274" s="656" t="str">
        <f>+VLOOKUP($L274,Data_Validation!$A:$D,4,0)</f>
        <v>Informatique</v>
      </c>
      <c r="W274" s="656" t="str">
        <f>+VLOOKUP($L274,Data_Validation!$A:$E,5,0)</f>
        <v>$</v>
      </c>
      <c r="X274" s="656">
        <f>+VLOOKUP($L274,Data_Validation!$A:$F,6,0)</f>
        <v>0</v>
      </c>
    </row>
    <row r="275" spans="1:24" ht="15" customHeight="1">
      <c r="A275" s="1252" t="s">
        <v>1199</v>
      </c>
      <c r="B275" s="1252" t="s">
        <v>1200</v>
      </c>
      <c r="C275" s="1254">
        <v>1746.71</v>
      </c>
      <c r="D275" s="1254">
        <v>58.13</v>
      </c>
      <c r="E275" s="1254">
        <v>1804.84</v>
      </c>
      <c r="F275" s="1252" t="s">
        <v>1154</v>
      </c>
      <c r="G275" s="1252" t="s">
        <v>1200</v>
      </c>
      <c r="H275" s="1252" t="s">
        <v>3955</v>
      </c>
      <c r="I275" s="652"/>
      <c r="J275" s="652"/>
      <c r="K275" s="652"/>
      <c r="L275" s="653" t="str">
        <f t="shared" si="176"/>
        <v>6152</v>
      </c>
      <c r="M275" s="654" t="str">
        <f t="shared" si="177"/>
        <v>PAPETERIE</v>
      </c>
      <c r="N275" s="655">
        <f>+IF(OR($Q275=Parametres!$G$2,$Q275=Parametres!$G$3),I275,C275)</f>
        <v>1746.71</v>
      </c>
      <c r="O275" s="655">
        <f>+IF(OR($Q275=Parametres!$G$2,$Q275=Parametres!$G$3),J275,D275)</f>
        <v>58.13</v>
      </c>
      <c r="P275" s="655">
        <f>+IF(OR($Q275=Parametres!$G$2,$Q275=Parametres!$G$3),K275,E275)</f>
        <v>1804.84</v>
      </c>
      <c r="Q275" s="654" t="str">
        <f t="shared" si="178"/>
        <v>7-Dépenses</v>
      </c>
      <c r="R275" s="653" t="str">
        <f t="shared" si="179"/>
        <v>6152</v>
      </c>
      <c r="S275" s="654" t="str">
        <f t="shared" si="180"/>
        <v>_</v>
      </c>
      <c r="T275" s="656" t="str">
        <f>+VLOOKUP($L275,Data_Validation!$A:$D,1,0)</f>
        <v>6152</v>
      </c>
      <c r="U275" s="656" t="str">
        <f>+VLOOKUP($L275,Data_Validation!$A:$D,3,0)</f>
        <v>Véhicules neufs</v>
      </c>
      <c r="V275" s="656" t="str">
        <f>+VLOOKUP($L275,Data_Validation!$A:$D,4,0)</f>
        <v>Papeterie</v>
      </c>
      <c r="W275" s="656" t="str">
        <f>+VLOOKUP($L275,Data_Validation!$A:$E,5,0)</f>
        <v>$</v>
      </c>
      <c r="X275" s="656">
        <f>+VLOOKUP($L275,Data_Validation!$A:$F,6,0)</f>
        <v>0</v>
      </c>
    </row>
    <row r="276" spans="1:24" ht="15" customHeight="1">
      <c r="A276" s="1252" t="s">
        <v>1201</v>
      </c>
      <c r="B276" s="1252" t="s">
        <v>1202</v>
      </c>
      <c r="C276" s="1254">
        <v>1296.83</v>
      </c>
      <c r="D276" s="1254">
        <v>396.63</v>
      </c>
      <c r="E276" s="1254">
        <v>1693.46</v>
      </c>
      <c r="F276" s="1252" t="s">
        <v>1154</v>
      </c>
      <c r="G276" s="1252" t="s">
        <v>1202</v>
      </c>
      <c r="H276" s="1252" t="s">
        <v>3955</v>
      </c>
      <c r="I276" s="670"/>
      <c r="J276" s="651"/>
      <c r="K276" s="670"/>
      <c r="L276" s="653" t="str">
        <f t="shared" si="176"/>
        <v>6153</v>
      </c>
      <c r="M276" s="654" t="str">
        <f t="shared" si="177"/>
        <v>TELEPHONE ET TELEX</v>
      </c>
      <c r="N276" s="655">
        <f>+IF(OR($Q276=Parametres!$G$2,$Q276=Parametres!$G$3),I276,C276)</f>
        <v>1296.83</v>
      </c>
      <c r="O276" s="655">
        <f>+IF(OR($Q276=Parametres!$G$2,$Q276=Parametres!$G$3),J276,D276)</f>
        <v>396.63</v>
      </c>
      <c r="P276" s="655">
        <f>+IF(OR($Q276=Parametres!$G$2,$Q276=Parametres!$G$3),K276,E276)</f>
        <v>1693.46</v>
      </c>
      <c r="Q276" s="654" t="str">
        <f t="shared" si="178"/>
        <v>7-Dépenses</v>
      </c>
      <c r="R276" s="653" t="str">
        <f t="shared" si="179"/>
        <v>6153</v>
      </c>
      <c r="S276" s="654" t="str">
        <f t="shared" si="180"/>
        <v>_</v>
      </c>
      <c r="T276" s="656" t="str">
        <f>+VLOOKUP($L276,Data_Validation!$A:$D,1,0)</f>
        <v>6153</v>
      </c>
      <c r="U276" s="656" t="str">
        <f>+VLOOKUP($L276,Data_Validation!$A:$D,3,0)</f>
        <v>Véhicules neufs</v>
      </c>
      <c r="V276" s="656" t="str">
        <f>+VLOOKUP($L276,Data_Validation!$A:$D,4,0)</f>
        <v>Téléphone</v>
      </c>
      <c r="W276" s="656" t="str">
        <f>+VLOOKUP($L276,Data_Validation!$A:$E,5,0)</f>
        <v>$</v>
      </c>
      <c r="X276" s="656">
        <f>+VLOOKUP($L276,Data_Validation!$A:$F,6,0)</f>
        <v>0</v>
      </c>
    </row>
    <row r="277" spans="1:24" ht="15" customHeight="1">
      <c r="A277" s="1252" t="s">
        <v>1203</v>
      </c>
      <c r="B277" s="1252" t="s">
        <v>1204</v>
      </c>
      <c r="C277" s="1254">
        <v>231.84</v>
      </c>
      <c r="D277" s="1254">
        <v>121.08</v>
      </c>
      <c r="E277" s="1254">
        <v>352.92</v>
      </c>
      <c r="F277" s="1252" t="s">
        <v>1154</v>
      </c>
      <c r="G277" s="1252" t="s">
        <v>1204</v>
      </c>
      <c r="H277" s="1252" t="s">
        <v>3955</v>
      </c>
      <c r="I277" s="652"/>
      <c r="J277" s="652"/>
      <c r="K277" s="652"/>
      <c r="L277" s="653" t="str">
        <f t="shared" si="176"/>
        <v>6155</v>
      </c>
      <c r="M277" s="654" t="str">
        <f t="shared" si="177"/>
        <v>DEPENSES DIVERS</v>
      </c>
      <c r="N277" s="655">
        <f>+IF(OR($Q277=Parametres!$G$2,$Q277=Parametres!$G$3),I277,C277)</f>
        <v>231.84</v>
      </c>
      <c r="O277" s="655">
        <f>+IF(OR($Q277=Parametres!$G$2,$Q277=Parametres!$G$3),J277,D277)</f>
        <v>121.08</v>
      </c>
      <c r="P277" s="655">
        <f>+IF(OR($Q277=Parametres!$G$2,$Q277=Parametres!$G$3),K277,E277)</f>
        <v>352.92</v>
      </c>
      <c r="Q277" s="654" t="str">
        <f t="shared" si="178"/>
        <v>7-Dépenses</v>
      </c>
      <c r="R277" s="653" t="str">
        <f t="shared" si="179"/>
        <v>6155</v>
      </c>
      <c r="S277" s="654" t="str">
        <f t="shared" si="180"/>
        <v>_</v>
      </c>
      <c r="T277" s="656" t="str">
        <f>+VLOOKUP($L277,Data_Validation!$A:$D,1,0)</f>
        <v>6155</v>
      </c>
      <c r="U277" s="656" t="str">
        <f>+VLOOKUP($L277,Data_Validation!$A:$D,3,0)</f>
        <v>Véhicules neufs</v>
      </c>
      <c r="V277" s="656" t="str">
        <f>+VLOOKUP($L277,Data_Validation!$A:$D,4,0)</f>
        <v>Divers</v>
      </c>
      <c r="W277" s="656" t="str">
        <f>+VLOOKUP($L277,Data_Validation!$A:$E,5,0)</f>
        <v>$</v>
      </c>
      <c r="X277" s="656">
        <f>+VLOOKUP($L277,Data_Validation!$A:$F,6,0)</f>
        <v>0</v>
      </c>
    </row>
    <row r="278" spans="1:24" ht="15" customHeight="1">
      <c r="A278" s="1252" t="s">
        <v>1205</v>
      </c>
      <c r="B278" s="1252" t="s">
        <v>1206</v>
      </c>
      <c r="C278" s="1254">
        <v>3866.6</v>
      </c>
      <c r="D278" s="1254">
        <v>1501.77</v>
      </c>
      <c r="E278" s="1254">
        <v>5368.37</v>
      </c>
      <c r="F278" s="1252" t="s">
        <v>1154</v>
      </c>
      <c r="G278" s="1252" t="s">
        <v>1206</v>
      </c>
      <c r="H278" s="1252" t="s">
        <v>3955</v>
      </c>
      <c r="I278" s="670"/>
      <c r="J278" s="651"/>
      <c r="K278" s="670"/>
      <c r="L278" s="653" t="str">
        <f t="shared" si="176"/>
        <v>6156</v>
      </c>
      <c r="M278" s="654" t="str">
        <f t="shared" si="177"/>
        <v>FRAIS REPRESENTATION - NEUF</v>
      </c>
      <c r="N278" s="655">
        <f>+IF(OR($Q278=Parametres!$G$2,$Q278=Parametres!$G$3),I278,C278)</f>
        <v>3866.6</v>
      </c>
      <c r="O278" s="659">
        <f>+IF(OR($Q278=Parametres!$G$2,$Q278=Parametres!$G$3),J278,D278)</f>
        <v>1501.77</v>
      </c>
      <c r="P278" s="655">
        <f>+IF(OR($Q278=Parametres!$G$2,$Q278=Parametres!$G$3),K278,E278)</f>
        <v>5368.37</v>
      </c>
      <c r="Q278" s="654" t="str">
        <f t="shared" si="178"/>
        <v>7-Dépenses</v>
      </c>
      <c r="R278" s="653" t="str">
        <f t="shared" si="179"/>
        <v>6156</v>
      </c>
      <c r="S278" s="654" t="str">
        <f t="shared" si="180"/>
        <v>_</v>
      </c>
      <c r="T278" s="656" t="str">
        <f>+VLOOKUP($L278,Data_Validation!$A:$D,1,0)</f>
        <v>6156</v>
      </c>
      <c r="U278" s="656" t="str">
        <f>+VLOOKUP($L278,Data_Validation!$A:$D,3,0)</f>
        <v>Véhicules neufs</v>
      </c>
      <c r="V278" s="656" t="str">
        <f>+VLOOKUP($L278,Data_Validation!$A:$D,4,0)</f>
        <v>Frais de déplacement</v>
      </c>
      <c r="W278" s="656" t="str">
        <f>+VLOOKUP($L278,Data_Validation!$A:$E,5,0)</f>
        <v>$</v>
      </c>
      <c r="X278" s="656">
        <f>+VLOOKUP($L278,Data_Validation!$A:$F,6,0)</f>
        <v>0</v>
      </c>
    </row>
    <row r="279" spans="1:24" ht="15.75" customHeight="1">
      <c r="A279" s="1252" t="s">
        <v>1207</v>
      </c>
      <c r="B279" s="1252" t="s">
        <v>3388</v>
      </c>
      <c r="C279" s="1254">
        <v>8687.98</v>
      </c>
      <c r="D279" s="1254">
        <v>4608.58</v>
      </c>
      <c r="E279" s="1254">
        <v>13296.56</v>
      </c>
      <c r="F279" s="1252" t="s">
        <v>1154</v>
      </c>
      <c r="G279" s="1252" t="s">
        <v>1208</v>
      </c>
      <c r="H279" s="1252" t="s">
        <v>3955</v>
      </c>
      <c r="I279" s="652"/>
      <c r="J279" s="652"/>
      <c r="K279" s="652"/>
      <c r="L279" s="653" t="str">
        <f t="shared" si="176"/>
        <v>6157</v>
      </c>
      <c r="M279" s="654" t="str">
        <f t="shared" si="177"/>
        <v>FRAIS BANCAIRES - NEUF</v>
      </c>
      <c r="N279" s="655">
        <f>+IF(OR($Q279=Parametres!$G$2,$Q279=Parametres!$G$3),I279,C279)</f>
        <v>8687.98</v>
      </c>
      <c r="O279" s="659">
        <f>+IF(OR($Q279=Parametres!$G$2,$Q279=Parametres!$G$3),J279,D279)</f>
        <v>4608.58</v>
      </c>
      <c r="P279" s="655">
        <f>+IF(OR($Q279=Parametres!$G$2,$Q279=Parametres!$G$3),K279,E279)</f>
        <v>13296.56</v>
      </c>
      <c r="Q279" s="654" t="str">
        <f t="shared" si="178"/>
        <v>7-Dépenses</v>
      </c>
      <c r="R279" s="653" t="str">
        <f t="shared" si="179"/>
        <v>615</v>
      </c>
      <c r="S279" s="654" t="str">
        <f t="shared" si="180"/>
        <v>_</v>
      </c>
      <c r="T279" s="656" t="str">
        <f>+VLOOKUP($L279,Data_Validation!$A:$D,1,0)</f>
        <v>6157</v>
      </c>
      <c r="U279" s="656" t="str">
        <f>+VLOOKUP($L279,Data_Validation!$A:$D,3,0)</f>
        <v>Véhicules neufs</v>
      </c>
      <c r="V279" s="656" t="str">
        <f>+VLOOKUP($L279,Data_Validation!$A:$D,4,0)</f>
        <v>Frais bancaires</v>
      </c>
      <c r="W279" s="656" t="str">
        <f>+VLOOKUP($L279,Data_Validation!$A:$E,5,0)</f>
        <v>$</v>
      </c>
      <c r="X279" s="656">
        <f>+VLOOKUP($L279,Data_Validation!$A:$F,6,0)</f>
        <v>0</v>
      </c>
    </row>
    <row r="280" spans="1:24" ht="15" customHeight="1">
      <c r="A280" s="1252" t="s">
        <v>1209</v>
      </c>
      <c r="B280" s="1252" t="s">
        <v>1210</v>
      </c>
      <c r="C280" s="1254">
        <v>25899.38</v>
      </c>
      <c r="D280" s="1254">
        <v>7415.88</v>
      </c>
      <c r="E280" s="1254">
        <v>33315.26</v>
      </c>
      <c r="F280" s="1252" t="s">
        <v>1154</v>
      </c>
      <c r="G280" s="1252" t="s">
        <v>1210</v>
      </c>
      <c r="H280" s="1252" t="s">
        <v>3955</v>
      </c>
      <c r="I280" s="652"/>
      <c r="J280" s="652"/>
      <c r="K280" s="652"/>
      <c r="L280" s="653" t="str">
        <f t="shared" si="176"/>
        <v>6159</v>
      </c>
      <c r="M280" s="654" t="str">
        <f t="shared" si="177"/>
        <v>SERVICE EXTERIEUR</v>
      </c>
      <c r="N280" s="655">
        <f>+IF(OR($Q280=Parametres!$G$2,$Q280=Parametres!$G$3),I280,C280)</f>
        <v>25899.38</v>
      </c>
      <c r="O280" s="655">
        <f>+IF(OR($Q280=Parametres!$G$2,$Q280=Parametres!$G$3),J280,D280)</f>
        <v>7415.88</v>
      </c>
      <c r="P280" s="655">
        <f>+IF(OR($Q280=Parametres!$G$2,$Q280=Parametres!$G$3),K280,E280)</f>
        <v>33315.26</v>
      </c>
      <c r="Q280" s="654" t="str">
        <f t="shared" si="178"/>
        <v>7-Dépenses</v>
      </c>
      <c r="R280" s="653" t="str">
        <f t="shared" si="179"/>
        <v>6159</v>
      </c>
      <c r="S280" s="654" t="str">
        <f t="shared" si="180"/>
        <v>_</v>
      </c>
      <c r="T280" s="656" t="str">
        <f>+VLOOKUP($L280,Data_Validation!$A:$D,1,0)</f>
        <v>6159</v>
      </c>
      <c r="U280" s="656" t="str">
        <f>+VLOOKUP($L280,Data_Validation!$A:$D,3,0)</f>
        <v>Véhicules neufs</v>
      </c>
      <c r="V280" s="656" t="str">
        <f>+VLOOKUP($L280,Data_Validation!$A:$D,4,0)</f>
        <v>Services extérieurs</v>
      </c>
      <c r="W280" s="656" t="str">
        <f>+VLOOKUP($L280,Data_Validation!$A:$E,5,0)</f>
        <v>$</v>
      </c>
      <c r="X280" s="656">
        <f>+VLOOKUP($L280,Data_Validation!$A:$F,6,0)</f>
        <v>0</v>
      </c>
    </row>
    <row r="281" spans="1:24" ht="15" customHeight="1">
      <c r="A281" s="1252" t="s">
        <v>1211</v>
      </c>
      <c r="B281" s="1252" t="s">
        <v>1212</v>
      </c>
      <c r="C281" s="1254">
        <v>40942.080000000002</v>
      </c>
      <c r="D281" s="1254">
        <v>13647.36</v>
      </c>
      <c r="E281" s="1254">
        <v>54589.440000000002</v>
      </c>
      <c r="F281" s="1252" t="s">
        <v>1154</v>
      </c>
      <c r="G281" s="1252" t="s">
        <v>1212</v>
      </c>
      <c r="H281" s="1252" t="s">
        <v>3955</v>
      </c>
      <c r="I281" s="670"/>
      <c r="J281" s="660"/>
      <c r="K281" s="670"/>
      <c r="L281" s="653" t="str">
        <f t="shared" si="176"/>
        <v>6161</v>
      </c>
      <c r="M281" s="668" t="str">
        <f t="shared" si="177"/>
        <v>DEPRECIATION EQUIP. &amp; FIXTURES</v>
      </c>
      <c r="N281" s="655">
        <f>+IF(OR($Q281=Parametres!$G$2,$Q281=Parametres!$G$3),I281,C281)</f>
        <v>40942.080000000002</v>
      </c>
      <c r="O281" s="659">
        <f>+IF(OR($Q281=Parametres!$G$2,$Q281=Parametres!$G$3),J281,D281)</f>
        <v>13647.36</v>
      </c>
      <c r="P281" s="669">
        <f>+IF(OR($Q281=Parametres!$G$2,$Q281=Parametres!$G$3),K281,E281)</f>
        <v>54589.440000000002</v>
      </c>
      <c r="Q281" s="654" t="str">
        <f t="shared" si="178"/>
        <v>7-Dépenses</v>
      </c>
      <c r="R281" s="653" t="str">
        <f t="shared" si="179"/>
        <v>6161</v>
      </c>
      <c r="S281" s="654" t="str">
        <f t="shared" si="180"/>
        <v>_</v>
      </c>
      <c r="T281" s="656" t="str">
        <f>+VLOOKUP($L281,Data_Validation!$A:$D,1,0)</f>
        <v>6161</v>
      </c>
      <c r="U281" s="656" t="str">
        <f>+VLOOKUP($L281,Data_Validation!$A:$D,3,0)</f>
        <v>Véhicules neufs</v>
      </c>
      <c r="V281" s="656" t="str">
        <f>+VLOOKUP($L281,Data_Validation!$A:$D,4,0)</f>
        <v>Amortissement</v>
      </c>
      <c r="W281" s="656" t="str">
        <f>+VLOOKUP($L281,Data_Validation!$A:$E,5,0)</f>
        <v>$</v>
      </c>
      <c r="X281" s="656">
        <f>+VLOOKUP($L281,Data_Validation!$A:$F,6,0)</f>
        <v>0</v>
      </c>
    </row>
    <row r="282" spans="1:24" ht="15" customHeight="1">
      <c r="A282" s="1252" t="s">
        <v>1213</v>
      </c>
      <c r="B282" s="1252" t="s">
        <v>1214</v>
      </c>
      <c r="C282" s="1254">
        <v>8532.51</v>
      </c>
      <c r="D282" s="1254">
        <v>1830.39</v>
      </c>
      <c r="E282" s="1254">
        <v>10362.9</v>
      </c>
      <c r="F282" s="1252" t="s">
        <v>1154</v>
      </c>
      <c r="G282" s="1252" t="s">
        <v>1214</v>
      </c>
      <c r="H282" s="1252" t="s">
        <v>3955</v>
      </c>
      <c r="I282" s="652"/>
      <c r="J282" s="652"/>
      <c r="K282" s="652"/>
      <c r="L282" s="653" t="str">
        <f t="shared" si="176"/>
        <v>6181</v>
      </c>
      <c r="M282" s="654" t="str">
        <f t="shared" si="177"/>
        <v>ELECTRICITE CHAUFFAGE</v>
      </c>
      <c r="N282" s="655">
        <f>+IF(OR($Q282=Parametres!$G$2,$Q282=Parametres!$G$3),I282,C282)</f>
        <v>8532.51</v>
      </c>
      <c r="O282" s="655">
        <f>+IF(OR($Q282=Parametres!$G$2,$Q282=Parametres!$G$3),J282,D282)</f>
        <v>1830.39</v>
      </c>
      <c r="P282" s="655">
        <f>+IF(OR($Q282=Parametres!$G$2,$Q282=Parametres!$G$3),K282,E282)</f>
        <v>10362.9</v>
      </c>
      <c r="Q282" s="654" t="str">
        <f t="shared" si="178"/>
        <v>7-Dépenses</v>
      </c>
      <c r="R282" s="653" t="str">
        <f t="shared" si="179"/>
        <v>6181</v>
      </c>
      <c r="S282" s="654" t="str">
        <f t="shared" si="180"/>
        <v>_</v>
      </c>
      <c r="T282" s="656" t="str">
        <f>+VLOOKUP($L282,Data_Validation!$A:$D,1,0)</f>
        <v>6181</v>
      </c>
      <c r="U282" s="656" t="str">
        <f>+VLOOKUP($L282,Data_Validation!$A:$D,3,0)</f>
        <v>Véhicules neufs</v>
      </c>
      <c r="V282" s="656" t="str">
        <f>+VLOOKUP($L282,Data_Validation!$A:$D,4,0)</f>
        <v>Chauffage, éclairage</v>
      </c>
      <c r="W282" s="656" t="str">
        <f>+VLOOKUP($L282,Data_Validation!$A:$E,5,0)</f>
        <v>$</v>
      </c>
      <c r="X282" s="656">
        <f>+VLOOKUP($L282,Data_Validation!$A:$F,6,0)</f>
        <v>0</v>
      </c>
    </row>
    <row r="283" spans="1:24" ht="15.75" customHeight="1">
      <c r="A283" s="1252" t="s">
        <v>1215</v>
      </c>
      <c r="B283" s="1252" t="s">
        <v>1216</v>
      </c>
      <c r="C283" s="1254">
        <v>34560</v>
      </c>
      <c r="D283" s="1254">
        <v>11520</v>
      </c>
      <c r="E283" s="1254">
        <v>46080</v>
      </c>
      <c r="F283" s="1252" t="s">
        <v>1154</v>
      </c>
      <c r="G283" s="1252" t="s">
        <v>1216</v>
      </c>
      <c r="H283" s="1252" t="s">
        <v>3955</v>
      </c>
      <c r="I283" s="663"/>
      <c r="J283" s="663"/>
      <c r="K283" s="663"/>
      <c r="L283" s="653" t="str">
        <f t="shared" si="176"/>
        <v>6182</v>
      </c>
      <c r="M283" s="654" t="str">
        <f t="shared" si="177"/>
        <v>LOYER NEUFS</v>
      </c>
      <c r="N283" s="655">
        <f>+IF(OR($Q283=Parametres!$G$2,$Q283=Parametres!$G$3),I283,C283)</f>
        <v>34560</v>
      </c>
      <c r="O283" s="655">
        <f>+IF(OR($Q283=Parametres!$G$2,$Q283=Parametres!$G$3),J283,D283)</f>
        <v>11520</v>
      </c>
      <c r="P283" s="655">
        <f>+IF(OR($Q283=Parametres!$G$2,$Q283=Parametres!$G$3),K283,E283)</f>
        <v>46080</v>
      </c>
      <c r="Q283" s="654" t="str">
        <f t="shared" si="178"/>
        <v>7-Dépenses</v>
      </c>
      <c r="R283" s="653" t="str">
        <f t="shared" si="179"/>
        <v>6182</v>
      </c>
      <c r="S283" s="654" t="str">
        <f t="shared" si="180"/>
        <v>_</v>
      </c>
      <c r="T283" s="656" t="str">
        <f>+VLOOKUP($L283,Data_Validation!$A:$D,1,0)</f>
        <v>6182</v>
      </c>
      <c r="U283" s="656" t="str">
        <f>+VLOOKUP($L283,Data_Validation!$A:$D,3,0)</f>
        <v>Véhicules neufs</v>
      </c>
      <c r="V283" s="656" t="str">
        <f>+VLOOKUP($L283,Data_Validation!$A:$D,4,0)</f>
        <v>Loyer</v>
      </c>
      <c r="W283" s="656" t="str">
        <f>+VLOOKUP($L283,Data_Validation!$A:$E,5,0)</f>
        <v>$</v>
      </c>
      <c r="X283" s="656">
        <f>+VLOOKUP($L283,Data_Validation!$A:$F,6,0)</f>
        <v>0</v>
      </c>
    </row>
    <row r="284" spans="1:24" ht="15" customHeight="1">
      <c r="A284" s="1252" t="s">
        <v>1217</v>
      </c>
      <c r="B284" s="1252" t="s">
        <v>1218</v>
      </c>
      <c r="C284" s="1254">
        <v>4170.4799999999996</v>
      </c>
      <c r="D284" s="1254">
        <v>1390.16</v>
      </c>
      <c r="E284" s="1254">
        <v>5560.64</v>
      </c>
      <c r="F284" s="1252" t="s">
        <v>1154</v>
      </c>
      <c r="G284" s="1252" t="s">
        <v>1218</v>
      </c>
      <c r="H284" s="1252" t="s">
        <v>3955</v>
      </c>
      <c r="I284" s="651"/>
      <c r="J284" s="651"/>
      <c r="K284" s="670"/>
      <c r="L284" s="653" t="str">
        <f t="shared" si="176"/>
        <v>6186</v>
      </c>
      <c r="M284" s="654" t="str">
        <f t="shared" si="177"/>
        <v>ASSURANCE BATIMENT</v>
      </c>
      <c r="N284" s="655">
        <f>+IF(OR($Q284=Parametres!$G$2,$Q284=Parametres!$G$3),I284,C284)</f>
        <v>4170.4799999999996</v>
      </c>
      <c r="O284" s="659">
        <f>+IF(OR($Q284=Parametres!$G$2,$Q284=Parametres!$G$3),J284,D284)</f>
        <v>1390.16</v>
      </c>
      <c r="P284" s="655">
        <f>+IF(OR($Q284=Parametres!$G$2,$Q284=Parametres!$G$3),K284,E284)</f>
        <v>5560.64</v>
      </c>
      <c r="Q284" s="654" t="str">
        <f t="shared" si="178"/>
        <v>7-Dépenses</v>
      </c>
      <c r="R284" s="653" t="str">
        <f t="shared" si="179"/>
        <v>6186</v>
      </c>
      <c r="S284" s="654" t="str">
        <f t="shared" si="180"/>
        <v>_</v>
      </c>
      <c r="T284" s="656" t="str">
        <f>+VLOOKUP($L284,Data_Validation!$A:$D,1,0)</f>
        <v>6186</v>
      </c>
      <c r="U284" s="656" t="str">
        <f>+VLOOKUP($L284,Data_Validation!$A:$D,3,0)</f>
        <v>Véhicules neufs</v>
      </c>
      <c r="V284" s="656" t="str">
        <f>+VLOOKUP($L284,Data_Validation!$A:$D,4,0)</f>
        <v>Assurances</v>
      </c>
      <c r="W284" s="656" t="str">
        <f>+VLOOKUP($L284,Data_Validation!$A:$E,5,0)</f>
        <v>$</v>
      </c>
      <c r="X284" s="656">
        <f>+VLOOKUP($L284,Data_Validation!$A:$F,6,0)</f>
        <v>0</v>
      </c>
    </row>
    <row r="285" spans="1:24" ht="15" customHeight="1">
      <c r="A285" s="1252" t="s">
        <v>1219</v>
      </c>
      <c r="B285" s="1252" t="s">
        <v>1220</v>
      </c>
      <c r="C285" s="1254">
        <v>5206.08</v>
      </c>
      <c r="D285" s="1254">
        <v>1735.36</v>
      </c>
      <c r="E285" s="1254">
        <v>6941.44</v>
      </c>
      <c r="F285" s="1252" t="s">
        <v>1154</v>
      </c>
      <c r="G285" s="1252" t="s">
        <v>1220</v>
      </c>
      <c r="H285" s="1252" t="s">
        <v>3955</v>
      </c>
      <c r="I285" s="652"/>
      <c r="J285" s="652"/>
      <c r="K285" s="652"/>
      <c r="L285" s="653" t="str">
        <f t="shared" si="176"/>
        <v>6187</v>
      </c>
      <c r="M285" s="654" t="str">
        <f t="shared" si="177"/>
        <v>TAXE SUR PROPRIETE</v>
      </c>
      <c r="N285" s="655">
        <f>+IF(OR($Q285=Parametres!$G$2,$Q285=Parametres!$G$3),I285,C285)</f>
        <v>5206.08</v>
      </c>
      <c r="O285" s="655">
        <f>+IF(OR($Q285=Parametres!$G$2,$Q285=Parametres!$G$3),J285,D285)</f>
        <v>1735.36</v>
      </c>
      <c r="P285" s="655">
        <f>+IF(OR($Q285=Parametres!$G$2,$Q285=Parametres!$G$3),K285,E285)</f>
        <v>6941.44</v>
      </c>
      <c r="Q285" s="654" t="str">
        <f t="shared" si="178"/>
        <v>7-Dépenses</v>
      </c>
      <c r="R285" s="653" t="str">
        <f t="shared" si="179"/>
        <v>6187</v>
      </c>
      <c r="S285" s="654" t="str">
        <f t="shared" si="180"/>
        <v>_</v>
      </c>
      <c r="T285" s="656" t="str">
        <f>+VLOOKUP($L285,Data_Validation!$A:$D,1,0)</f>
        <v>6187</v>
      </c>
      <c r="U285" s="656" t="str">
        <f>+VLOOKUP($L285,Data_Validation!$A:$D,3,0)</f>
        <v>Véhicules neufs</v>
      </c>
      <c r="V285" s="656" t="str">
        <f>+VLOOKUP($L285,Data_Validation!$A:$D,4,0)</f>
        <v>Taxes foncières</v>
      </c>
      <c r="W285" s="656" t="str">
        <f>+VLOOKUP($L285,Data_Validation!$A:$E,5,0)</f>
        <v>$</v>
      </c>
      <c r="X285" s="656">
        <f>+VLOOKUP($L285,Data_Validation!$A:$F,6,0)</f>
        <v>0</v>
      </c>
    </row>
    <row r="286" spans="1:24" ht="15" customHeight="1">
      <c r="A286" s="1252" t="s">
        <v>1221</v>
      </c>
      <c r="B286" s="1252" t="s">
        <v>1222</v>
      </c>
      <c r="C286" s="1254">
        <v>4296.6400000000003</v>
      </c>
      <c r="D286" s="1254">
        <v>1154.8800000000001</v>
      </c>
      <c r="E286" s="1254">
        <v>5451.52</v>
      </c>
      <c r="F286" s="1252" t="s">
        <v>1154</v>
      </c>
      <c r="G286" s="1252" t="s">
        <v>1222</v>
      </c>
      <c r="H286" s="1252" t="s">
        <v>3955</v>
      </c>
      <c r="I286" s="652"/>
      <c r="J286" s="652"/>
      <c r="K286" s="652"/>
      <c r="L286" s="653" t="str">
        <f t="shared" si="176"/>
        <v>6193</v>
      </c>
      <c r="M286" s="654" t="str">
        <f t="shared" si="177"/>
        <v>TAXES AUTRES PERMIS LICENCE</v>
      </c>
      <c r="N286" s="655">
        <f>+IF(OR($Q286=Parametres!$G$2,$Q286=Parametres!$G$3),I286,C286)</f>
        <v>4296.6400000000003</v>
      </c>
      <c r="O286" s="659">
        <f>+IF(OR($Q286=Parametres!$G$2,$Q286=Parametres!$G$3),J286,D286)</f>
        <v>1154.8800000000001</v>
      </c>
      <c r="P286" s="655">
        <f>+IF(OR($Q286=Parametres!$G$2,$Q286=Parametres!$G$3),K286,E286)</f>
        <v>5451.52</v>
      </c>
      <c r="Q286" s="654" t="str">
        <f t="shared" si="178"/>
        <v>7-Dépenses</v>
      </c>
      <c r="R286" s="653" t="str">
        <f t="shared" si="179"/>
        <v>6193</v>
      </c>
      <c r="S286" s="654" t="str">
        <f t="shared" si="180"/>
        <v>_</v>
      </c>
      <c r="T286" s="656" t="str">
        <f>+VLOOKUP($L286,Data_Validation!$A:$D,1,0)</f>
        <v>6193</v>
      </c>
      <c r="U286" s="656" t="str">
        <f>+VLOOKUP($L286,Data_Validation!$A:$D,3,0)</f>
        <v>Véhicules neufs</v>
      </c>
      <c r="V286" s="656" t="str">
        <f>+VLOOKUP($L286,Data_Validation!$A:$D,4,0)</f>
        <v>Taxes d`affaires</v>
      </c>
      <c r="W286" s="656" t="str">
        <f>+VLOOKUP($L286,Data_Validation!$A:$E,5,0)</f>
        <v>$</v>
      </c>
      <c r="X286" s="656">
        <f>+VLOOKUP($L286,Data_Validation!$A:$F,6,0)</f>
        <v>0</v>
      </c>
    </row>
    <row r="287" spans="1:24" ht="15.75" customHeight="1">
      <c r="A287" s="1252" t="s">
        <v>1223</v>
      </c>
      <c r="B287" s="1252" t="s">
        <v>1224</v>
      </c>
      <c r="C287" s="1254">
        <v>6620.16</v>
      </c>
      <c r="D287" s="1254">
        <v>2055.4699999999998</v>
      </c>
      <c r="E287" s="1254">
        <v>8675.6299999999992</v>
      </c>
      <c r="F287" s="1252" t="s">
        <v>1154</v>
      </c>
      <c r="G287" s="1252" t="s">
        <v>1224</v>
      </c>
      <c r="H287" s="1252" t="s">
        <v>3955</v>
      </c>
      <c r="I287" s="652"/>
      <c r="J287" s="652"/>
      <c r="K287" s="652"/>
      <c r="L287" s="653" t="str">
        <f t="shared" si="176"/>
        <v>6194</v>
      </c>
      <c r="M287" s="654" t="str">
        <f t="shared" si="177"/>
        <v>HONORAIRES PROFESSIONNELS</v>
      </c>
      <c r="N287" s="655">
        <f>+IF(OR($Q287=Parametres!$G$2,$Q287=Parametres!$G$3),I287,C287)</f>
        <v>6620.16</v>
      </c>
      <c r="O287" s="655">
        <f>+IF(OR($Q287=Parametres!$G$2,$Q287=Parametres!$G$3),J287,D287)</f>
        <v>2055.4699999999998</v>
      </c>
      <c r="P287" s="655">
        <f>+IF(OR($Q287=Parametres!$G$2,$Q287=Parametres!$G$3),K287,E287)</f>
        <v>8675.6299999999992</v>
      </c>
      <c r="Q287" s="654" t="str">
        <f t="shared" si="178"/>
        <v>7-Dépenses</v>
      </c>
      <c r="R287" s="653" t="str">
        <f t="shared" si="179"/>
        <v>6194</v>
      </c>
      <c r="S287" s="654" t="str">
        <f t="shared" si="180"/>
        <v>_</v>
      </c>
      <c r="T287" s="656" t="str">
        <f>+VLOOKUP($L287,Data_Validation!$A:$D,1,0)</f>
        <v>6194</v>
      </c>
      <c r="U287" s="656" t="str">
        <f>+VLOOKUP($L287,Data_Validation!$A:$D,3,0)</f>
        <v>Véhicules neufs</v>
      </c>
      <c r="V287" s="656" t="str">
        <f>+VLOOKUP($L287,Data_Validation!$A:$D,4,0)</f>
        <v>Honoraires</v>
      </c>
      <c r="W287" s="656" t="str">
        <f>+VLOOKUP($L287,Data_Validation!$A:$E,5,0)</f>
        <v>$</v>
      </c>
      <c r="X287" s="656">
        <f>+VLOOKUP($L287,Data_Validation!$A:$F,6,0)</f>
        <v>0</v>
      </c>
    </row>
    <row r="288" spans="1:24" ht="15" customHeight="1">
      <c r="A288" s="1252" t="s">
        <v>1225</v>
      </c>
      <c r="B288" s="1252" t="s">
        <v>2319</v>
      </c>
      <c r="C288" s="1254">
        <v>37516.17</v>
      </c>
      <c r="D288" s="1254">
        <v>8016.61</v>
      </c>
      <c r="E288" s="1254">
        <v>45532.78</v>
      </c>
      <c r="F288" s="1252" t="s">
        <v>1154</v>
      </c>
      <c r="G288" s="1252" t="s">
        <v>1155</v>
      </c>
      <c r="H288" s="1252" t="s">
        <v>3955</v>
      </c>
      <c r="I288" s="663"/>
      <c r="J288" s="663"/>
      <c r="K288" s="663"/>
      <c r="L288" s="653" t="str">
        <f t="shared" si="176"/>
        <v>6201</v>
      </c>
      <c r="M288" s="654" t="str">
        <f t="shared" si="177"/>
        <v>COMMISSION USAGES</v>
      </c>
      <c r="N288" s="655">
        <f>+IF(OR($Q288=Parametres!$G$2,$Q288=Parametres!$G$3),I288,C288)</f>
        <v>37516.17</v>
      </c>
      <c r="O288" s="655">
        <f>+IF(OR($Q288=Parametres!$G$2,$Q288=Parametres!$G$3),J288,D288)</f>
        <v>8016.61</v>
      </c>
      <c r="P288" s="655">
        <f>+IF(OR($Q288=Parametres!$G$2,$Q288=Parametres!$G$3),K288,E288)</f>
        <v>45532.78</v>
      </c>
      <c r="Q288" s="654" t="str">
        <f t="shared" si="178"/>
        <v>7-Dépenses</v>
      </c>
      <c r="R288" s="653" t="str">
        <f t="shared" si="179"/>
        <v>6101</v>
      </c>
      <c r="S288" s="654" t="str">
        <f t="shared" si="180"/>
        <v>_</v>
      </c>
      <c r="T288" s="656" t="str">
        <f>+VLOOKUP($L288,Data_Validation!$A:$D,1,0)</f>
        <v>6201</v>
      </c>
      <c r="U288" s="656" t="str">
        <f>+VLOOKUP($L288,Data_Validation!$A:$D,3,0)</f>
        <v>Véhicules usagés</v>
      </c>
      <c r="V288" s="656" t="str">
        <f>+VLOOKUP($L288,Data_Validation!$A:$D,4,0)</f>
        <v>Comm. vendeurs</v>
      </c>
      <c r="W288" s="656" t="str">
        <f>+VLOOKUP($L288,Data_Validation!$A:$E,5,0)</f>
        <v>$</v>
      </c>
      <c r="X288" s="656">
        <f>+VLOOKUP($L288,Data_Validation!$A:$F,6,0)</f>
        <v>0</v>
      </c>
    </row>
    <row r="289" spans="1:24" ht="15" customHeight="1">
      <c r="A289" s="1252" t="s">
        <v>1156</v>
      </c>
      <c r="B289" s="1252" t="s">
        <v>2322</v>
      </c>
      <c r="C289" s="1254">
        <v>35637.129999999997</v>
      </c>
      <c r="D289" s="1254">
        <v>18410.93</v>
      </c>
      <c r="E289" s="1254">
        <v>54048.06</v>
      </c>
      <c r="F289" s="1252" t="s">
        <v>1154</v>
      </c>
      <c r="G289" s="1252" t="s">
        <v>1157</v>
      </c>
      <c r="H289" s="1252" t="s">
        <v>3955</v>
      </c>
      <c r="I289" s="670"/>
      <c r="J289" s="651"/>
      <c r="K289" s="670"/>
      <c r="L289" s="653" t="str">
        <f t="shared" si="176"/>
        <v>6202</v>
      </c>
      <c r="M289" s="654" t="str">
        <f t="shared" si="177"/>
        <v>RENUMERATION F &amp; I</v>
      </c>
      <c r="N289" s="655">
        <f>+IF(OR($Q289=Parametres!$G$2,$Q289=Parametres!$G$3),I289,C289)</f>
        <v>35637.129999999997</v>
      </c>
      <c r="O289" s="655">
        <f>+IF(OR($Q289=Parametres!$G$2,$Q289=Parametres!$G$3),J289,D289)</f>
        <v>18410.93</v>
      </c>
      <c r="P289" s="655">
        <f>+IF(OR($Q289=Parametres!$G$2,$Q289=Parametres!$G$3),K289,E289)</f>
        <v>54048.06</v>
      </c>
      <c r="Q289" s="654" t="str">
        <f t="shared" si="178"/>
        <v>7-Dépenses</v>
      </c>
      <c r="R289" s="653" t="str">
        <f t="shared" si="179"/>
        <v>6102</v>
      </c>
      <c r="S289" s="654" t="str">
        <f t="shared" si="180"/>
        <v>_</v>
      </c>
      <c r="T289" s="656" t="str">
        <f>+VLOOKUP($L289,Data_Validation!$A:$D,1,0)</f>
        <v>6202</v>
      </c>
      <c r="U289" s="656" t="str">
        <f>+VLOOKUP($L289,Data_Validation!$A:$D,3,0)</f>
        <v>Véhicules usagés</v>
      </c>
      <c r="V289" s="656" t="str">
        <f>+VLOOKUP($L289,Data_Validation!$A:$D,4,0)</f>
        <v>Comm. F&amp;I</v>
      </c>
      <c r="W289" s="656" t="str">
        <f>+VLOOKUP($L289,Data_Validation!$A:$E,5,0)</f>
        <v>$</v>
      </c>
      <c r="X289" s="656">
        <f>+VLOOKUP($L289,Data_Validation!$A:$F,6,0)</f>
        <v>0</v>
      </c>
    </row>
    <row r="290" spans="1:24" ht="15" customHeight="1">
      <c r="A290" s="1252" t="s">
        <v>1226</v>
      </c>
      <c r="B290" s="1252" t="s">
        <v>2325</v>
      </c>
      <c r="C290" s="1254">
        <v>2557.19</v>
      </c>
      <c r="D290" s="1254">
        <v>897.27</v>
      </c>
      <c r="E290" s="1254">
        <v>3454.46</v>
      </c>
      <c r="F290" s="1252" t="s">
        <v>1154</v>
      </c>
      <c r="G290" s="1252" t="s">
        <v>1159</v>
      </c>
      <c r="H290" s="1252" t="s">
        <v>3955</v>
      </c>
      <c r="I290" s="652"/>
      <c r="J290" s="652"/>
      <c r="K290" s="652"/>
      <c r="L290" s="653" t="str">
        <f t="shared" si="176"/>
        <v>6203</v>
      </c>
      <c r="M290" s="654" t="str">
        <f t="shared" si="177"/>
        <v>RELAT. A LA CLIENTELLE &amp; AJUST</v>
      </c>
      <c r="N290" s="655">
        <f>+IF(OR($Q290=Parametres!$G$2,$Q290=Parametres!$G$3),I290,C290)</f>
        <v>2557.19</v>
      </c>
      <c r="O290" s="655">
        <f>+IF(OR($Q290=Parametres!$G$2,$Q290=Parametres!$G$3),J290,D290)</f>
        <v>897.27</v>
      </c>
      <c r="P290" s="655">
        <f>+IF(OR($Q290=Parametres!$G$2,$Q290=Parametres!$G$3),K290,E290)</f>
        <v>3454.46</v>
      </c>
      <c r="Q290" s="654" t="str">
        <f t="shared" si="178"/>
        <v>7-Dépenses</v>
      </c>
      <c r="R290" s="653" t="str">
        <f t="shared" si="179"/>
        <v>6103</v>
      </c>
      <c r="S290" s="654" t="str">
        <f t="shared" si="180"/>
        <v>_</v>
      </c>
      <c r="T290" s="656" t="str">
        <f>+VLOOKUP($L290,Data_Validation!$A:$D,1,0)</f>
        <v>6203</v>
      </c>
      <c r="U290" s="656" t="str">
        <f>+VLOOKUP($L290,Data_Validation!$A:$D,3,0)</f>
        <v>Véhicules usagés</v>
      </c>
      <c r="V290" s="656" t="str">
        <f>+VLOOKUP($L290,Data_Validation!$A:$D,4,0)</f>
        <v>Service gratuit 1</v>
      </c>
      <c r="W290" s="656" t="str">
        <f>+VLOOKUP($L290,Data_Validation!$A:$E,5,0)</f>
        <v>$</v>
      </c>
      <c r="X290" s="656">
        <f>+VLOOKUP($L290,Data_Validation!$A:$F,6,0)</f>
        <v>0</v>
      </c>
    </row>
    <row r="291" spans="1:24" ht="15.75" customHeight="1">
      <c r="A291" s="1252" t="s">
        <v>1160</v>
      </c>
      <c r="B291" s="1252" t="s">
        <v>2328</v>
      </c>
      <c r="C291" s="1254">
        <v>11671</v>
      </c>
      <c r="D291" s="1254">
        <v>3573.48</v>
      </c>
      <c r="E291" s="1254">
        <v>15244.48</v>
      </c>
      <c r="F291" s="1252" t="s">
        <v>1154</v>
      </c>
      <c r="G291" s="1252" t="s">
        <v>1161</v>
      </c>
      <c r="H291" s="1252" t="s">
        <v>3955</v>
      </c>
      <c r="I291" s="651"/>
      <c r="J291" s="651"/>
      <c r="K291" s="670"/>
      <c r="L291" s="653" t="str">
        <f t="shared" si="176"/>
        <v>6206</v>
      </c>
      <c r="M291" s="654" t="str">
        <f t="shared" si="177"/>
        <v>ENTRETIEN DES STOCKS</v>
      </c>
      <c r="N291" s="655">
        <f>+IF(OR($Q291=Parametres!$G$2,$Q291=Parametres!$G$3),I291,C291)</f>
        <v>11671</v>
      </c>
      <c r="O291" s="659">
        <f>+IF(OR($Q291=Parametres!$G$2,$Q291=Parametres!$G$3),J291,D291)</f>
        <v>3573.48</v>
      </c>
      <c r="P291" s="655">
        <f>+IF(OR($Q291=Parametres!$G$2,$Q291=Parametres!$G$3),K291,E291)</f>
        <v>15244.48</v>
      </c>
      <c r="Q291" s="654" t="str">
        <f t="shared" si="178"/>
        <v>7-Dépenses</v>
      </c>
      <c r="R291" s="653" t="str">
        <f t="shared" si="179"/>
        <v>6106</v>
      </c>
      <c r="S291" s="654" t="str">
        <f t="shared" si="180"/>
        <v>_</v>
      </c>
      <c r="T291" s="656" t="str">
        <f>+VLOOKUP($L291,Data_Validation!$A:$D,1,0)</f>
        <v>6206</v>
      </c>
      <c r="U291" s="656" t="str">
        <f>+VLOOKUP($L291,Data_Validation!$A:$D,3,0)</f>
        <v>Véhicules usagés</v>
      </c>
      <c r="V291" s="656" t="str">
        <f>+VLOOKUP($L291,Data_Validation!$A:$D,4,0)</f>
        <v>Entretien stock</v>
      </c>
      <c r="W291" s="656" t="str">
        <f>+VLOOKUP($L291,Data_Validation!$A:$E,5,0)</f>
        <v>$</v>
      </c>
      <c r="X291" s="656">
        <f>+VLOOKUP($L291,Data_Validation!$A:$F,6,0)</f>
        <v>0</v>
      </c>
    </row>
    <row r="292" spans="1:24" ht="15" customHeight="1">
      <c r="A292" s="1252" t="s">
        <v>1162</v>
      </c>
      <c r="B292" s="1252" t="s">
        <v>2331</v>
      </c>
      <c r="C292" s="1254">
        <v>6764.89</v>
      </c>
      <c r="D292" s="1254">
        <v>2956.92</v>
      </c>
      <c r="E292" s="1254">
        <v>9721.81</v>
      </c>
      <c r="F292" s="1252" t="s">
        <v>1154</v>
      </c>
      <c r="G292" s="1252" t="s">
        <v>1163</v>
      </c>
      <c r="H292" s="1252" t="s">
        <v>3955</v>
      </c>
      <c r="I292" s="652"/>
      <c r="J292" s="652"/>
      <c r="K292" s="652"/>
      <c r="L292" s="653" t="str">
        <f t="shared" si="176"/>
        <v>6207</v>
      </c>
      <c r="M292" s="654" t="str">
        <f t="shared" si="177"/>
        <v>INTERET-PLAN DE FINANCEMENT</v>
      </c>
      <c r="N292" s="655">
        <f>+IF(OR($Q292=Parametres!$G$2,$Q292=Parametres!$G$3),I292,C292)</f>
        <v>6764.89</v>
      </c>
      <c r="O292" s="655">
        <f>+IF(OR($Q292=Parametres!$G$2,$Q292=Parametres!$G$3),J292,D292)</f>
        <v>2956.92</v>
      </c>
      <c r="P292" s="655">
        <f>+IF(OR($Q292=Parametres!$G$2,$Q292=Parametres!$G$3),K292,E292)</f>
        <v>9721.81</v>
      </c>
      <c r="Q292" s="654" t="str">
        <f t="shared" si="178"/>
        <v>7-Dépenses</v>
      </c>
      <c r="R292" s="653" t="str">
        <f t="shared" si="179"/>
        <v>6107</v>
      </c>
      <c r="S292" s="654" t="str">
        <f t="shared" si="180"/>
        <v>_</v>
      </c>
      <c r="T292" s="656" t="str">
        <f>+VLOOKUP($L292,Data_Validation!$A:$D,1,0)</f>
        <v>6207</v>
      </c>
      <c r="U292" s="656" t="str">
        <f>+VLOOKUP($L292,Data_Validation!$A:$D,3,0)</f>
        <v>Véhicules usagés</v>
      </c>
      <c r="V292" s="656" t="str">
        <f>+VLOOKUP($L292,Data_Validation!$A:$D,4,0)</f>
        <v>Intérêt de gros</v>
      </c>
      <c r="W292" s="656" t="str">
        <f>+VLOOKUP($L292,Data_Validation!$A:$E,5,0)</f>
        <v>$</v>
      </c>
      <c r="X292" s="656">
        <f>+VLOOKUP($L292,Data_Validation!$A:$F,6,0)</f>
        <v>0</v>
      </c>
    </row>
    <row r="293" spans="1:24" ht="15" customHeight="1">
      <c r="A293" s="1252" t="s">
        <v>1164</v>
      </c>
      <c r="B293" s="1252" t="s">
        <v>2334</v>
      </c>
      <c r="C293" s="1254">
        <v>-3763.17</v>
      </c>
      <c r="D293" s="1254">
        <v>-2538.9899999999998</v>
      </c>
      <c r="E293" s="1254">
        <v>-6302.16</v>
      </c>
      <c r="F293" s="1252" t="s">
        <v>1154</v>
      </c>
      <c r="G293" s="1252" t="s">
        <v>1165</v>
      </c>
      <c r="H293" s="1252" t="s">
        <v>3955</v>
      </c>
      <c r="I293" s="651"/>
      <c r="J293" s="651"/>
      <c r="K293" s="651"/>
      <c r="L293" s="653" t="str">
        <f t="shared" si="176"/>
        <v>6208</v>
      </c>
      <c r="M293" s="654" t="str">
        <f t="shared" si="177"/>
        <v>FRAIS DE LIVRAISON</v>
      </c>
      <c r="N293" s="655">
        <f>+IF(OR($Q293=Parametres!$G$2,$Q293=Parametres!$G$3),I293,C293)</f>
        <v>-3763.17</v>
      </c>
      <c r="O293" s="655">
        <f>+IF(OR($Q293=Parametres!$G$2,$Q293=Parametres!$G$3),J293,D293)</f>
        <v>-2538.9899999999998</v>
      </c>
      <c r="P293" s="655">
        <f>+IF(OR($Q293=Parametres!$G$2,$Q293=Parametres!$G$3),K293,E293)</f>
        <v>-6302.16</v>
      </c>
      <c r="Q293" s="654" t="str">
        <f t="shared" si="178"/>
        <v>7-Dépenses</v>
      </c>
      <c r="R293" s="653" t="str">
        <f t="shared" si="179"/>
        <v>6108</v>
      </c>
      <c r="S293" s="654" t="str">
        <f t="shared" si="180"/>
        <v>_</v>
      </c>
      <c r="T293" s="656" t="str">
        <f>+VLOOKUP($L293,Data_Validation!$A:$D,1,0)</f>
        <v>6208</v>
      </c>
      <c r="U293" s="656" t="str">
        <f>+VLOOKUP($L293,Data_Validation!$A:$D,3,0)</f>
        <v>Véhicules usagés</v>
      </c>
      <c r="V293" s="656" t="str">
        <f>+VLOOKUP($L293,Data_Validation!$A:$D,4,0)</f>
        <v>Frais de livraison</v>
      </c>
      <c r="W293" s="656" t="str">
        <f>+VLOOKUP($L293,Data_Validation!$A:$E,5,0)</f>
        <v>$</v>
      </c>
      <c r="X293" s="656">
        <f>+VLOOKUP($L293,Data_Validation!$A:$F,6,0)</f>
        <v>0</v>
      </c>
    </row>
    <row r="294" spans="1:24" ht="15" customHeight="1">
      <c r="A294" s="1252" t="s">
        <v>1166</v>
      </c>
      <c r="B294" s="1252" t="s">
        <v>2340</v>
      </c>
      <c r="C294" s="1254">
        <v>36867.61</v>
      </c>
      <c r="D294" s="1254">
        <v>15923.08</v>
      </c>
      <c r="E294" s="1254">
        <v>52790.69</v>
      </c>
      <c r="F294" s="1252" t="s">
        <v>1154</v>
      </c>
      <c r="G294" s="1252" t="s">
        <v>1167</v>
      </c>
      <c r="H294" s="1252" t="s">
        <v>3955</v>
      </c>
      <c r="I294" s="651"/>
      <c r="J294" s="651"/>
      <c r="K294" s="651"/>
      <c r="L294" s="653" t="str">
        <f t="shared" si="176"/>
        <v>6214</v>
      </c>
      <c r="M294" s="654" t="str">
        <f t="shared" si="177"/>
        <v>PUBLICITE</v>
      </c>
      <c r="N294" s="655">
        <f>+IF(OR($Q294=Parametres!$G$2,$Q294=Parametres!$G$3),I294,C294)</f>
        <v>36867.61</v>
      </c>
      <c r="O294" s="655">
        <f>+IF(OR($Q294=Parametres!$G$2,$Q294=Parametres!$G$3),J294,D294)</f>
        <v>15923.08</v>
      </c>
      <c r="P294" s="655">
        <f>+IF(OR($Q294=Parametres!$G$2,$Q294=Parametres!$G$3),K294,E294)</f>
        <v>52790.69</v>
      </c>
      <c r="Q294" s="654" t="str">
        <f t="shared" si="178"/>
        <v>7-Dépenses</v>
      </c>
      <c r="R294" s="653" t="str">
        <f t="shared" si="179"/>
        <v>6114</v>
      </c>
      <c r="S294" s="654" t="str">
        <f t="shared" si="180"/>
        <v>_</v>
      </c>
      <c r="T294" s="656" t="str">
        <f>+VLOOKUP($L294,Data_Validation!$A:$D,1,0)</f>
        <v>6214</v>
      </c>
      <c r="U294" s="656" t="str">
        <f>+VLOOKUP($L294,Data_Validation!$A:$D,3,0)</f>
        <v>Véhicules usagés</v>
      </c>
      <c r="V294" s="656" t="str">
        <f>+VLOOKUP($L294,Data_Validation!$A:$D,4,0)</f>
        <v>Publicité 1</v>
      </c>
      <c r="W294" s="656" t="str">
        <f>+VLOOKUP($L294,Data_Validation!$A:$E,5,0)</f>
        <v>$</v>
      </c>
      <c r="X294" s="656">
        <f>+VLOOKUP($L294,Data_Validation!$A:$F,6,0)</f>
        <v>0</v>
      </c>
    </row>
    <row r="295" spans="1:24" ht="15" customHeight="1">
      <c r="A295" s="1252" t="s">
        <v>1227</v>
      </c>
      <c r="B295" s="1252" t="s">
        <v>2343</v>
      </c>
      <c r="C295" s="1254">
        <v>-7000</v>
      </c>
      <c r="D295" s="1254">
        <v>-3000</v>
      </c>
      <c r="E295" s="1254">
        <v>-10000</v>
      </c>
      <c r="F295" s="1252" t="s">
        <v>1154</v>
      </c>
      <c r="G295" s="1252" t="s">
        <v>1167</v>
      </c>
      <c r="H295" s="1252" t="s">
        <v>3955</v>
      </c>
      <c r="I295" s="663"/>
      <c r="J295" s="663"/>
      <c r="K295" s="663"/>
      <c r="L295" s="653" t="str">
        <f t="shared" si="176"/>
        <v>6215</v>
      </c>
      <c r="M295" s="654" t="str">
        <f t="shared" si="177"/>
        <v>CREDIT PUBLICITE USAGES</v>
      </c>
      <c r="N295" s="655">
        <f>+IF(OR($Q295=Parametres!$G$2,$Q295=Parametres!$G$3),I295,C295)</f>
        <v>-7000</v>
      </c>
      <c r="O295" s="655">
        <f>+IF(OR($Q295=Parametres!$G$2,$Q295=Parametres!$G$3),J295,D295)</f>
        <v>-3000</v>
      </c>
      <c r="P295" s="655">
        <f>+IF(OR($Q295=Parametres!$G$2,$Q295=Parametres!$G$3),K295,E295)</f>
        <v>-10000</v>
      </c>
      <c r="Q295" s="654" t="str">
        <f t="shared" si="178"/>
        <v>7-Dépenses</v>
      </c>
      <c r="R295" s="653" t="str">
        <f t="shared" si="179"/>
        <v>6114</v>
      </c>
      <c r="S295" s="654" t="str">
        <f t="shared" si="180"/>
        <v>_</v>
      </c>
      <c r="T295" s="656" t="str">
        <f>+VLOOKUP($L295,Data_Validation!$A:$D,1,0)</f>
        <v>6215</v>
      </c>
      <c r="U295" s="656" t="str">
        <f>+VLOOKUP($L295,Data_Validation!$A:$D,3,0)</f>
        <v>Véhicules usagés</v>
      </c>
      <c r="V295" s="656" t="str">
        <f>+VLOOKUP($L295,Data_Validation!$A:$D,4,0)</f>
        <v>Publicité 1</v>
      </c>
      <c r="W295" s="656" t="str">
        <f>+VLOOKUP($L295,Data_Validation!$A:$E,5,0)</f>
        <v>$</v>
      </c>
      <c r="X295" s="656">
        <f>+VLOOKUP($L295,Data_Validation!$A:$F,6,0)</f>
        <v>0</v>
      </c>
    </row>
    <row r="296" spans="1:24" ht="15" customHeight="1">
      <c r="A296" s="1252" t="s">
        <v>1169</v>
      </c>
      <c r="B296" s="1252" t="s">
        <v>2349</v>
      </c>
      <c r="C296" s="1254">
        <v>4311.03</v>
      </c>
      <c r="D296" s="1254">
        <v>1307.48</v>
      </c>
      <c r="E296" s="1254">
        <v>5618.51</v>
      </c>
      <c r="F296" s="1252" t="s">
        <v>1154</v>
      </c>
      <c r="G296" s="1252" t="s">
        <v>1170</v>
      </c>
      <c r="H296" s="1252" t="s">
        <v>3955</v>
      </c>
      <c r="I296" s="652"/>
      <c r="J296" s="652"/>
      <c r="K296" s="652"/>
      <c r="L296" s="653" t="str">
        <f t="shared" si="176"/>
        <v>6221</v>
      </c>
      <c r="M296" s="654" t="str">
        <f t="shared" si="177"/>
        <v>SALAIRES - PROPRIETAIRES</v>
      </c>
      <c r="N296" s="655">
        <f>+IF(OR($Q296=Parametres!$G$2,$Q296=Parametres!$G$3),I296,C296)</f>
        <v>4311.03</v>
      </c>
      <c r="O296" s="655">
        <f>+IF(OR($Q296=Parametres!$G$2,$Q296=Parametres!$G$3),J296,D296)</f>
        <v>1307.48</v>
      </c>
      <c r="P296" s="655">
        <f>+IF(OR($Q296=Parametres!$G$2,$Q296=Parametres!$G$3),K296,E296)</f>
        <v>5618.51</v>
      </c>
      <c r="Q296" s="654" t="str">
        <f t="shared" si="178"/>
        <v>7-Dépenses</v>
      </c>
      <c r="R296" s="653" t="str">
        <f t="shared" si="179"/>
        <v>6121</v>
      </c>
      <c r="S296" s="654" t="str">
        <f t="shared" si="180"/>
        <v>_</v>
      </c>
      <c r="T296" s="656" t="str">
        <f>+VLOOKUP($L296,Data_Validation!$A:$D,1,0)</f>
        <v>6221</v>
      </c>
      <c r="U296" s="656" t="str">
        <f>+VLOOKUP($L296,Data_Validation!$A:$D,3,0)</f>
        <v>Véhicules usagés</v>
      </c>
      <c r="V296" s="656" t="str">
        <f>+VLOOKUP($L296,Data_Validation!$A:$D,4,0)</f>
        <v>Salaires propriétaire</v>
      </c>
      <c r="W296" s="656" t="str">
        <f>+VLOOKUP($L296,Data_Validation!$A:$E,5,0)</f>
        <v>$</v>
      </c>
      <c r="X296" s="656">
        <f>+VLOOKUP($L296,Data_Validation!$A:$F,6,0)</f>
        <v>0</v>
      </c>
    </row>
    <row r="297" spans="1:24" ht="15.75" customHeight="1">
      <c r="A297" s="1252" t="s">
        <v>1171</v>
      </c>
      <c r="B297" s="1252" t="s">
        <v>2352</v>
      </c>
      <c r="C297" s="1254">
        <v>28389.06</v>
      </c>
      <c r="D297" s="1254">
        <v>5680.7</v>
      </c>
      <c r="E297" s="1254">
        <v>34069.760000000002</v>
      </c>
      <c r="F297" s="1252" t="s">
        <v>1154</v>
      </c>
      <c r="G297" s="1252" t="s">
        <v>1172</v>
      </c>
      <c r="H297" s="1252" t="s">
        <v>3955</v>
      </c>
      <c r="I297" s="663"/>
      <c r="J297" s="663"/>
      <c r="K297" s="663"/>
      <c r="L297" s="653" t="str">
        <f t="shared" si="176"/>
        <v>6222</v>
      </c>
      <c r="M297" s="654" t="str">
        <f t="shared" si="177"/>
        <v>SAL SUPERVISION / GERANT</v>
      </c>
      <c r="N297" s="655">
        <f>+IF(OR($Q297=Parametres!$G$2,$Q297=Parametres!$G$3),I297,C297)</f>
        <v>28389.06</v>
      </c>
      <c r="O297" s="655">
        <f>+IF(OR($Q297=Parametres!$G$2,$Q297=Parametres!$G$3),J297,D297)</f>
        <v>5680.7</v>
      </c>
      <c r="P297" s="655">
        <f>+IF(OR($Q297=Parametres!$G$2,$Q297=Parametres!$G$3),K297,E297)</f>
        <v>34069.760000000002</v>
      </c>
      <c r="Q297" s="654" t="str">
        <f t="shared" si="178"/>
        <v>7-Dépenses</v>
      </c>
      <c r="R297" s="653" t="str">
        <f t="shared" si="179"/>
        <v>6122</v>
      </c>
      <c r="S297" s="654" t="str">
        <f t="shared" si="180"/>
        <v>_</v>
      </c>
      <c r="T297" s="656" t="str">
        <f>+VLOOKUP($L297,Data_Validation!$A:$D,1,0)</f>
        <v>6222</v>
      </c>
      <c r="U297" s="656" t="str">
        <f>+VLOOKUP($L297,Data_Validation!$A:$D,3,0)</f>
        <v>Véhicules usagés</v>
      </c>
      <c r="V297" s="656" t="str">
        <f>+VLOOKUP($L297,Data_Validation!$A:$D,4,0)</f>
        <v>Salaires cadres</v>
      </c>
      <c r="W297" s="656" t="str">
        <f>+VLOOKUP($L297,Data_Validation!$A:$E,5,0)</f>
        <v>$</v>
      </c>
      <c r="X297" s="656">
        <f>+VLOOKUP($L297,Data_Validation!$A:$F,6,0)</f>
        <v>0</v>
      </c>
    </row>
    <row r="298" spans="1:24" ht="15" customHeight="1">
      <c r="A298" s="1252" t="s">
        <v>1173</v>
      </c>
      <c r="B298" s="1252" t="s">
        <v>2355</v>
      </c>
      <c r="C298" s="1254">
        <v>16789.84</v>
      </c>
      <c r="D298" s="1254">
        <v>1983.51</v>
      </c>
      <c r="E298" s="1254">
        <v>18773.349999999999</v>
      </c>
      <c r="F298" s="1252" t="s">
        <v>1154</v>
      </c>
      <c r="G298" s="1252" t="s">
        <v>1174</v>
      </c>
      <c r="H298" s="1252" t="s">
        <v>3955</v>
      </c>
      <c r="I298" s="651"/>
      <c r="J298" s="651"/>
      <c r="K298" s="651"/>
      <c r="L298" s="653" t="str">
        <f t="shared" si="176"/>
        <v>6223</v>
      </c>
      <c r="M298" s="654" t="str">
        <f t="shared" si="177"/>
        <v>SAL. &amp; RENUM. - CLERICAL</v>
      </c>
      <c r="N298" s="655">
        <f>+IF(OR($Q298=Parametres!$G$2,$Q298=Parametres!$G$3),I298,C298)</f>
        <v>16789.84</v>
      </c>
      <c r="O298" s="655">
        <f>+IF(OR($Q298=Parametres!$G$2,$Q298=Parametres!$G$3),J298,D298)</f>
        <v>1983.51</v>
      </c>
      <c r="P298" s="655">
        <f>+IF(OR($Q298=Parametres!$G$2,$Q298=Parametres!$G$3),K298,E298)</f>
        <v>18773.349999999999</v>
      </c>
      <c r="Q298" s="654" t="str">
        <f t="shared" si="178"/>
        <v>7-Dépenses</v>
      </c>
      <c r="R298" s="653" t="str">
        <f t="shared" si="179"/>
        <v>6123</v>
      </c>
      <c r="S298" s="654" t="str">
        <f t="shared" si="180"/>
        <v>_</v>
      </c>
      <c r="T298" s="656" t="str">
        <f>+VLOOKUP($L298,Data_Validation!$A:$D,1,0)</f>
        <v>6223</v>
      </c>
      <c r="U298" s="656" t="str">
        <f>+VLOOKUP($L298,Data_Validation!$A:$D,3,0)</f>
        <v>Véhicules usagés</v>
      </c>
      <c r="V298" s="656" t="str">
        <f>+VLOOKUP($L298,Data_Validation!$A:$D,4,0)</f>
        <v>Salaires commis</v>
      </c>
      <c r="W298" s="656" t="str">
        <f>+VLOOKUP($L298,Data_Validation!$A:$E,5,0)</f>
        <v>$</v>
      </c>
      <c r="X298" s="656">
        <f>+VLOOKUP($L298,Data_Validation!$A:$F,6,0)</f>
        <v>0</v>
      </c>
    </row>
    <row r="299" spans="1:24" ht="15" customHeight="1">
      <c r="A299" s="1252" t="s">
        <v>1228</v>
      </c>
      <c r="B299" s="1252" t="s">
        <v>2358</v>
      </c>
      <c r="C299" s="1254">
        <v>14396</v>
      </c>
      <c r="D299" s="1254">
        <v>7352.25</v>
      </c>
      <c r="E299" s="1254">
        <v>21748.25</v>
      </c>
      <c r="F299" s="1252" t="s">
        <v>1154</v>
      </c>
      <c r="G299" s="1252" t="s">
        <v>1176</v>
      </c>
      <c r="H299" s="1252" t="s">
        <v>3955</v>
      </c>
      <c r="I299" s="651"/>
      <c r="J299" s="651"/>
      <c r="K299" s="651"/>
      <c r="L299" s="653" t="str">
        <f t="shared" si="176"/>
        <v>6224</v>
      </c>
      <c r="M299" s="654" t="str">
        <f t="shared" si="177"/>
        <v>SALAIRE &amp; RENUM. - AUTRES</v>
      </c>
      <c r="N299" s="655">
        <f>+IF(OR($Q299=Parametres!$G$2,$Q299=Parametres!$G$3),I299,C299)</f>
        <v>14396</v>
      </c>
      <c r="O299" s="655">
        <f>+IF(OR($Q299=Parametres!$G$2,$Q299=Parametres!$G$3),J299,D299)</f>
        <v>7352.25</v>
      </c>
      <c r="P299" s="655">
        <f>+IF(OR($Q299=Parametres!$G$2,$Q299=Parametres!$G$3),K299,E299)</f>
        <v>21748.25</v>
      </c>
      <c r="Q299" s="654" t="str">
        <f t="shared" si="178"/>
        <v>7-Dépenses</v>
      </c>
      <c r="R299" s="653" t="str">
        <f t="shared" si="179"/>
        <v>6124</v>
      </c>
      <c r="S299" s="654" t="str">
        <f t="shared" si="180"/>
        <v>_</v>
      </c>
      <c r="T299" s="656" t="str">
        <f>+VLOOKUP($L299,Data_Validation!$A:$D,1,0)</f>
        <v>6224</v>
      </c>
      <c r="U299" s="656" t="str">
        <f>+VLOOKUP($L299,Data_Validation!$A:$D,3,0)</f>
        <v>Véhicules usagés</v>
      </c>
      <c r="V299" s="656" t="str">
        <f>+VLOOKUP($L299,Data_Validation!$A:$D,4,0)</f>
        <v>Salaires autres</v>
      </c>
      <c r="W299" s="656" t="str">
        <f>+VLOOKUP($L299,Data_Validation!$A:$E,5,0)</f>
        <v>$</v>
      </c>
      <c r="X299" s="656">
        <f>+VLOOKUP($L299,Data_Validation!$A:$F,6,0)</f>
        <v>0</v>
      </c>
    </row>
    <row r="300" spans="1:24" ht="15" customHeight="1">
      <c r="A300" s="1252" t="s">
        <v>1229</v>
      </c>
      <c r="B300" s="1252" t="s">
        <v>2359</v>
      </c>
      <c r="C300" s="1254">
        <v>22175.27</v>
      </c>
      <c r="D300" s="1254">
        <v>9038.93</v>
      </c>
      <c r="E300" s="1254">
        <v>31214.2</v>
      </c>
      <c r="F300" s="1252" t="s">
        <v>1154</v>
      </c>
      <c r="G300" s="1252" t="s">
        <v>1178</v>
      </c>
      <c r="H300" s="1252" t="s">
        <v>3955</v>
      </c>
      <c r="I300" s="651"/>
      <c r="J300" s="651"/>
      <c r="K300" s="670"/>
      <c r="L300" s="653" t="str">
        <f t="shared" si="176"/>
        <v>6229</v>
      </c>
      <c r="M300" s="654" t="str">
        <f t="shared" si="177"/>
        <v>ABS.,VACANCES &amp; SAL. JOURS FER</v>
      </c>
      <c r="N300" s="655">
        <f>+IF(OR($Q300=Parametres!$G$2,$Q300=Parametres!$G$3),I300,C300)</f>
        <v>22175.27</v>
      </c>
      <c r="O300" s="655">
        <f>+IF(OR($Q300=Parametres!$G$2,$Q300=Parametres!$G$3),J300,D300)</f>
        <v>9038.93</v>
      </c>
      <c r="P300" s="655">
        <f>+IF(OR($Q300=Parametres!$G$2,$Q300=Parametres!$G$3),K300,E300)</f>
        <v>31214.2</v>
      </c>
      <c r="Q300" s="654" t="str">
        <f t="shared" si="178"/>
        <v>7-Dépenses</v>
      </c>
      <c r="R300" s="653" t="str">
        <f t="shared" si="179"/>
        <v>6129</v>
      </c>
      <c r="S300" s="654" t="str">
        <f t="shared" si="180"/>
        <v>_</v>
      </c>
      <c r="T300" s="656" t="str">
        <f>+VLOOKUP($L300,Data_Validation!$A:$D,1,0)</f>
        <v>6229</v>
      </c>
      <c r="U300" s="656" t="str">
        <f>+VLOOKUP($L300,Data_Validation!$A:$D,3,0)</f>
        <v>Véhicules usagés</v>
      </c>
      <c r="V300" s="656" t="str">
        <f>+VLOOKUP($L300,Data_Validation!$A:$D,4,0)</f>
        <v>Salaires en absences</v>
      </c>
      <c r="W300" s="656" t="str">
        <f>+VLOOKUP($L300,Data_Validation!$A:$E,5,0)</f>
        <v>$</v>
      </c>
      <c r="X300" s="656">
        <f>+VLOOKUP($L300,Data_Validation!$A:$F,6,0)</f>
        <v>0</v>
      </c>
    </row>
    <row r="301" spans="1:24" ht="15.75" customHeight="1">
      <c r="A301" s="1252" t="s">
        <v>1179</v>
      </c>
      <c r="B301" s="1252" t="s">
        <v>2362</v>
      </c>
      <c r="C301" s="1254">
        <v>4032.63</v>
      </c>
      <c r="D301" s="1254">
        <v>1397.64</v>
      </c>
      <c r="E301" s="1254">
        <v>5430.27</v>
      </c>
      <c r="F301" s="1252" t="s">
        <v>1154</v>
      </c>
      <c r="G301" s="1252" t="s">
        <v>1180</v>
      </c>
      <c r="H301" s="1252" t="s">
        <v>3955</v>
      </c>
      <c r="I301" s="652"/>
      <c r="J301" s="652"/>
      <c r="K301" s="652"/>
      <c r="L301" s="653" t="str">
        <f t="shared" si="176"/>
        <v>6231</v>
      </c>
      <c r="M301" s="654" t="str">
        <f t="shared" si="177"/>
        <v>CSST</v>
      </c>
      <c r="N301" s="655">
        <f>+IF(OR($Q301=Parametres!$G$2,$Q301=Parametres!$G$3),I301,C301)</f>
        <v>4032.63</v>
      </c>
      <c r="O301" s="655">
        <f>+IF(OR($Q301=Parametres!$G$2,$Q301=Parametres!$G$3),J301,D301)</f>
        <v>1397.64</v>
      </c>
      <c r="P301" s="655">
        <f>+IF(OR($Q301=Parametres!$G$2,$Q301=Parametres!$G$3),K301,E301)</f>
        <v>5430.27</v>
      </c>
      <c r="Q301" s="654" t="str">
        <f t="shared" si="178"/>
        <v>7-Dépenses</v>
      </c>
      <c r="R301" s="653" t="str">
        <f t="shared" si="179"/>
        <v>6131</v>
      </c>
      <c r="S301" s="654" t="str">
        <f t="shared" si="180"/>
        <v>_</v>
      </c>
      <c r="T301" s="656" t="str">
        <f>+VLOOKUP($L301,Data_Validation!$A:$D,1,0)</f>
        <v>6231</v>
      </c>
      <c r="U301" s="656" t="str">
        <f>+VLOOKUP($L301,Data_Validation!$A:$D,3,0)</f>
        <v>Véhicules usagés</v>
      </c>
      <c r="V301" s="656" t="str">
        <f>+VLOOKUP($L301,Data_Validation!$A:$D,4,0)</f>
        <v>Csst</v>
      </c>
      <c r="W301" s="656" t="str">
        <f>+VLOOKUP($L301,Data_Validation!$A:$E,5,0)</f>
        <v>$</v>
      </c>
      <c r="X301" s="656">
        <f>+VLOOKUP($L301,Data_Validation!$A:$F,6,0)</f>
        <v>0</v>
      </c>
    </row>
    <row r="302" spans="1:24" ht="15" customHeight="1">
      <c r="A302" s="1252" t="s">
        <v>1181</v>
      </c>
      <c r="B302" s="1252" t="s">
        <v>2365</v>
      </c>
      <c r="C302" s="1254">
        <v>25444.880000000001</v>
      </c>
      <c r="D302" s="1254">
        <v>10732.49</v>
      </c>
      <c r="E302" s="1254">
        <v>36177.370000000003</v>
      </c>
      <c r="F302" s="1252" t="s">
        <v>1154</v>
      </c>
      <c r="G302" s="1252" t="s">
        <v>1182</v>
      </c>
      <c r="H302" s="1252" t="s">
        <v>3955</v>
      </c>
      <c r="I302" s="663"/>
      <c r="J302" s="663"/>
      <c r="K302" s="663"/>
      <c r="L302" s="653" t="str">
        <f t="shared" si="176"/>
        <v>6232</v>
      </c>
      <c r="M302" s="654" t="str">
        <f t="shared" si="177"/>
        <v>RRQ RAMQ AC</v>
      </c>
      <c r="N302" s="655">
        <f>+IF(OR($Q302=Parametres!$G$2,$Q302=Parametres!$G$3),I302,C302)</f>
        <v>25444.880000000001</v>
      </c>
      <c r="O302" s="655">
        <f>+IF(OR($Q302=Parametres!$G$2,$Q302=Parametres!$G$3),J302,D302)</f>
        <v>10732.49</v>
      </c>
      <c r="P302" s="655">
        <f>+IF(OR($Q302=Parametres!$G$2,$Q302=Parametres!$G$3),K302,E302)</f>
        <v>36177.370000000003</v>
      </c>
      <c r="Q302" s="654" t="str">
        <f t="shared" si="178"/>
        <v>7-Dépenses</v>
      </c>
      <c r="R302" s="653" t="str">
        <f t="shared" si="179"/>
        <v>6132</v>
      </c>
      <c r="S302" s="654" t="str">
        <f t="shared" si="180"/>
        <v>_</v>
      </c>
      <c r="T302" s="656" t="str">
        <f>+VLOOKUP($L302,Data_Validation!$A:$D,1,0)</f>
        <v>6232</v>
      </c>
      <c r="U302" s="656" t="str">
        <f>+VLOOKUP($L302,Data_Validation!$A:$D,3,0)</f>
        <v>Véhicules usagés</v>
      </c>
      <c r="V302" s="656" t="str">
        <f>+VLOOKUP($L302,Data_Validation!$A:$D,4,0)</f>
        <v>Déduction à la source</v>
      </c>
      <c r="W302" s="656" t="str">
        <f>+VLOOKUP($L302,Data_Validation!$A:$E,5,0)</f>
        <v>$</v>
      </c>
      <c r="X302" s="656">
        <f>+VLOOKUP($L302,Data_Validation!$A:$F,6,0)</f>
        <v>0</v>
      </c>
    </row>
    <row r="303" spans="1:24" ht="15" customHeight="1">
      <c r="A303" s="1252" t="s">
        <v>1230</v>
      </c>
      <c r="B303" s="1252" t="s">
        <v>3390</v>
      </c>
      <c r="C303" s="1254">
        <v>10273.58</v>
      </c>
      <c r="D303" s="1254">
        <v>4157.28</v>
      </c>
      <c r="E303" s="1254">
        <v>14430.86</v>
      </c>
      <c r="F303" s="1252" t="s">
        <v>1154</v>
      </c>
      <c r="G303" s="1252" t="s">
        <v>1184</v>
      </c>
      <c r="H303" s="1252" t="s">
        <v>3955</v>
      </c>
      <c r="I303" s="652"/>
      <c r="J303" s="652"/>
      <c r="K303" s="652"/>
      <c r="L303" s="653" t="str">
        <f t="shared" si="176"/>
        <v>6233</v>
      </c>
      <c r="M303" s="654" t="str">
        <f t="shared" si="177"/>
        <v>FOND PENSION - USAGE</v>
      </c>
      <c r="N303" s="655">
        <f>+IF(OR($Q303=Parametres!$G$2,$Q303=Parametres!$G$3),I303,C303)</f>
        <v>10273.58</v>
      </c>
      <c r="O303" s="655">
        <f>+IF(OR($Q303=Parametres!$G$2,$Q303=Parametres!$G$3),J303,D303)</f>
        <v>4157.28</v>
      </c>
      <c r="P303" s="655">
        <f>+IF(OR($Q303=Parametres!$G$2,$Q303=Parametres!$G$3),K303,E303)</f>
        <v>14430.86</v>
      </c>
      <c r="Q303" s="654" t="str">
        <f t="shared" si="178"/>
        <v>7-Dépenses</v>
      </c>
      <c r="R303" s="653" t="str">
        <f t="shared" si="179"/>
        <v>6133</v>
      </c>
      <c r="S303" s="654" t="str">
        <f t="shared" si="180"/>
        <v>_</v>
      </c>
      <c r="T303" s="656" t="str">
        <f>+VLOOKUP($L303,Data_Validation!$A:$D,1,0)</f>
        <v>6233</v>
      </c>
      <c r="U303" s="656" t="str">
        <f>+VLOOKUP($L303,Data_Validation!$A:$D,3,0)</f>
        <v>Véhicules usagés</v>
      </c>
      <c r="V303" s="656" t="str">
        <f>+VLOOKUP($L303,Data_Validation!$A:$D,4,0)</f>
        <v>Bénéfices marginaux</v>
      </c>
      <c r="W303" s="656" t="str">
        <f>+VLOOKUP($L303,Data_Validation!$A:$E,5,0)</f>
        <v>$</v>
      </c>
      <c r="X303" s="656">
        <f>+VLOOKUP($L303,Data_Validation!$A:$F,6,0)</f>
        <v>0</v>
      </c>
    </row>
    <row r="304" spans="1:24" ht="15" customHeight="1">
      <c r="A304" s="1252" t="s">
        <v>1231</v>
      </c>
      <c r="B304" s="1252" t="s">
        <v>2368</v>
      </c>
      <c r="C304" s="1254">
        <v>2649.88</v>
      </c>
      <c r="D304" s="1254">
        <v>809.94</v>
      </c>
      <c r="E304" s="1254">
        <v>3459.82</v>
      </c>
      <c r="F304" s="1252" t="s">
        <v>1154</v>
      </c>
      <c r="G304" s="1252" t="s">
        <v>1186</v>
      </c>
      <c r="H304" s="1252" t="s">
        <v>3955</v>
      </c>
      <c r="I304" s="652"/>
      <c r="J304" s="652"/>
      <c r="K304" s="652"/>
      <c r="L304" s="653" t="str">
        <f t="shared" si="176"/>
        <v>6239</v>
      </c>
      <c r="M304" s="654" t="str">
        <f t="shared" si="177"/>
        <v>ASSURANCE GROUPE</v>
      </c>
      <c r="N304" s="655">
        <f>+IF(OR($Q304=Parametres!$G$2,$Q304=Parametres!$G$3),I304,C304)</f>
        <v>2649.88</v>
      </c>
      <c r="O304" s="655">
        <f>+IF(OR($Q304=Parametres!$G$2,$Q304=Parametres!$G$3),J304,D304)</f>
        <v>809.94</v>
      </c>
      <c r="P304" s="655">
        <f>+IF(OR($Q304=Parametres!$G$2,$Q304=Parametres!$G$3),K304,E304)</f>
        <v>3459.82</v>
      </c>
      <c r="Q304" s="654" t="str">
        <f t="shared" si="178"/>
        <v>7-Dépenses</v>
      </c>
      <c r="R304" s="653" t="str">
        <f t="shared" si="179"/>
        <v>6139</v>
      </c>
      <c r="S304" s="654" t="str">
        <f t="shared" si="180"/>
        <v>_</v>
      </c>
      <c r="T304" s="656" t="str">
        <f>+VLOOKUP($L304,Data_Validation!$A:$D,1,0)</f>
        <v>6239</v>
      </c>
      <c r="U304" s="656" t="str">
        <f>+VLOOKUP($L304,Data_Validation!$A:$D,3,0)</f>
        <v>Véhicules usagés</v>
      </c>
      <c r="V304" s="656" t="str">
        <f>+VLOOKUP($L304,Data_Validation!$A:$D,4,0)</f>
        <v>Bénéfices marginaux</v>
      </c>
      <c r="W304" s="656" t="str">
        <f>+VLOOKUP($L304,Data_Validation!$A:$E,5,0)</f>
        <v>$</v>
      </c>
      <c r="X304" s="656">
        <f>+VLOOKUP($L304,Data_Validation!$A:$F,6,0)</f>
        <v>0</v>
      </c>
    </row>
    <row r="305" spans="1:24" ht="15.75" customHeight="1">
      <c r="A305" s="1252" t="s">
        <v>1187</v>
      </c>
      <c r="B305" s="1252" t="s">
        <v>2374</v>
      </c>
      <c r="C305" s="1254">
        <v>306.39</v>
      </c>
      <c r="D305" s="1254">
        <v>0</v>
      </c>
      <c r="E305" s="1254">
        <v>306.39</v>
      </c>
      <c r="F305" s="1252" t="s">
        <v>1154</v>
      </c>
      <c r="G305" s="1252" t="s">
        <v>1188</v>
      </c>
      <c r="H305" s="1252" t="s">
        <v>3955</v>
      </c>
      <c r="I305" s="663"/>
      <c r="J305" s="663"/>
      <c r="K305" s="663"/>
      <c r="L305" s="653" t="str">
        <f t="shared" si="176"/>
        <v>6242</v>
      </c>
      <c r="M305" s="654" t="str">
        <f t="shared" si="177"/>
        <v>FOURNITURES &amp; PETITS OUTILS</v>
      </c>
      <c r="N305" s="655">
        <f>+IF(OR($Q305=Parametres!$G$2,$Q305=Parametres!$G$3),I305,C305)</f>
        <v>306.39</v>
      </c>
      <c r="O305" s="655">
        <f>+IF(OR($Q305=Parametres!$G$2,$Q305=Parametres!$G$3),J305,D305)</f>
        <v>0</v>
      </c>
      <c r="P305" s="655">
        <f>+IF(OR($Q305=Parametres!$G$2,$Q305=Parametres!$G$3),K305,E305)</f>
        <v>306.39</v>
      </c>
      <c r="Q305" s="654" t="str">
        <f t="shared" si="178"/>
        <v>7-Dépenses</v>
      </c>
      <c r="R305" s="653" t="str">
        <f t="shared" si="179"/>
        <v>6142</v>
      </c>
      <c r="S305" s="654" t="str">
        <f t="shared" si="180"/>
        <v>_</v>
      </c>
      <c r="T305" s="656" t="str">
        <f>+VLOOKUP($L305,Data_Validation!$A:$D,1,0)</f>
        <v>6242</v>
      </c>
      <c r="U305" s="656" t="str">
        <f>+VLOOKUP($L305,Data_Validation!$A:$D,3,0)</f>
        <v>Véhicules usagés</v>
      </c>
      <c r="V305" s="656" t="str">
        <f>+VLOOKUP($L305,Data_Validation!$A:$D,4,0)</f>
        <v>Fournitures autres</v>
      </c>
      <c r="W305" s="656" t="str">
        <f>+VLOOKUP($L305,Data_Validation!$A:$E,5,0)</f>
        <v>$</v>
      </c>
      <c r="X305" s="656">
        <f>+VLOOKUP($L305,Data_Validation!$A:$F,6,0)</f>
        <v>0</v>
      </c>
    </row>
    <row r="306" spans="1:24" ht="15" customHeight="1">
      <c r="A306" s="1252" t="s">
        <v>1191</v>
      </c>
      <c r="B306" s="1252" t="s">
        <v>2379</v>
      </c>
      <c r="C306" s="1254">
        <v>533.91999999999996</v>
      </c>
      <c r="D306" s="1254">
        <v>1550.28</v>
      </c>
      <c r="E306" s="1254">
        <v>2084.1999999999998</v>
      </c>
      <c r="F306" s="1252" t="s">
        <v>1154</v>
      </c>
      <c r="G306" s="1252" t="s">
        <v>1192</v>
      </c>
      <c r="H306" s="1252" t="s">
        <v>3955</v>
      </c>
      <c r="I306" s="670"/>
      <c r="J306" s="651"/>
      <c r="K306" s="670"/>
      <c r="L306" s="653" t="str">
        <f t="shared" si="176"/>
        <v>6244</v>
      </c>
      <c r="M306" s="654" t="str">
        <f t="shared" si="177"/>
        <v>FORMATION</v>
      </c>
      <c r="N306" s="655">
        <f>+IF(OR($Q306=Parametres!$G$2,$Q306=Parametres!$G$3),I306,C306)</f>
        <v>533.91999999999996</v>
      </c>
      <c r="O306" s="659">
        <f>+IF(OR($Q306=Parametres!$G$2,$Q306=Parametres!$G$3),J306,D306)</f>
        <v>1550.28</v>
      </c>
      <c r="P306" s="655">
        <f>+IF(OR($Q306=Parametres!$G$2,$Q306=Parametres!$G$3),K306,E306)</f>
        <v>2084.1999999999998</v>
      </c>
      <c r="Q306" s="654" t="str">
        <f t="shared" si="178"/>
        <v>7-Dépenses</v>
      </c>
      <c r="R306" s="653" t="str">
        <f t="shared" si="179"/>
        <v>6144</v>
      </c>
      <c r="S306" s="654" t="str">
        <f t="shared" si="180"/>
        <v>_</v>
      </c>
      <c r="T306" s="656" t="str">
        <f>+VLOOKUP($L306,Data_Validation!$A:$D,1,0)</f>
        <v>6244</v>
      </c>
      <c r="U306" s="656" t="str">
        <f>+VLOOKUP($L306,Data_Validation!$A:$D,3,0)</f>
        <v>Véhicules usagés</v>
      </c>
      <c r="V306" s="656" t="str">
        <f>+VLOOKUP($L306,Data_Validation!$A:$D,4,0)</f>
        <v>Formation</v>
      </c>
      <c r="W306" s="656" t="str">
        <f>+VLOOKUP($L306,Data_Validation!$A:$E,5,0)</f>
        <v>$</v>
      </c>
      <c r="X306" s="656">
        <f>+VLOOKUP($L306,Data_Validation!$A:$F,6,0)</f>
        <v>0</v>
      </c>
    </row>
    <row r="307" spans="1:24" ht="15" customHeight="1">
      <c r="A307" s="1252" t="s">
        <v>1193</v>
      </c>
      <c r="B307" s="1252" t="s">
        <v>2382</v>
      </c>
      <c r="C307" s="1254">
        <v>8789.68</v>
      </c>
      <c r="D307" s="1254">
        <v>1451.24</v>
      </c>
      <c r="E307" s="1254">
        <v>10240.92</v>
      </c>
      <c r="F307" s="1252" t="s">
        <v>1154</v>
      </c>
      <c r="G307" s="1252" t="s">
        <v>1194</v>
      </c>
      <c r="H307" s="1252" t="s">
        <v>3955</v>
      </c>
      <c r="I307" s="651"/>
      <c r="J307" s="651"/>
      <c r="K307" s="651"/>
      <c r="L307" s="653" t="str">
        <f t="shared" si="176"/>
        <v>6245</v>
      </c>
      <c r="M307" s="654" t="str">
        <f t="shared" si="177"/>
        <v>VEHICULE DE COMPAGNIE - DEPENS</v>
      </c>
      <c r="N307" s="655">
        <f>+IF(OR($Q307=Parametres!$G$2,$Q307=Parametres!$G$3),I307,C307)</f>
        <v>8789.68</v>
      </c>
      <c r="O307" s="659">
        <f>+IF(OR($Q307=Parametres!$G$2,$Q307=Parametres!$G$3),J307,D307)</f>
        <v>1451.24</v>
      </c>
      <c r="P307" s="655">
        <f>+IF(OR($Q307=Parametres!$G$2,$Q307=Parametres!$G$3),K307,E307)</f>
        <v>10240.92</v>
      </c>
      <c r="Q307" s="654" t="str">
        <f t="shared" si="178"/>
        <v>7-Dépenses</v>
      </c>
      <c r="R307" s="653" t="str">
        <f t="shared" si="179"/>
        <v>6145</v>
      </c>
      <c r="S307" s="654" t="str">
        <f t="shared" si="180"/>
        <v>_</v>
      </c>
      <c r="T307" s="656" t="str">
        <f>+VLOOKUP($L307,Data_Validation!$A:$D,1,0)</f>
        <v>6245</v>
      </c>
      <c r="U307" s="656" t="str">
        <f>+VLOOKUP($L307,Data_Validation!$A:$D,3,0)</f>
        <v>Véhicules usagés</v>
      </c>
      <c r="V307" s="656" t="str">
        <f>+VLOOKUP($L307,Data_Validation!$A:$D,4,0)</f>
        <v>Frais véhicules de cie</v>
      </c>
      <c r="W307" s="656" t="str">
        <f>+VLOOKUP($L307,Data_Validation!$A:$E,5,0)</f>
        <v>$</v>
      </c>
      <c r="X307" s="656">
        <f>+VLOOKUP($L307,Data_Validation!$A:$F,6,0)</f>
        <v>0</v>
      </c>
    </row>
    <row r="308" spans="1:24" ht="15" customHeight="1">
      <c r="A308" s="1252" t="s">
        <v>1195</v>
      </c>
      <c r="B308" s="1252" t="s">
        <v>2385</v>
      </c>
      <c r="C308" s="1254">
        <v>637.41999999999996</v>
      </c>
      <c r="D308" s="1254">
        <v>49.22</v>
      </c>
      <c r="E308" s="1254">
        <v>686.64</v>
      </c>
      <c r="F308" s="1252" t="s">
        <v>1154</v>
      </c>
      <c r="G308" s="1252" t="s">
        <v>1196</v>
      </c>
      <c r="H308" s="1252" t="s">
        <v>3955</v>
      </c>
      <c r="I308" s="652"/>
      <c r="J308" s="652"/>
      <c r="K308" s="652"/>
      <c r="L308" s="653" t="str">
        <f t="shared" ref="L308:L371" si="181">TEXT(B308,0)</f>
        <v>6247</v>
      </c>
      <c r="M308" s="654" t="str">
        <f t="shared" ref="M308:M371" si="182">+A308</f>
        <v>FRET/EXPRESS/TRANS. PAR CAMION</v>
      </c>
      <c r="N308" s="655">
        <f>+IF(OR($Q308=Parametres!$G$2,$Q308=Parametres!$G$3),I308,C308)</f>
        <v>637.41999999999996</v>
      </c>
      <c r="O308" s="655">
        <f>+IF(OR($Q308=Parametres!$G$2,$Q308=Parametres!$G$3),J308,D308)</f>
        <v>49.22</v>
      </c>
      <c r="P308" s="655">
        <f>+IF(OR($Q308=Parametres!$G$2,$Q308=Parametres!$G$3),K308,E308)</f>
        <v>686.64</v>
      </c>
      <c r="Q308" s="654" t="str">
        <f t="shared" ref="Q308:Q371" si="183">+F308</f>
        <v>7-Dépenses</v>
      </c>
      <c r="R308" s="653" t="str">
        <f t="shared" ref="R308:R371" si="184">+G308</f>
        <v>6147</v>
      </c>
      <c r="S308" s="654" t="str">
        <f t="shared" ref="S308:S371" si="185">+H308</f>
        <v>_</v>
      </c>
      <c r="T308" s="656" t="str">
        <f>+VLOOKUP($L308,Data_Validation!$A:$D,1,0)</f>
        <v>6247</v>
      </c>
      <c r="U308" s="656" t="str">
        <f>+VLOOKUP($L308,Data_Validation!$A:$D,3,0)</f>
        <v>Véhicules usagés</v>
      </c>
      <c r="V308" s="656" t="str">
        <f>+VLOOKUP($L308,Data_Validation!$A:$D,4,0)</f>
        <v>Frais postaux</v>
      </c>
      <c r="W308" s="656" t="str">
        <f>+VLOOKUP($L308,Data_Validation!$A:$E,5,0)</f>
        <v>$</v>
      </c>
      <c r="X308" s="656">
        <f>+VLOOKUP($L308,Data_Validation!$A:$F,6,0)</f>
        <v>0</v>
      </c>
    </row>
    <row r="309" spans="1:24" ht="15.75" customHeight="1">
      <c r="A309" s="1252" t="s">
        <v>1197</v>
      </c>
      <c r="B309" s="1252" t="s">
        <v>2388</v>
      </c>
      <c r="C309" s="1254">
        <v>9320.6200000000008</v>
      </c>
      <c r="D309" s="1254">
        <v>4372.5200000000004</v>
      </c>
      <c r="E309" s="1254">
        <v>13693.14</v>
      </c>
      <c r="F309" s="1252" t="s">
        <v>1154</v>
      </c>
      <c r="G309" s="1252" t="s">
        <v>1198</v>
      </c>
      <c r="H309" s="1252" t="s">
        <v>3955</v>
      </c>
      <c r="I309" s="663"/>
      <c r="J309" s="663"/>
      <c r="K309" s="663"/>
      <c r="L309" s="653" t="str">
        <f t="shared" si="181"/>
        <v>6251</v>
      </c>
      <c r="M309" s="654" t="str">
        <f t="shared" si="182"/>
        <v>DEP. DU TRAITEMENT DES DONNEES</v>
      </c>
      <c r="N309" s="655">
        <f>+IF(OR($Q309=Parametres!$G$2,$Q309=Parametres!$G$3),I309,C309)</f>
        <v>9320.6200000000008</v>
      </c>
      <c r="O309" s="655">
        <f>+IF(OR($Q309=Parametres!$G$2,$Q309=Parametres!$G$3),J309,D309)</f>
        <v>4372.5200000000004</v>
      </c>
      <c r="P309" s="655">
        <f>+IF(OR($Q309=Parametres!$G$2,$Q309=Parametres!$G$3),K309,E309)</f>
        <v>13693.14</v>
      </c>
      <c r="Q309" s="654" t="str">
        <f t="shared" si="183"/>
        <v>7-Dépenses</v>
      </c>
      <c r="R309" s="653" t="str">
        <f t="shared" si="184"/>
        <v>6151</v>
      </c>
      <c r="S309" s="654" t="str">
        <f t="shared" si="185"/>
        <v>_</v>
      </c>
      <c r="T309" s="656" t="str">
        <f>+VLOOKUP($L309,Data_Validation!$A:$D,1,0)</f>
        <v>6251</v>
      </c>
      <c r="U309" s="656" t="str">
        <f>+VLOOKUP($L309,Data_Validation!$A:$D,3,0)</f>
        <v>Véhicules usagés</v>
      </c>
      <c r="V309" s="656" t="str">
        <f>+VLOOKUP($L309,Data_Validation!$A:$D,4,0)</f>
        <v>Informatique</v>
      </c>
      <c r="W309" s="656" t="str">
        <f>+VLOOKUP($L309,Data_Validation!$A:$E,5,0)</f>
        <v>$</v>
      </c>
      <c r="X309" s="656">
        <f>+VLOOKUP($L309,Data_Validation!$A:$F,6,0)</f>
        <v>0</v>
      </c>
    </row>
    <row r="310" spans="1:24" ht="15" customHeight="1">
      <c r="A310" s="1252" t="s">
        <v>1199</v>
      </c>
      <c r="B310" s="1252" t="s">
        <v>2391</v>
      </c>
      <c r="C310" s="1254">
        <v>655.03</v>
      </c>
      <c r="D310" s="1254">
        <v>21.8</v>
      </c>
      <c r="E310" s="1254">
        <v>676.83</v>
      </c>
      <c r="F310" s="1252" t="s">
        <v>1154</v>
      </c>
      <c r="G310" s="1252" t="s">
        <v>1200</v>
      </c>
      <c r="H310" s="1252" t="s">
        <v>3955</v>
      </c>
      <c r="I310" s="663"/>
      <c r="J310" s="663"/>
      <c r="K310" s="663"/>
      <c r="L310" s="653" t="str">
        <f t="shared" si="181"/>
        <v>6252</v>
      </c>
      <c r="M310" s="654" t="str">
        <f t="shared" si="182"/>
        <v>PAPETERIE</v>
      </c>
      <c r="N310" s="655">
        <f>+IF(OR($Q310=Parametres!$G$2,$Q310=Parametres!$G$3),I310,C310)</f>
        <v>655.03</v>
      </c>
      <c r="O310" s="655">
        <f>+IF(OR($Q310=Parametres!$G$2,$Q310=Parametres!$G$3),J310,D310)</f>
        <v>21.8</v>
      </c>
      <c r="P310" s="655">
        <f>+IF(OR($Q310=Parametres!$G$2,$Q310=Parametres!$G$3),K310,E310)</f>
        <v>676.83</v>
      </c>
      <c r="Q310" s="654" t="str">
        <f t="shared" si="183"/>
        <v>7-Dépenses</v>
      </c>
      <c r="R310" s="653" t="str">
        <f t="shared" si="184"/>
        <v>6152</v>
      </c>
      <c r="S310" s="654" t="str">
        <f t="shared" si="185"/>
        <v>_</v>
      </c>
      <c r="T310" s="656" t="str">
        <f>+VLOOKUP($L310,Data_Validation!$A:$D,1,0)</f>
        <v>6252</v>
      </c>
      <c r="U310" s="656" t="str">
        <f>+VLOOKUP($L310,Data_Validation!$A:$D,3,0)</f>
        <v>Véhicules usagés</v>
      </c>
      <c r="V310" s="656" t="str">
        <f>+VLOOKUP($L310,Data_Validation!$A:$D,4,0)</f>
        <v>Papeterie</v>
      </c>
      <c r="W310" s="656" t="str">
        <f>+VLOOKUP($L310,Data_Validation!$A:$E,5,0)</f>
        <v>$</v>
      </c>
      <c r="X310" s="656">
        <f>+VLOOKUP($L310,Data_Validation!$A:$F,6,0)</f>
        <v>0</v>
      </c>
    </row>
    <row r="311" spans="1:24" ht="15" customHeight="1">
      <c r="A311" s="1252" t="s">
        <v>1201</v>
      </c>
      <c r="B311" s="1252" t="s">
        <v>2394</v>
      </c>
      <c r="C311" s="1254">
        <v>282.57</v>
      </c>
      <c r="D311" s="1254">
        <v>82.36</v>
      </c>
      <c r="E311" s="1254">
        <v>364.93</v>
      </c>
      <c r="F311" s="1252" t="s">
        <v>1154</v>
      </c>
      <c r="G311" s="1252" t="s">
        <v>1202</v>
      </c>
      <c r="H311" s="1252" t="s">
        <v>3955</v>
      </c>
      <c r="I311" s="663"/>
      <c r="J311" s="663"/>
      <c r="K311" s="663"/>
      <c r="L311" s="653" t="str">
        <f t="shared" si="181"/>
        <v>6253</v>
      </c>
      <c r="M311" s="654" t="str">
        <f t="shared" si="182"/>
        <v>TELEPHONE ET TELEX</v>
      </c>
      <c r="N311" s="655">
        <f>+IF(OR($Q311=Parametres!$G$2,$Q311=Parametres!$G$3),I311,C311)</f>
        <v>282.57</v>
      </c>
      <c r="O311" s="655">
        <f>+IF(OR($Q311=Parametres!$G$2,$Q311=Parametres!$G$3),J311,D311)</f>
        <v>82.36</v>
      </c>
      <c r="P311" s="655">
        <f>+IF(OR($Q311=Parametres!$G$2,$Q311=Parametres!$G$3),K311,E311)</f>
        <v>364.93</v>
      </c>
      <c r="Q311" s="654" t="str">
        <f t="shared" si="183"/>
        <v>7-Dépenses</v>
      </c>
      <c r="R311" s="653" t="str">
        <f t="shared" si="184"/>
        <v>6153</v>
      </c>
      <c r="S311" s="654" t="str">
        <f t="shared" si="185"/>
        <v>_</v>
      </c>
      <c r="T311" s="656" t="str">
        <f>+VLOOKUP($L311,Data_Validation!$A:$D,1,0)</f>
        <v>6253</v>
      </c>
      <c r="U311" s="656" t="str">
        <f>+VLOOKUP($L311,Data_Validation!$A:$D,3,0)</f>
        <v>Véhicules usagés</v>
      </c>
      <c r="V311" s="656" t="str">
        <f>+VLOOKUP($L311,Data_Validation!$A:$D,4,0)</f>
        <v>Téléphone</v>
      </c>
      <c r="W311" s="656" t="str">
        <f>+VLOOKUP($L311,Data_Validation!$A:$E,5,0)</f>
        <v>$</v>
      </c>
      <c r="X311" s="656">
        <f>+VLOOKUP($L311,Data_Validation!$A:$F,6,0)</f>
        <v>0</v>
      </c>
    </row>
    <row r="312" spans="1:24" ht="15" customHeight="1">
      <c r="A312" s="1252" t="s">
        <v>1203</v>
      </c>
      <c r="B312" s="1252" t="s">
        <v>2397</v>
      </c>
      <c r="C312" s="1254">
        <v>86.93</v>
      </c>
      <c r="D312" s="1254">
        <v>45.41</v>
      </c>
      <c r="E312" s="1254">
        <v>132.34</v>
      </c>
      <c r="F312" s="1252" t="s">
        <v>1154</v>
      </c>
      <c r="G312" s="1252" t="s">
        <v>1204</v>
      </c>
      <c r="H312" s="1252" t="s">
        <v>3955</v>
      </c>
      <c r="I312" s="651"/>
      <c r="J312" s="651"/>
      <c r="K312" s="651"/>
      <c r="L312" s="653" t="str">
        <f t="shared" si="181"/>
        <v>6255</v>
      </c>
      <c r="M312" s="654" t="str">
        <f t="shared" si="182"/>
        <v>DEPENSES DIVERS</v>
      </c>
      <c r="N312" s="655">
        <f>+IF(OR($Q312=Parametres!$G$2,$Q312=Parametres!$G$3),I312,C312)</f>
        <v>86.93</v>
      </c>
      <c r="O312" s="655">
        <f>+IF(OR($Q312=Parametres!$G$2,$Q312=Parametres!$G$3),J312,D312)</f>
        <v>45.41</v>
      </c>
      <c r="P312" s="655">
        <f>+IF(OR($Q312=Parametres!$G$2,$Q312=Parametres!$G$3),K312,E312)</f>
        <v>132.34</v>
      </c>
      <c r="Q312" s="654" t="str">
        <f t="shared" si="183"/>
        <v>7-Dépenses</v>
      </c>
      <c r="R312" s="653" t="str">
        <f t="shared" si="184"/>
        <v>6155</v>
      </c>
      <c r="S312" s="654" t="str">
        <f t="shared" si="185"/>
        <v>_</v>
      </c>
      <c r="T312" s="656" t="str">
        <f>+VLOOKUP($L312,Data_Validation!$A:$D,1,0)</f>
        <v>6255</v>
      </c>
      <c r="U312" s="656" t="str">
        <f>+VLOOKUP($L312,Data_Validation!$A:$D,3,0)</f>
        <v>Véhicules usagés</v>
      </c>
      <c r="V312" s="656" t="str">
        <f>+VLOOKUP($L312,Data_Validation!$A:$D,4,0)</f>
        <v>Divers</v>
      </c>
      <c r="W312" s="656" t="str">
        <f>+VLOOKUP($L312,Data_Validation!$A:$E,5,0)</f>
        <v>$</v>
      </c>
      <c r="X312" s="656">
        <f>+VLOOKUP($L312,Data_Validation!$A:$F,6,0)</f>
        <v>0</v>
      </c>
    </row>
    <row r="313" spans="1:24" ht="15" customHeight="1">
      <c r="A313" s="1252" t="s">
        <v>1232</v>
      </c>
      <c r="B313" s="1252" t="s">
        <v>2400</v>
      </c>
      <c r="C313" s="1254">
        <v>1516.36</v>
      </c>
      <c r="D313" s="1254">
        <v>626.44000000000005</v>
      </c>
      <c r="E313" s="1254">
        <v>2142.8000000000002</v>
      </c>
      <c r="F313" s="1252" t="s">
        <v>1154</v>
      </c>
      <c r="G313" s="1252" t="s">
        <v>1206</v>
      </c>
      <c r="H313" s="1252" t="s">
        <v>3955</v>
      </c>
      <c r="I313" s="652"/>
      <c r="J313" s="652"/>
      <c r="K313" s="652"/>
      <c r="L313" s="653" t="str">
        <f t="shared" si="181"/>
        <v>6256</v>
      </c>
      <c r="M313" s="654" t="str">
        <f t="shared" si="182"/>
        <v>FRAIS REPRESENTATION - USAGE</v>
      </c>
      <c r="N313" s="655">
        <f>+IF(OR($Q313=Parametres!$G$2,$Q313=Parametres!$G$3),I313,C313)</f>
        <v>1516.36</v>
      </c>
      <c r="O313" s="655">
        <f>+IF(OR($Q313=Parametres!$G$2,$Q313=Parametres!$G$3),J313,D313)</f>
        <v>626.44000000000005</v>
      </c>
      <c r="P313" s="655">
        <f>+IF(OR($Q313=Parametres!$G$2,$Q313=Parametres!$G$3),K313,E313)</f>
        <v>2142.8000000000002</v>
      </c>
      <c r="Q313" s="654" t="str">
        <f t="shared" si="183"/>
        <v>7-Dépenses</v>
      </c>
      <c r="R313" s="653" t="str">
        <f t="shared" si="184"/>
        <v>6156</v>
      </c>
      <c r="S313" s="654" t="str">
        <f t="shared" si="185"/>
        <v>_</v>
      </c>
      <c r="T313" s="656" t="str">
        <f>+VLOOKUP($L313,Data_Validation!$A:$D,1,0)</f>
        <v>6256</v>
      </c>
      <c r="U313" s="656" t="str">
        <f>+VLOOKUP($L313,Data_Validation!$A:$D,3,0)</f>
        <v>Véhicules usagés</v>
      </c>
      <c r="V313" s="656" t="str">
        <f>+VLOOKUP($L313,Data_Validation!$A:$D,4,0)</f>
        <v>Frais de déplacement</v>
      </c>
      <c r="W313" s="656" t="str">
        <f>+VLOOKUP($L313,Data_Validation!$A:$E,5,0)</f>
        <v>$</v>
      </c>
      <c r="X313" s="656">
        <f>+VLOOKUP($L313,Data_Validation!$A:$F,6,0)</f>
        <v>0</v>
      </c>
    </row>
    <row r="314" spans="1:24" ht="15" customHeight="1">
      <c r="A314" s="1252" t="s">
        <v>1233</v>
      </c>
      <c r="B314" s="1252" t="s">
        <v>3391</v>
      </c>
      <c r="C314" s="1254">
        <v>1975.07</v>
      </c>
      <c r="D314" s="1254">
        <v>1024.1300000000001</v>
      </c>
      <c r="E314" s="1254">
        <v>2999.2</v>
      </c>
      <c r="F314" s="1252" t="s">
        <v>1154</v>
      </c>
      <c r="G314" s="1252" t="s">
        <v>1234</v>
      </c>
      <c r="H314" s="1252" t="s">
        <v>3955</v>
      </c>
      <c r="I314" s="651"/>
      <c r="J314" s="651"/>
      <c r="K314" s="651"/>
      <c r="L314" s="653" t="str">
        <f t="shared" si="181"/>
        <v>6257</v>
      </c>
      <c r="M314" s="654" t="str">
        <f t="shared" si="182"/>
        <v>FRAIS BANCAIRES - USAGE</v>
      </c>
      <c r="N314" s="655">
        <f>+IF(OR($Q314=Parametres!$G$2,$Q314=Parametres!$G$3),I314,C314)</f>
        <v>1975.07</v>
      </c>
      <c r="O314" s="659">
        <f>+IF(OR($Q314=Parametres!$G$2,$Q314=Parametres!$G$3),J314,D314)</f>
        <v>1024.1300000000001</v>
      </c>
      <c r="P314" s="655">
        <f>+IF(OR($Q314=Parametres!$G$2,$Q314=Parametres!$G$3),K314,E314)</f>
        <v>2999.2</v>
      </c>
      <c r="Q314" s="654" t="str">
        <f t="shared" si="183"/>
        <v>7-Dépenses</v>
      </c>
      <c r="R314" s="653" t="str">
        <f t="shared" si="184"/>
        <v>625</v>
      </c>
      <c r="S314" s="654" t="str">
        <f t="shared" si="185"/>
        <v>_</v>
      </c>
      <c r="T314" s="656" t="str">
        <f>+VLOOKUP($L314,Data_Validation!$A:$D,1,0)</f>
        <v>6257</v>
      </c>
      <c r="U314" s="656" t="str">
        <f>+VLOOKUP($L314,Data_Validation!$A:$D,3,0)</f>
        <v>Véhicules usagés</v>
      </c>
      <c r="V314" s="656" t="str">
        <f>+VLOOKUP($L314,Data_Validation!$A:$D,4,0)</f>
        <v>Frais bancaires</v>
      </c>
      <c r="W314" s="656" t="str">
        <f>+VLOOKUP($L314,Data_Validation!$A:$E,5,0)</f>
        <v>$</v>
      </c>
      <c r="X314" s="656">
        <f>+VLOOKUP($L314,Data_Validation!$A:$F,6,0)</f>
        <v>0</v>
      </c>
    </row>
    <row r="315" spans="1:24" ht="15" customHeight="1">
      <c r="A315" s="1252" t="s">
        <v>1209</v>
      </c>
      <c r="B315" s="1252" t="s">
        <v>2403</v>
      </c>
      <c r="C315" s="1254">
        <v>9309.18</v>
      </c>
      <c r="D315" s="1254">
        <v>5540.76</v>
      </c>
      <c r="E315" s="1254">
        <v>14849.94</v>
      </c>
      <c r="F315" s="1252" t="s">
        <v>1154</v>
      </c>
      <c r="G315" s="1252" t="s">
        <v>1210</v>
      </c>
      <c r="H315" s="1252" t="s">
        <v>3955</v>
      </c>
      <c r="I315" s="652"/>
      <c r="J315" s="652"/>
      <c r="K315" s="652"/>
      <c r="L315" s="653" t="str">
        <f t="shared" si="181"/>
        <v>6259</v>
      </c>
      <c r="M315" s="654" t="str">
        <f t="shared" si="182"/>
        <v>SERVICE EXTERIEUR</v>
      </c>
      <c r="N315" s="655">
        <f>+IF(OR($Q315=Parametres!$G$2,$Q315=Parametres!$G$3),I315,C315)</f>
        <v>9309.18</v>
      </c>
      <c r="O315" s="655">
        <f>+IF(OR($Q315=Parametres!$G$2,$Q315=Parametres!$G$3),J315,D315)</f>
        <v>5540.76</v>
      </c>
      <c r="P315" s="655">
        <f>+IF(OR($Q315=Parametres!$G$2,$Q315=Parametres!$G$3),K315,E315)</f>
        <v>14849.94</v>
      </c>
      <c r="Q315" s="654" t="str">
        <f t="shared" si="183"/>
        <v>7-Dépenses</v>
      </c>
      <c r="R315" s="653" t="str">
        <f t="shared" si="184"/>
        <v>6159</v>
      </c>
      <c r="S315" s="654" t="str">
        <f t="shared" si="185"/>
        <v>_</v>
      </c>
      <c r="T315" s="656" t="str">
        <f>+VLOOKUP($L315,Data_Validation!$A:$D,1,0)</f>
        <v>6259</v>
      </c>
      <c r="U315" s="656" t="str">
        <f>+VLOOKUP($L315,Data_Validation!$A:$D,3,0)</f>
        <v>Véhicules usagés</v>
      </c>
      <c r="V315" s="656" t="str">
        <f>+VLOOKUP($L315,Data_Validation!$A:$D,4,0)</f>
        <v>Services extérieurs</v>
      </c>
      <c r="W315" s="656" t="str">
        <f>+VLOOKUP($L315,Data_Validation!$A:$E,5,0)</f>
        <v>$</v>
      </c>
      <c r="X315" s="656">
        <f>+VLOOKUP($L315,Data_Validation!$A:$F,6,0)</f>
        <v>0</v>
      </c>
    </row>
    <row r="316" spans="1:24" ht="15" customHeight="1">
      <c r="A316" s="1252" t="s">
        <v>1211</v>
      </c>
      <c r="B316" s="1252" t="s">
        <v>2406</v>
      </c>
      <c r="C316" s="1254">
        <v>15353.28</v>
      </c>
      <c r="D316" s="1254">
        <v>5117.76</v>
      </c>
      <c r="E316" s="1254">
        <v>20471.04</v>
      </c>
      <c r="F316" s="1252" t="s">
        <v>1154</v>
      </c>
      <c r="G316" s="1252" t="s">
        <v>1212</v>
      </c>
      <c r="H316" s="1252" t="s">
        <v>3955</v>
      </c>
      <c r="I316" s="651"/>
      <c r="J316" s="651"/>
      <c r="K316" s="651"/>
      <c r="L316" s="653" t="str">
        <f t="shared" si="181"/>
        <v>6261</v>
      </c>
      <c r="M316" s="654" t="str">
        <f t="shared" si="182"/>
        <v>DEPRECIATION EQUIP. &amp; FIXTURES</v>
      </c>
      <c r="N316" s="655">
        <f>+IF(OR($Q316=Parametres!$G$2,$Q316=Parametres!$G$3),I316,C316)</f>
        <v>15353.28</v>
      </c>
      <c r="O316" s="655">
        <f>+IF(OR($Q316=Parametres!$G$2,$Q316=Parametres!$G$3),J316,D316)</f>
        <v>5117.76</v>
      </c>
      <c r="P316" s="655">
        <f>+IF(OR($Q316=Parametres!$G$2,$Q316=Parametres!$G$3),K316,E316)</f>
        <v>20471.04</v>
      </c>
      <c r="Q316" s="654" t="str">
        <f t="shared" si="183"/>
        <v>7-Dépenses</v>
      </c>
      <c r="R316" s="653" t="str">
        <f t="shared" si="184"/>
        <v>6161</v>
      </c>
      <c r="S316" s="654" t="str">
        <f t="shared" si="185"/>
        <v>_</v>
      </c>
      <c r="T316" s="656" t="str">
        <f>+VLOOKUP($L316,Data_Validation!$A:$D,1,0)</f>
        <v>6261</v>
      </c>
      <c r="U316" s="656" t="str">
        <f>+VLOOKUP($L316,Data_Validation!$A:$D,3,0)</f>
        <v>Véhicules usagés</v>
      </c>
      <c r="V316" s="656" t="str">
        <f>+VLOOKUP($L316,Data_Validation!$A:$D,4,0)</f>
        <v>Amortissement</v>
      </c>
      <c r="W316" s="656" t="str">
        <f>+VLOOKUP($L316,Data_Validation!$A:$E,5,0)</f>
        <v>$</v>
      </c>
      <c r="X316" s="656">
        <f>+VLOOKUP($L316,Data_Validation!$A:$F,6,0)</f>
        <v>0</v>
      </c>
    </row>
    <row r="317" spans="1:24" ht="15" customHeight="1">
      <c r="A317" s="1252" t="s">
        <v>1235</v>
      </c>
      <c r="B317" s="1252" t="s">
        <v>2412</v>
      </c>
      <c r="C317" s="1254">
        <v>3199.69</v>
      </c>
      <c r="D317" s="1254">
        <v>686.4</v>
      </c>
      <c r="E317" s="1254">
        <v>3886.09</v>
      </c>
      <c r="F317" s="1252" t="s">
        <v>1154</v>
      </c>
      <c r="G317" s="1252" t="s">
        <v>1214</v>
      </c>
      <c r="H317" s="1252" t="s">
        <v>3955</v>
      </c>
      <c r="I317" s="652"/>
      <c r="J317" s="652"/>
      <c r="K317" s="652"/>
      <c r="L317" s="653" t="str">
        <f t="shared" si="181"/>
        <v>6281</v>
      </c>
      <c r="M317" s="654" t="str">
        <f t="shared" si="182"/>
        <v>CHAUFFAGE,ELECTRICITE,EAU-USAGE</v>
      </c>
      <c r="N317" s="655">
        <f>+IF(OR($Q317=Parametres!$G$2,$Q317=Parametres!$G$3),I317,C317)</f>
        <v>3199.69</v>
      </c>
      <c r="O317" s="659">
        <f>+IF(OR($Q317=Parametres!$G$2,$Q317=Parametres!$G$3),J317,D317)</f>
        <v>686.4</v>
      </c>
      <c r="P317" s="655">
        <f>+IF(OR($Q317=Parametres!$G$2,$Q317=Parametres!$G$3),K317,E317)</f>
        <v>3886.09</v>
      </c>
      <c r="Q317" s="654" t="str">
        <f t="shared" si="183"/>
        <v>7-Dépenses</v>
      </c>
      <c r="R317" s="653" t="str">
        <f t="shared" si="184"/>
        <v>6181</v>
      </c>
      <c r="S317" s="654" t="str">
        <f t="shared" si="185"/>
        <v>_</v>
      </c>
      <c r="T317" s="656" t="str">
        <f>+VLOOKUP($L317,Data_Validation!$A:$D,1,0)</f>
        <v>6281</v>
      </c>
      <c r="U317" s="656" t="str">
        <f>+VLOOKUP($L317,Data_Validation!$A:$D,3,0)</f>
        <v>Véhicules usagés</v>
      </c>
      <c r="V317" s="656" t="str">
        <f>+VLOOKUP($L317,Data_Validation!$A:$D,4,0)</f>
        <v>Chauffage, éclairage</v>
      </c>
      <c r="W317" s="656" t="str">
        <f>+VLOOKUP($L317,Data_Validation!$A:$E,5,0)</f>
        <v>$</v>
      </c>
      <c r="X317" s="656">
        <f>+VLOOKUP($L317,Data_Validation!$A:$F,6,0)</f>
        <v>0</v>
      </c>
    </row>
    <row r="318" spans="1:24" ht="15.75" customHeight="1">
      <c r="A318" s="1252" t="s">
        <v>1236</v>
      </c>
      <c r="B318" s="1252" t="s">
        <v>2415</v>
      </c>
      <c r="C318" s="1254">
        <v>12960</v>
      </c>
      <c r="D318" s="1254">
        <v>4320</v>
      </c>
      <c r="E318" s="1254">
        <v>17280</v>
      </c>
      <c r="F318" s="1252" t="s">
        <v>1154</v>
      </c>
      <c r="G318" s="1252" t="s">
        <v>1216</v>
      </c>
      <c r="H318" s="1252" t="s">
        <v>3955</v>
      </c>
      <c r="I318" s="651"/>
      <c r="J318" s="651"/>
      <c r="K318" s="651"/>
      <c r="L318" s="653" t="str">
        <f t="shared" si="181"/>
        <v>6282</v>
      </c>
      <c r="M318" s="654" t="str">
        <f t="shared" si="182"/>
        <v>LOYER - USAGE</v>
      </c>
      <c r="N318" s="655">
        <f>+IF(OR($Q318=Parametres!$G$2,$Q318=Parametres!$G$3),I318,C318)</f>
        <v>12960</v>
      </c>
      <c r="O318" s="655">
        <f>+IF(OR($Q318=Parametres!$G$2,$Q318=Parametres!$G$3),J318,D318)</f>
        <v>4320</v>
      </c>
      <c r="P318" s="655">
        <f>+IF(OR($Q318=Parametres!$G$2,$Q318=Parametres!$G$3),K318,E318)</f>
        <v>17280</v>
      </c>
      <c r="Q318" s="654" t="str">
        <f t="shared" si="183"/>
        <v>7-Dépenses</v>
      </c>
      <c r="R318" s="653" t="str">
        <f t="shared" si="184"/>
        <v>6182</v>
      </c>
      <c r="S318" s="654" t="str">
        <f t="shared" si="185"/>
        <v>_</v>
      </c>
      <c r="T318" s="656" t="str">
        <f>+VLOOKUP($L318,Data_Validation!$A:$D,1,0)</f>
        <v>6282</v>
      </c>
      <c r="U318" s="656" t="str">
        <f>+VLOOKUP($L318,Data_Validation!$A:$D,3,0)</f>
        <v>Véhicules usagés</v>
      </c>
      <c r="V318" s="656" t="str">
        <f>+VLOOKUP($L318,Data_Validation!$A:$D,4,0)</f>
        <v>Loyer</v>
      </c>
      <c r="W318" s="656" t="str">
        <f>+VLOOKUP($L318,Data_Validation!$A:$E,5,0)</f>
        <v>$</v>
      </c>
      <c r="X318" s="656">
        <f>+VLOOKUP($L318,Data_Validation!$A:$F,6,0)</f>
        <v>0</v>
      </c>
    </row>
    <row r="319" spans="1:24" ht="15" customHeight="1">
      <c r="A319" s="1252" t="s">
        <v>1237</v>
      </c>
      <c r="B319" s="1252" t="s">
        <v>2418</v>
      </c>
      <c r="C319" s="1254">
        <v>1563.93</v>
      </c>
      <c r="D319" s="1254">
        <v>521.30999999999995</v>
      </c>
      <c r="E319" s="1254">
        <v>2085.2399999999998</v>
      </c>
      <c r="F319" s="1252" t="s">
        <v>1154</v>
      </c>
      <c r="G319" s="1252" t="s">
        <v>1218</v>
      </c>
      <c r="H319" s="1252" t="s">
        <v>3955</v>
      </c>
      <c r="I319" s="652"/>
      <c r="J319" s="652"/>
      <c r="K319" s="652"/>
      <c r="L319" s="653" t="str">
        <f t="shared" si="181"/>
        <v>6286</v>
      </c>
      <c r="M319" s="654" t="str">
        <f t="shared" si="182"/>
        <v>ASSURANCE BATISSE &amp; AMEL.-USAGE</v>
      </c>
      <c r="N319" s="655">
        <f>+IF(OR($Q319=Parametres!$G$2,$Q319=Parametres!$G$3),I319,C319)</f>
        <v>1563.93</v>
      </c>
      <c r="O319" s="659">
        <f>+IF(OR($Q319=Parametres!$G$2,$Q319=Parametres!$G$3),J319,D319)</f>
        <v>521.30999999999995</v>
      </c>
      <c r="P319" s="655">
        <f>+IF(OR($Q319=Parametres!$G$2,$Q319=Parametres!$G$3),K319,E319)</f>
        <v>2085.2399999999998</v>
      </c>
      <c r="Q319" s="654" t="str">
        <f t="shared" si="183"/>
        <v>7-Dépenses</v>
      </c>
      <c r="R319" s="653" t="str">
        <f t="shared" si="184"/>
        <v>6186</v>
      </c>
      <c r="S319" s="654" t="str">
        <f t="shared" si="185"/>
        <v>_</v>
      </c>
      <c r="T319" s="656" t="str">
        <f>+VLOOKUP($L319,Data_Validation!$A:$D,1,0)</f>
        <v>6286</v>
      </c>
      <c r="U319" s="656" t="str">
        <f>+VLOOKUP($L319,Data_Validation!$A:$D,3,0)</f>
        <v>Véhicules usagés</v>
      </c>
      <c r="V319" s="656" t="str">
        <f>+VLOOKUP($L319,Data_Validation!$A:$D,4,0)</f>
        <v>Assurances</v>
      </c>
      <c r="W319" s="656" t="str">
        <f>+VLOOKUP($L319,Data_Validation!$A:$E,5,0)</f>
        <v>$</v>
      </c>
      <c r="X319" s="656">
        <f>+VLOOKUP($L319,Data_Validation!$A:$F,6,0)</f>
        <v>0</v>
      </c>
    </row>
    <row r="320" spans="1:24" ht="15" customHeight="1">
      <c r="A320" s="1252" t="s">
        <v>1238</v>
      </c>
      <c r="B320" s="1252" t="s">
        <v>2421</v>
      </c>
      <c r="C320" s="1254">
        <v>1952.28</v>
      </c>
      <c r="D320" s="1254">
        <v>650.76</v>
      </c>
      <c r="E320" s="1254">
        <v>2603.04</v>
      </c>
      <c r="F320" s="1252" t="s">
        <v>1154</v>
      </c>
      <c r="G320" s="1252" t="s">
        <v>1220</v>
      </c>
      <c r="H320" s="1252" t="s">
        <v>3955</v>
      </c>
      <c r="I320" s="663"/>
      <c r="J320" s="663"/>
      <c r="K320" s="663"/>
      <c r="L320" s="653" t="str">
        <f t="shared" si="181"/>
        <v>6287</v>
      </c>
      <c r="M320" s="654" t="str">
        <f t="shared" si="182"/>
        <v>TAXES FONCIERES - USAGE</v>
      </c>
      <c r="N320" s="655">
        <f>+IF(OR($Q320=Parametres!$G$2,$Q320=Parametres!$G$3),I320,C320)</f>
        <v>1952.28</v>
      </c>
      <c r="O320" s="655">
        <f>+IF(OR($Q320=Parametres!$G$2,$Q320=Parametres!$G$3),J320,D320)</f>
        <v>650.76</v>
      </c>
      <c r="P320" s="655">
        <f>+IF(OR($Q320=Parametres!$G$2,$Q320=Parametres!$G$3),K320,E320)</f>
        <v>2603.04</v>
      </c>
      <c r="Q320" s="654" t="str">
        <f t="shared" si="183"/>
        <v>7-Dépenses</v>
      </c>
      <c r="R320" s="653" t="str">
        <f t="shared" si="184"/>
        <v>6187</v>
      </c>
      <c r="S320" s="654" t="str">
        <f t="shared" si="185"/>
        <v>_</v>
      </c>
      <c r="T320" s="656" t="str">
        <f>+VLOOKUP($L320,Data_Validation!$A:$D,1,0)</f>
        <v>6287</v>
      </c>
      <c r="U320" s="656" t="str">
        <f>+VLOOKUP($L320,Data_Validation!$A:$D,3,0)</f>
        <v>Véhicules usagés</v>
      </c>
      <c r="V320" s="656" t="str">
        <f>+VLOOKUP($L320,Data_Validation!$A:$D,4,0)</f>
        <v>Taxes foncières</v>
      </c>
      <c r="W320" s="656" t="str">
        <f>+VLOOKUP($L320,Data_Validation!$A:$E,5,0)</f>
        <v>$</v>
      </c>
      <c r="X320" s="656">
        <f>+VLOOKUP($L320,Data_Validation!$A:$F,6,0)</f>
        <v>0</v>
      </c>
    </row>
    <row r="321" spans="1:24" ht="15" customHeight="1">
      <c r="A321" s="1252" t="s">
        <v>1239</v>
      </c>
      <c r="B321" s="1252" t="s">
        <v>2424</v>
      </c>
      <c r="C321" s="1254">
        <v>1611.24</v>
      </c>
      <c r="D321" s="1254">
        <v>433.08</v>
      </c>
      <c r="E321" s="1254">
        <v>2044.32</v>
      </c>
      <c r="F321" s="1252" t="s">
        <v>1154</v>
      </c>
      <c r="G321" s="1252" t="s">
        <v>1222</v>
      </c>
      <c r="H321" s="1252" t="s">
        <v>3955</v>
      </c>
      <c r="I321" s="663"/>
      <c r="J321" s="663"/>
      <c r="K321" s="663"/>
      <c r="L321" s="653" t="str">
        <f t="shared" si="181"/>
        <v>6293</v>
      </c>
      <c r="M321" s="654" t="str">
        <f t="shared" si="182"/>
        <v>AUTRE TAXES - USAGES</v>
      </c>
      <c r="N321" s="655">
        <f>+IF(OR($Q321=Parametres!$G$2,$Q321=Parametres!$G$3),I321,C321)</f>
        <v>1611.24</v>
      </c>
      <c r="O321" s="655">
        <f>+IF(OR($Q321=Parametres!$G$2,$Q321=Parametres!$G$3),J321,D321)</f>
        <v>433.08</v>
      </c>
      <c r="P321" s="655">
        <f>+IF(OR($Q321=Parametres!$G$2,$Q321=Parametres!$G$3),K321,E321)</f>
        <v>2044.32</v>
      </c>
      <c r="Q321" s="654" t="str">
        <f t="shared" si="183"/>
        <v>7-Dépenses</v>
      </c>
      <c r="R321" s="653" t="str">
        <f t="shared" si="184"/>
        <v>6193</v>
      </c>
      <c r="S321" s="654" t="str">
        <f t="shared" si="185"/>
        <v>_</v>
      </c>
      <c r="T321" s="656" t="str">
        <f>+VLOOKUP($L321,Data_Validation!$A:$D,1,0)</f>
        <v>6293</v>
      </c>
      <c r="U321" s="656" t="str">
        <f>+VLOOKUP($L321,Data_Validation!$A:$D,3,0)</f>
        <v>Véhicules usagés</v>
      </c>
      <c r="V321" s="656" t="str">
        <f>+VLOOKUP($L321,Data_Validation!$A:$D,4,0)</f>
        <v>Taxes d`affaires</v>
      </c>
      <c r="W321" s="656" t="str">
        <f>+VLOOKUP($L321,Data_Validation!$A:$E,5,0)</f>
        <v>$</v>
      </c>
      <c r="X321" s="656">
        <f>+VLOOKUP($L321,Data_Validation!$A:$F,6,0)</f>
        <v>0</v>
      </c>
    </row>
    <row r="322" spans="1:24" ht="15.75" customHeight="1">
      <c r="A322" s="1252" t="s">
        <v>1240</v>
      </c>
      <c r="B322" s="1252" t="s">
        <v>2427</v>
      </c>
      <c r="C322" s="1254">
        <v>2482.5500000000002</v>
      </c>
      <c r="D322" s="1254">
        <v>770.8</v>
      </c>
      <c r="E322" s="1254">
        <v>3253.35</v>
      </c>
      <c r="F322" s="1252" t="s">
        <v>1154</v>
      </c>
      <c r="G322" s="1252" t="s">
        <v>1224</v>
      </c>
      <c r="H322" s="1252" t="s">
        <v>3955</v>
      </c>
      <c r="I322" s="651"/>
      <c r="J322" s="651"/>
      <c r="K322" s="651"/>
      <c r="L322" s="653" t="str">
        <f t="shared" si="181"/>
        <v>6294</v>
      </c>
      <c r="M322" s="654" t="str">
        <f t="shared" si="182"/>
        <v>FRAIS PROFESSIONNEL-USAGE</v>
      </c>
      <c r="N322" s="655">
        <f>+IF(OR($Q322=Parametres!$G$2,$Q322=Parametres!$G$3),I322,C322)</f>
        <v>2482.5500000000002</v>
      </c>
      <c r="O322" s="659">
        <f>+IF(OR($Q322=Parametres!$G$2,$Q322=Parametres!$G$3),J322,D322)</f>
        <v>770.8</v>
      </c>
      <c r="P322" s="655">
        <f>+IF(OR($Q322=Parametres!$G$2,$Q322=Parametres!$G$3),K322,E322)</f>
        <v>3253.35</v>
      </c>
      <c r="Q322" s="654" t="str">
        <f t="shared" si="183"/>
        <v>7-Dépenses</v>
      </c>
      <c r="R322" s="653" t="str">
        <f t="shared" si="184"/>
        <v>6194</v>
      </c>
      <c r="S322" s="654" t="str">
        <f t="shared" si="185"/>
        <v>_</v>
      </c>
      <c r="T322" s="656" t="str">
        <f>+VLOOKUP($L322,Data_Validation!$A:$D,1,0)</f>
        <v>6294</v>
      </c>
      <c r="U322" s="656" t="str">
        <f>+VLOOKUP($L322,Data_Validation!$A:$D,3,0)</f>
        <v>Véhicules usagés</v>
      </c>
      <c r="V322" s="656" t="str">
        <f>+VLOOKUP($L322,Data_Validation!$A:$D,4,0)</f>
        <v>Honoraires</v>
      </c>
      <c r="W322" s="656" t="str">
        <f>+VLOOKUP($L322,Data_Validation!$A:$E,5,0)</f>
        <v>$</v>
      </c>
      <c r="X322" s="656">
        <f>+VLOOKUP($L322,Data_Validation!$A:$F,6,0)</f>
        <v>0</v>
      </c>
    </row>
    <row r="323" spans="1:24" ht="15" customHeight="1">
      <c r="A323" s="1252" t="s">
        <v>1241</v>
      </c>
      <c r="B323" s="1252" t="s">
        <v>2430</v>
      </c>
      <c r="C323" s="1254">
        <v>8132.45</v>
      </c>
      <c r="D323" s="1254">
        <v>2117.34</v>
      </c>
      <c r="E323" s="1254">
        <v>10249.790000000001</v>
      </c>
      <c r="F323" s="1252" t="s">
        <v>1154</v>
      </c>
      <c r="G323" s="1252" t="s">
        <v>1242</v>
      </c>
      <c r="H323" s="1252" t="s">
        <v>3955</v>
      </c>
      <c r="I323" s="652"/>
      <c r="J323" s="652"/>
      <c r="K323" s="652"/>
      <c r="L323" s="653" t="str">
        <f t="shared" si="181"/>
        <v>6403</v>
      </c>
      <c r="M323" s="654" t="str">
        <f t="shared" si="182"/>
        <v>RELAT. A LA CLIENTELE &amp; AJUST</v>
      </c>
      <c r="N323" s="655">
        <f>+IF(OR($Q323=Parametres!$G$2,$Q323=Parametres!$G$3),I323,C323)</f>
        <v>8132.45</v>
      </c>
      <c r="O323" s="659">
        <f>+IF(OR($Q323=Parametres!$G$2,$Q323=Parametres!$G$3),J323,D323)</f>
        <v>2117.34</v>
      </c>
      <c r="P323" s="655">
        <f>+IF(OR($Q323=Parametres!$G$2,$Q323=Parametres!$G$3),K323,E323)</f>
        <v>10249.790000000001</v>
      </c>
      <c r="Q323" s="654" t="str">
        <f t="shared" si="183"/>
        <v>7-Dépenses</v>
      </c>
      <c r="R323" s="653" t="str">
        <f t="shared" si="184"/>
        <v>6112</v>
      </c>
      <c r="S323" s="654" t="str">
        <f t="shared" si="185"/>
        <v>_</v>
      </c>
      <c r="T323" s="656" t="str">
        <f>+VLOOKUP($L323,Data_Validation!$A:$D,1,0)</f>
        <v>6403</v>
      </c>
      <c r="U323" s="656" t="str">
        <f>+VLOOKUP($L323,Data_Validation!$A:$D,3,0)</f>
        <v>Service</v>
      </c>
      <c r="V323" s="656" t="str">
        <f>+VLOOKUP($L323,Data_Validation!$A:$D,4,0)</f>
        <v>Service gratuit 2</v>
      </c>
      <c r="W323" s="656" t="str">
        <f>+VLOOKUP($L323,Data_Validation!$A:$E,5,0)</f>
        <v>$</v>
      </c>
      <c r="X323" s="656">
        <f>+VLOOKUP($L323,Data_Validation!$A:$F,6,0)</f>
        <v>0</v>
      </c>
    </row>
    <row r="324" spans="1:24" ht="15" customHeight="1">
      <c r="A324" s="1252" t="s">
        <v>1243</v>
      </c>
      <c r="B324" s="1252" t="s">
        <v>2433</v>
      </c>
      <c r="C324" s="1254">
        <v>1268.77</v>
      </c>
      <c r="D324" s="1254">
        <v>978.78</v>
      </c>
      <c r="E324" s="1254">
        <v>2247.5500000000002</v>
      </c>
      <c r="F324" s="1252" t="s">
        <v>1154</v>
      </c>
      <c r="G324" s="1252" t="s">
        <v>1242</v>
      </c>
      <c r="H324" s="1252" t="s">
        <v>3955</v>
      </c>
      <c r="I324" s="670"/>
      <c r="J324" s="651"/>
      <c r="K324" s="670"/>
      <c r="L324" s="653" t="str">
        <f t="shared" si="181"/>
        <v>6412</v>
      </c>
      <c r="M324" s="654" t="str">
        <f t="shared" si="182"/>
        <v>AUTORISATION &amp; GAR./VEH. USA</v>
      </c>
      <c r="N324" s="655">
        <f>+IF(OR($Q324=Parametres!$G$2,$Q324=Parametres!$G$3),I324,C324)</f>
        <v>1268.77</v>
      </c>
      <c r="O324" s="655">
        <f>+IF(OR($Q324=Parametres!$G$2,$Q324=Parametres!$G$3),J324,D324)</f>
        <v>978.78</v>
      </c>
      <c r="P324" s="655">
        <f>+IF(OR($Q324=Parametres!$G$2,$Q324=Parametres!$G$3),K324,E324)</f>
        <v>2247.5500000000002</v>
      </c>
      <c r="Q324" s="654" t="str">
        <f t="shared" si="183"/>
        <v>7-Dépenses</v>
      </c>
      <c r="R324" s="653" t="str">
        <f t="shared" si="184"/>
        <v>6112</v>
      </c>
      <c r="S324" s="654" t="str">
        <f t="shared" si="185"/>
        <v>_</v>
      </c>
      <c r="T324" s="656" t="str">
        <f>+VLOOKUP($L324,Data_Validation!$A:$D,1,0)</f>
        <v>6412</v>
      </c>
      <c r="U324" s="656" t="str">
        <f>+VLOOKUP($L324,Data_Validation!$A:$D,3,0)</f>
        <v>Service</v>
      </c>
      <c r="V324" s="656" t="str">
        <f>+VLOOKUP($L324,Data_Validation!$A:$D,4,0)</f>
        <v>Service gratuit 2</v>
      </c>
      <c r="W324" s="656" t="str">
        <f>+VLOOKUP($L324,Data_Validation!$A:$E,5,0)</f>
        <v>$</v>
      </c>
      <c r="X324" s="656">
        <f>+VLOOKUP($L324,Data_Validation!$A:$F,6,0)</f>
        <v>0</v>
      </c>
    </row>
    <row r="325" spans="1:24" ht="15" customHeight="1">
      <c r="A325" s="1252" t="s">
        <v>1166</v>
      </c>
      <c r="B325" s="1252" t="s">
        <v>2436</v>
      </c>
      <c r="C325" s="1254">
        <v>39945.870000000003</v>
      </c>
      <c r="D325" s="1254">
        <v>20858.59</v>
      </c>
      <c r="E325" s="1254">
        <v>60804.46</v>
      </c>
      <c r="F325" s="1252" t="s">
        <v>1154</v>
      </c>
      <c r="G325" s="1252" t="s">
        <v>1167</v>
      </c>
      <c r="H325" s="1252" t="s">
        <v>3955</v>
      </c>
      <c r="I325" s="670"/>
      <c r="J325" s="651"/>
      <c r="K325" s="670"/>
      <c r="L325" s="653" t="str">
        <f t="shared" si="181"/>
        <v>6414</v>
      </c>
      <c r="M325" s="654" t="str">
        <f t="shared" si="182"/>
        <v>PUBLICITE</v>
      </c>
      <c r="N325" s="655">
        <f>+IF(OR($Q325=Parametres!$G$2,$Q325=Parametres!$G$3),I325,C325)</f>
        <v>39945.870000000003</v>
      </c>
      <c r="O325" s="659">
        <f>+IF(OR($Q325=Parametres!$G$2,$Q325=Parametres!$G$3),J325,D325)</f>
        <v>20858.59</v>
      </c>
      <c r="P325" s="655">
        <f>+IF(OR($Q325=Parametres!$G$2,$Q325=Parametres!$G$3),K325,E325)</f>
        <v>60804.46</v>
      </c>
      <c r="Q325" s="654" t="str">
        <f t="shared" si="183"/>
        <v>7-Dépenses</v>
      </c>
      <c r="R325" s="653" t="str">
        <f t="shared" si="184"/>
        <v>6114</v>
      </c>
      <c r="S325" s="654" t="str">
        <f t="shared" si="185"/>
        <v>_</v>
      </c>
      <c r="T325" s="656" t="str">
        <f>+VLOOKUP($L325,Data_Validation!$A:$D,1,0)</f>
        <v>6414</v>
      </c>
      <c r="U325" s="656" t="str">
        <f>+VLOOKUP($L325,Data_Validation!$A:$D,3,0)</f>
        <v>Service</v>
      </c>
      <c r="V325" s="656" t="str">
        <f>+VLOOKUP($L325,Data_Validation!$A:$D,4,0)</f>
        <v>Publicité 2</v>
      </c>
      <c r="W325" s="656" t="str">
        <f>+VLOOKUP($L325,Data_Validation!$A:$E,5,0)</f>
        <v>$</v>
      </c>
      <c r="X325" s="656">
        <f>+VLOOKUP($L325,Data_Validation!$A:$F,6,0)</f>
        <v>0</v>
      </c>
    </row>
    <row r="326" spans="1:24" ht="15" customHeight="1">
      <c r="A326" s="1252" t="s">
        <v>1169</v>
      </c>
      <c r="B326" s="1252" t="s">
        <v>2439</v>
      </c>
      <c r="C326" s="1254">
        <v>9699.83</v>
      </c>
      <c r="D326" s="1254">
        <v>2941.83</v>
      </c>
      <c r="E326" s="1254">
        <v>12641.66</v>
      </c>
      <c r="F326" s="1252" t="s">
        <v>1154</v>
      </c>
      <c r="G326" s="1252" t="s">
        <v>1170</v>
      </c>
      <c r="H326" s="1252" t="s">
        <v>3955</v>
      </c>
      <c r="I326" s="652"/>
      <c r="J326" s="652"/>
      <c r="K326" s="652"/>
      <c r="L326" s="653" t="str">
        <f t="shared" si="181"/>
        <v>6421</v>
      </c>
      <c r="M326" s="654" t="str">
        <f t="shared" si="182"/>
        <v>SALAIRES - PROPRIETAIRES</v>
      </c>
      <c r="N326" s="655">
        <f>+IF(OR($Q326=Parametres!$G$2,$Q326=Parametres!$G$3),I326,C326)</f>
        <v>9699.83</v>
      </c>
      <c r="O326" s="659">
        <f>+IF(OR($Q326=Parametres!$G$2,$Q326=Parametres!$G$3),J326,D326)</f>
        <v>2941.83</v>
      </c>
      <c r="P326" s="655">
        <f>+IF(OR($Q326=Parametres!$G$2,$Q326=Parametres!$G$3),K326,E326)</f>
        <v>12641.66</v>
      </c>
      <c r="Q326" s="654" t="str">
        <f t="shared" si="183"/>
        <v>7-Dépenses</v>
      </c>
      <c r="R326" s="653" t="str">
        <f t="shared" si="184"/>
        <v>6121</v>
      </c>
      <c r="S326" s="654" t="str">
        <f t="shared" si="185"/>
        <v>_</v>
      </c>
      <c r="T326" s="656" t="str">
        <f>+VLOOKUP($L326,Data_Validation!$A:$D,1,0)</f>
        <v>6421</v>
      </c>
      <c r="U326" s="656" t="str">
        <f>+VLOOKUP($L326,Data_Validation!$A:$D,3,0)</f>
        <v>Service</v>
      </c>
      <c r="V326" s="656" t="str">
        <f>+VLOOKUP($L326,Data_Validation!$A:$D,4,0)</f>
        <v>Salaires propriétaire</v>
      </c>
      <c r="W326" s="656" t="str">
        <f>+VLOOKUP($L326,Data_Validation!$A:$E,5,0)</f>
        <v>$</v>
      </c>
      <c r="X326" s="656">
        <f>+VLOOKUP($L326,Data_Validation!$A:$F,6,0)</f>
        <v>0</v>
      </c>
    </row>
    <row r="327" spans="1:24" ht="15.75" customHeight="1">
      <c r="A327" s="1252" t="s">
        <v>1171</v>
      </c>
      <c r="B327" s="1252" t="s">
        <v>2442</v>
      </c>
      <c r="C327" s="1254">
        <v>46614.11</v>
      </c>
      <c r="D327" s="1254">
        <v>12366.22</v>
      </c>
      <c r="E327" s="1254">
        <v>58980.33</v>
      </c>
      <c r="F327" s="1252" t="s">
        <v>1154</v>
      </c>
      <c r="G327" s="1252" t="s">
        <v>1172</v>
      </c>
      <c r="H327" s="1252" t="s">
        <v>3955</v>
      </c>
      <c r="I327" s="652"/>
      <c r="J327" s="652"/>
      <c r="K327" s="652"/>
      <c r="L327" s="653" t="str">
        <f t="shared" si="181"/>
        <v>6422</v>
      </c>
      <c r="M327" s="654" t="str">
        <f t="shared" si="182"/>
        <v>SAL SUPERVISION / GERANT</v>
      </c>
      <c r="N327" s="655">
        <f>+IF(OR($Q327=Parametres!$G$2,$Q327=Parametres!$G$3),I327,C327)</f>
        <v>46614.11</v>
      </c>
      <c r="O327" s="655">
        <f>+IF(OR($Q327=Parametres!$G$2,$Q327=Parametres!$G$3),J327,D327)</f>
        <v>12366.22</v>
      </c>
      <c r="P327" s="655">
        <f>+IF(OR($Q327=Parametres!$G$2,$Q327=Parametres!$G$3),K327,E327)</f>
        <v>58980.33</v>
      </c>
      <c r="Q327" s="654" t="str">
        <f t="shared" si="183"/>
        <v>7-Dépenses</v>
      </c>
      <c r="R327" s="653" t="str">
        <f t="shared" si="184"/>
        <v>6122</v>
      </c>
      <c r="S327" s="654" t="str">
        <f t="shared" si="185"/>
        <v>_</v>
      </c>
      <c r="T327" s="656" t="str">
        <f>+VLOOKUP($L327,Data_Validation!$A:$D,1,0)</f>
        <v>6422</v>
      </c>
      <c r="U327" s="656" t="str">
        <f>+VLOOKUP($L327,Data_Validation!$A:$D,3,0)</f>
        <v>Service</v>
      </c>
      <c r="V327" s="656" t="str">
        <f>+VLOOKUP($L327,Data_Validation!$A:$D,4,0)</f>
        <v>Salaires cadres</v>
      </c>
      <c r="W327" s="656" t="str">
        <f>+VLOOKUP($L327,Data_Validation!$A:$E,5,0)</f>
        <v>$</v>
      </c>
      <c r="X327" s="656">
        <f>+VLOOKUP($L327,Data_Validation!$A:$F,6,0)</f>
        <v>0</v>
      </c>
    </row>
    <row r="328" spans="1:24" ht="15" customHeight="1">
      <c r="A328" s="1252" t="s">
        <v>1244</v>
      </c>
      <c r="B328" s="1252" t="s">
        <v>2445</v>
      </c>
      <c r="C328" s="1254">
        <v>26129.62</v>
      </c>
      <c r="D328" s="1254">
        <v>7986.65</v>
      </c>
      <c r="E328" s="1254">
        <v>34116.269999999997</v>
      </c>
      <c r="F328" s="1252" t="s">
        <v>1154</v>
      </c>
      <c r="G328" s="1252" t="s">
        <v>1174</v>
      </c>
      <c r="H328" s="1252" t="s">
        <v>3955</v>
      </c>
      <c r="I328" s="652"/>
      <c r="J328" s="652"/>
      <c r="K328" s="652"/>
      <c r="L328" s="653" t="str">
        <f t="shared" si="181"/>
        <v>6423</v>
      </c>
      <c r="M328" s="654" t="str">
        <f t="shared" si="182"/>
        <v>SAL. &amp; RENUM. CLERICAL</v>
      </c>
      <c r="N328" s="655">
        <f>+IF(OR($Q328=Parametres!$G$2,$Q328=Parametres!$G$3),I328,C328)</f>
        <v>26129.62</v>
      </c>
      <c r="O328" s="655">
        <f>+IF(OR($Q328=Parametres!$G$2,$Q328=Parametres!$G$3),J328,D328)</f>
        <v>7986.65</v>
      </c>
      <c r="P328" s="655">
        <f>+IF(OR($Q328=Parametres!$G$2,$Q328=Parametres!$G$3),K328,E328)</f>
        <v>34116.269999999997</v>
      </c>
      <c r="Q328" s="654" t="str">
        <f t="shared" si="183"/>
        <v>7-Dépenses</v>
      </c>
      <c r="R328" s="653" t="str">
        <f t="shared" si="184"/>
        <v>6123</v>
      </c>
      <c r="S328" s="654" t="str">
        <f t="shared" si="185"/>
        <v>_</v>
      </c>
      <c r="T328" s="656" t="str">
        <f>+VLOOKUP($L328,Data_Validation!$A:$D,1,0)</f>
        <v>6423</v>
      </c>
      <c r="U328" s="656" t="str">
        <f>+VLOOKUP($L328,Data_Validation!$A:$D,3,0)</f>
        <v>Service</v>
      </c>
      <c r="V328" s="656" t="str">
        <f>+VLOOKUP($L328,Data_Validation!$A:$D,4,0)</f>
        <v>Salaires commis</v>
      </c>
      <c r="W328" s="656" t="str">
        <f>+VLOOKUP($L328,Data_Validation!$A:$E,5,0)</f>
        <v>$</v>
      </c>
      <c r="X328" s="656">
        <f>+VLOOKUP($L328,Data_Validation!$A:$F,6,0)</f>
        <v>0</v>
      </c>
    </row>
    <row r="329" spans="1:24" ht="15" customHeight="1">
      <c r="A329" s="1252" t="s">
        <v>1175</v>
      </c>
      <c r="B329" s="1252" t="s">
        <v>2448</v>
      </c>
      <c r="C329" s="1254">
        <v>47100.480000000003</v>
      </c>
      <c r="D329" s="1254">
        <v>24058.41</v>
      </c>
      <c r="E329" s="1254">
        <v>71158.89</v>
      </c>
      <c r="F329" s="1252" t="s">
        <v>1154</v>
      </c>
      <c r="G329" s="1252" t="s">
        <v>1176</v>
      </c>
      <c r="H329" s="1252" t="s">
        <v>3955</v>
      </c>
      <c r="I329" s="651"/>
      <c r="J329" s="651"/>
      <c r="K329" s="651"/>
      <c r="L329" s="653" t="str">
        <f t="shared" si="181"/>
        <v>6424</v>
      </c>
      <c r="M329" s="654" t="str">
        <f t="shared" si="182"/>
        <v>SALAIRES &amp; RENUM. - AUTRES</v>
      </c>
      <c r="N329" s="655">
        <f>+IF(OR($Q329=Parametres!$G$2,$Q329=Parametres!$G$3),I329,C329)</f>
        <v>47100.480000000003</v>
      </c>
      <c r="O329" s="655">
        <f>+IF(OR($Q329=Parametres!$G$2,$Q329=Parametres!$G$3),J329,D329)</f>
        <v>24058.41</v>
      </c>
      <c r="P329" s="655">
        <f>+IF(OR($Q329=Parametres!$G$2,$Q329=Parametres!$G$3),K329,E329)</f>
        <v>71158.89</v>
      </c>
      <c r="Q329" s="654" t="str">
        <f t="shared" si="183"/>
        <v>7-Dépenses</v>
      </c>
      <c r="R329" s="653" t="str">
        <f t="shared" si="184"/>
        <v>6124</v>
      </c>
      <c r="S329" s="654" t="str">
        <f t="shared" si="185"/>
        <v>_</v>
      </c>
      <c r="T329" s="656" t="str">
        <f>+VLOOKUP($L329,Data_Validation!$A:$D,1,0)</f>
        <v>6424</v>
      </c>
      <c r="U329" s="656" t="str">
        <f>+VLOOKUP($L329,Data_Validation!$A:$D,3,0)</f>
        <v>Service</v>
      </c>
      <c r="V329" s="656" t="str">
        <f>+VLOOKUP($L329,Data_Validation!$A:$D,4,0)</f>
        <v>Salaires autres</v>
      </c>
      <c r="W329" s="656" t="str">
        <f>+VLOOKUP($L329,Data_Validation!$A:$E,5,0)</f>
        <v>$</v>
      </c>
      <c r="X329" s="656">
        <f>+VLOOKUP($L329,Data_Validation!$A:$F,6,0)</f>
        <v>0</v>
      </c>
    </row>
    <row r="330" spans="1:24" ht="15" customHeight="1">
      <c r="A330" s="1252" t="s">
        <v>1245</v>
      </c>
      <c r="B330" s="1252" t="s">
        <v>2451</v>
      </c>
      <c r="C330" s="1254">
        <v>46992.75</v>
      </c>
      <c r="D330" s="1254">
        <v>24877.040000000001</v>
      </c>
      <c r="E330" s="1254">
        <v>71869.789999999994</v>
      </c>
      <c r="F330" s="1252" t="s">
        <v>1154</v>
      </c>
      <c r="G330" s="1252" t="s">
        <v>1246</v>
      </c>
      <c r="H330" s="1252" t="s">
        <v>3955</v>
      </c>
      <c r="I330" s="663"/>
      <c r="J330" s="663"/>
      <c r="K330" s="663"/>
      <c r="L330" s="653" t="str">
        <f t="shared" si="181"/>
        <v>6425</v>
      </c>
      <c r="M330" s="654" t="str">
        <f t="shared" si="182"/>
        <v>SALAIRE SPECIALISTES</v>
      </c>
      <c r="N330" s="655">
        <f>+IF(OR($Q330=Parametres!$G$2,$Q330=Parametres!$G$3),I330,C330)</f>
        <v>46992.75</v>
      </c>
      <c r="O330" s="655">
        <f>+IF(OR($Q330=Parametres!$G$2,$Q330=Parametres!$G$3),J330,D330)</f>
        <v>24877.040000000001</v>
      </c>
      <c r="P330" s="655">
        <f>+IF(OR($Q330=Parametres!$G$2,$Q330=Parametres!$G$3),K330,E330)</f>
        <v>71869.789999999994</v>
      </c>
      <c r="Q330" s="654" t="str">
        <f t="shared" si="183"/>
        <v>7-Dépenses</v>
      </c>
      <c r="R330" s="653" t="str">
        <f t="shared" si="184"/>
        <v>6125</v>
      </c>
      <c r="S330" s="654" t="str">
        <f t="shared" si="185"/>
        <v>_</v>
      </c>
      <c r="T330" s="656" t="str">
        <f>+VLOOKUP($L330,Data_Validation!$A:$D,1,0)</f>
        <v>6425</v>
      </c>
      <c r="U330" s="656" t="str">
        <f>+VLOOKUP($L330,Data_Validation!$A:$D,3,0)</f>
        <v>Service</v>
      </c>
      <c r="V330" s="656" t="str">
        <f>+VLOOKUP($L330,Data_Validation!$A:$D,4,0)</f>
        <v>Salaires spécialistes</v>
      </c>
      <c r="W330" s="656" t="str">
        <f>+VLOOKUP($L330,Data_Validation!$A:$E,5,0)</f>
        <v>$</v>
      </c>
      <c r="X330" s="656">
        <f>+VLOOKUP($L330,Data_Validation!$A:$F,6,0)</f>
        <v>0</v>
      </c>
    </row>
    <row r="331" spans="1:24" ht="15" customHeight="1">
      <c r="A331" s="1252" t="s">
        <v>1247</v>
      </c>
      <c r="B331" s="1252" t="s">
        <v>2454</v>
      </c>
      <c r="C331" s="1254">
        <v>42373.62</v>
      </c>
      <c r="D331" s="1254">
        <v>17889.96</v>
      </c>
      <c r="E331" s="1254">
        <v>60263.58</v>
      </c>
      <c r="F331" s="1252" t="s">
        <v>1154</v>
      </c>
      <c r="G331" s="1252" t="s">
        <v>1178</v>
      </c>
      <c r="H331" s="1252" t="s">
        <v>3955</v>
      </c>
      <c r="I331" s="663"/>
      <c r="J331" s="663"/>
      <c r="K331" s="663"/>
      <c r="L331" s="653" t="str">
        <f t="shared" si="181"/>
        <v>6429</v>
      </c>
      <c r="M331" s="654" t="str">
        <f t="shared" si="182"/>
        <v>SAL.,VACANCE, &amp; SAL. JOURS FER</v>
      </c>
      <c r="N331" s="655">
        <f>+IF(OR($Q331=Parametres!$G$2,$Q331=Parametres!$G$3),I331,C331)</f>
        <v>42373.62</v>
      </c>
      <c r="O331" s="655">
        <f>+IF(OR($Q331=Parametres!$G$2,$Q331=Parametres!$G$3),J331,D331)</f>
        <v>17889.96</v>
      </c>
      <c r="P331" s="655">
        <f>+IF(OR($Q331=Parametres!$G$2,$Q331=Parametres!$G$3),K331,E331)</f>
        <v>60263.58</v>
      </c>
      <c r="Q331" s="654" t="str">
        <f t="shared" si="183"/>
        <v>7-Dépenses</v>
      </c>
      <c r="R331" s="653" t="str">
        <f t="shared" si="184"/>
        <v>6129</v>
      </c>
      <c r="S331" s="654" t="str">
        <f t="shared" si="185"/>
        <v>_</v>
      </c>
      <c r="T331" s="656" t="str">
        <f>+VLOOKUP($L331,Data_Validation!$A:$D,1,0)</f>
        <v>6429</v>
      </c>
      <c r="U331" s="656" t="str">
        <f>+VLOOKUP($L331,Data_Validation!$A:$D,3,0)</f>
        <v>Service</v>
      </c>
      <c r="V331" s="656" t="str">
        <f>+VLOOKUP($L331,Data_Validation!$A:$D,4,0)</f>
        <v>Salaires en absences</v>
      </c>
      <c r="W331" s="656" t="str">
        <f>+VLOOKUP($L331,Data_Validation!$A:$E,5,0)</f>
        <v>$</v>
      </c>
      <c r="X331" s="656">
        <f>+VLOOKUP($L331,Data_Validation!$A:$F,6,0)</f>
        <v>0</v>
      </c>
    </row>
    <row r="332" spans="1:24" ht="15" customHeight="1">
      <c r="A332" s="1252" t="s">
        <v>1179</v>
      </c>
      <c r="B332" s="1252" t="s">
        <v>2457</v>
      </c>
      <c r="C332" s="1254">
        <v>11850.34</v>
      </c>
      <c r="D332" s="1254">
        <v>4529.1000000000004</v>
      </c>
      <c r="E332" s="1254">
        <v>16379.44</v>
      </c>
      <c r="F332" s="1252" t="s">
        <v>1154</v>
      </c>
      <c r="G332" s="1252" t="s">
        <v>1180</v>
      </c>
      <c r="H332" s="1252" t="s">
        <v>3955</v>
      </c>
      <c r="I332" s="663"/>
      <c r="J332" s="663"/>
      <c r="K332" s="663"/>
      <c r="L332" s="653" t="str">
        <f t="shared" si="181"/>
        <v>6431</v>
      </c>
      <c r="M332" s="654" t="str">
        <f t="shared" si="182"/>
        <v>CSST</v>
      </c>
      <c r="N332" s="655">
        <f>+IF(OR($Q332=Parametres!$G$2,$Q332=Parametres!$G$3),I332,C332)</f>
        <v>11850.34</v>
      </c>
      <c r="O332" s="655">
        <f>+IF(OR($Q332=Parametres!$G$2,$Q332=Parametres!$G$3),J332,D332)</f>
        <v>4529.1000000000004</v>
      </c>
      <c r="P332" s="655">
        <f>+IF(OR($Q332=Parametres!$G$2,$Q332=Parametres!$G$3),K332,E332)</f>
        <v>16379.44</v>
      </c>
      <c r="Q332" s="654" t="str">
        <f t="shared" si="183"/>
        <v>7-Dépenses</v>
      </c>
      <c r="R332" s="653" t="str">
        <f t="shared" si="184"/>
        <v>6131</v>
      </c>
      <c r="S332" s="654" t="str">
        <f t="shared" si="185"/>
        <v>_</v>
      </c>
      <c r="T332" s="656" t="str">
        <f>+VLOOKUP($L332,Data_Validation!$A:$D,1,0)</f>
        <v>6431</v>
      </c>
      <c r="U332" s="656" t="str">
        <f>+VLOOKUP($L332,Data_Validation!$A:$D,3,0)</f>
        <v>Service</v>
      </c>
      <c r="V332" s="656" t="str">
        <f>+VLOOKUP($L332,Data_Validation!$A:$D,4,0)</f>
        <v>Csst</v>
      </c>
      <c r="W332" s="656" t="str">
        <f>+VLOOKUP($L332,Data_Validation!$A:$E,5,0)</f>
        <v>$</v>
      </c>
      <c r="X332" s="656">
        <f>+VLOOKUP($L332,Data_Validation!$A:$F,6,0)</f>
        <v>0</v>
      </c>
    </row>
    <row r="333" spans="1:24" ht="15.75" customHeight="1">
      <c r="A333" s="1252" t="s">
        <v>1181</v>
      </c>
      <c r="B333" s="1252" t="s">
        <v>2460</v>
      </c>
      <c r="C333" s="1254">
        <v>51085.08</v>
      </c>
      <c r="D333" s="1254">
        <v>22915.759999999998</v>
      </c>
      <c r="E333" s="1254">
        <v>74000.84</v>
      </c>
      <c r="F333" s="1252" t="s">
        <v>1154</v>
      </c>
      <c r="G333" s="1252" t="s">
        <v>1182</v>
      </c>
      <c r="H333" s="1252" t="s">
        <v>3955</v>
      </c>
      <c r="I333" s="652"/>
      <c r="J333" s="652"/>
      <c r="K333" s="652"/>
      <c r="L333" s="653" t="str">
        <f t="shared" si="181"/>
        <v>6432</v>
      </c>
      <c r="M333" s="654" t="str">
        <f t="shared" si="182"/>
        <v>RRQ RAMQ AC</v>
      </c>
      <c r="N333" s="655">
        <f>+IF(OR($Q333=Parametres!$G$2,$Q333=Parametres!$G$3),I333,C333)</f>
        <v>51085.08</v>
      </c>
      <c r="O333" s="655">
        <f>+IF(OR($Q333=Parametres!$G$2,$Q333=Parametres!$G$3),J333,D333)</f>
        <v>22915.759999999998</v>
      </c>
      <c r="P333" s="655">
        <f>+IF(OR($Q333=Parametres!$G$2,$Q333=Parametres!$G$3),K333,E333)</f>
        <v>74000.84</v>
      </c>
      <c r="Q333" s="654" t="str">
        <f t="shared" si="183"/>
        <v>7-Dépenses</v>
      </c>
      <c r="R333" s="653" t="str">
        <f t="shared" si="184"/>
        <v>6132</v>
      </c>
      <c r="S333" s="654" t="str">
        <f t="shared" si="185"/>
        <v>_</v>
      </c>
      <c r="T333" s="656" t="str">
        <f>+VLOOKUP($L333,Data_Validation!$A:$D,1,0)</f>
        <v>6432</v>
      </c>
      <c r="U333" s="656" t="str">
        <f>+VLOOKUP($L333,Data_Validation!$A:$D,3,0)</f>
        <v>Service</v>
      </c>
      <c r="V333" s="656" t="str">
        <f>+VLOOKUP($L333,Data_Validation!$A:$D,4,0)</f>
        <v>Déduction à la source</v>
      </c>
      <c r="W333" s="656" t="str">
        <f>+VLOOKUP($L333,Data_Validation!$A:$E,5,0)</f>
        <v>$</v>
      </c>
      <c r="X333" s="656">
        <f>+VLOOKUP($L333,Data_Validation!$A:$F,6,0)</f>
        <v>0</v>
      </c>
    </row>
    <row r="334" spans="1:24" ht="15.75" customHeight="1">
      <c r="A334" s="1252" t="s">
        <v>1248</v>
      </c>
      <c r="B334" s="1252" t="s">
        <v>2463</v>
      </c>
      <c r="C334" s="1254">
        <v>10602.53</v>
      </c>
      <c r="D334" s="1254">
        <v>6765.3</v>
      </c>
      <c r="E334" s="1254">
        <v>17367.830000000002</v>
      </c>
      <c r="F334" s="1252" t="s">
        <v>1154</v>
      </c>
      <c r="G334" s="1252" t="s">
        <v>1184</v>
      </c>
      <c r="H334" s="1252" t="s">
        <v>3955</v>
      </c>
      <c r="I334" s="663"/>
      <c r="J334" s="663"/>
      <c r="K334" s="663"/>
      <c r="L334" s="653" t="str">
        <f t="shared" si="181"/>
        <v>6433</v>
      </c>
      <c r="M334" s="654" t="str">
        <f t="shared" si="182"/>
        <v>FOND PENSION - SERVICE</v>
      </c>
      <c r="N334" s="655">
        <f>+IF(OR($Q334=Parametres!$G$2,$Q334=Parametres!$G$3),I334,C334)</f>
        <v>10602.53</v>
      </c>
      <c r="O334" s="655">
        <f>+IF(OR($Q334=Parametres!$G$2,$Q334=Parametres!$G$3),J334,D334)</f>
        <v>6765.3</v>
      </c>
      <c r="P334" s="655">
        <f>+IF(OR($Q334=Parametres!$G$2,$Q334=Parametres!$G$3),K334,E334)</f>
        <v>17367.830000000002</v>
      </c>
      <c r="Q334" s="654" t="str">
        <f t="shared" si="183"/>
        <v>7-Dépenses</v>
      </c>
      <c r="R334" s="653" t="str">
        <f t="shared" si="184"/>
        <v>6133</v>
      </c>
      <c r="S334" s="654" t="str">
        <f t="shared" si="185"/>
        <v>_</v>
      </c>
      <c r="T334" s="656" t="str">
        <f>+VLOOKUP($L334,Data_Validation!$A:$D,1,0)</f>
        <v>6433</v>
      </c>
      <c r="U334" s="656" t="str">
        <f>+VLOOKUP($L334,Data_Validation!$A:$D,3,0)</f>
        <v>Service</v>
      </c>
      <c r="V334" s="656" t="str">
        <f>+VLOOKUP($L334,Data_Validation!$A:$D,4,0)</f>
        <v>Bénéfices marginaux</v>
      </c>
      <c r="W334" s="656" t="str">
        <f>+VLOOKUP($L334,Data_Validation!$A:$E,5,0)</f>
        <v>$</v>
      </c>
      <c r="X334" s="656">
        <f>+VLOOKUP($L334,Data_Validation!$A:$F,6,0)</f>
        <v>0</v>
      </c>
    </row>
    <row r="335" spans="1:24" ht="15" customHeight="1">
      <c r="A335" s="1252" t="s">
        <v>1231</v>
      </c>
      <c r="B335" s="1252" t="s">
        <v>2466</v>
      </c>
      <c r="C335" s="1254">
        <v>16095.59</v>
      </c>
      <c r="D335" s="1254">
        <v>5143.2</v>
      </c>
      <c r="E335" s="1254">
        <v>21238.79</v>
      </c>
      <c r="F335" s="1252" t="s">
        <v>1154</v>
      </c>
      <c r="G335" s="1252" t="s">
        <v>1186</v>
      </c>
      <c r="H335" s="1252" t="s">
        <v>3955</v>
      </c>
      <c r="I335" s="652"/>
      <c r="J335" s="652"/>
      <c r="K335" s="652"/>
      <c r="L335" s="653" t="str">
        <f t="shared" si="181"/>
        <v>6439</v>
      </c>
      <c r="M335" s="654" t="str">
        <f t="shared" si="182"/>
        <v>ASSURANCE GROUPE</v>
      </c>
      <c r="N335" s="655">
        <f>+IF(OR($Q335=Parametres!$G$2,$Q335=Parametres!$G$3),I335,C335)</f>
        <v>16095.59</v>
      </c>
      <c r="O335" s="655">
        <f>+IF(OR($Q335=Parametres!$G$2,$Q335=Parametres!$G$3),J335,D335)</f>
        <v>5143.2</v>
      </c>
      <c r="P335" s="655">
        <f>+IF(OR($Q335=Parametres!$G$2,$Q335=Parametres!$G$3),K335,E335)</f>
        <v>21238.79</v>
      </c>
      <c r="Q335" s="654" t="str">
        <f t="shared" si="183"/>
        <v>7-Dépenses</v>
      </c>
      <c r="R335" s="653" t="str">
        <f t="shared" si="184"/>
        <v>6139</v>
      </c>
      <c r="S335" s="654" t="str">
        <f t="shared" si="185"/>
        <v>_</v>
      </c>
      <c r="T335" s="656" t="str">
        <f>+VLOOKUP($L335,Data_Validation!$A:$D,1,0)</f>
        <v>6439</v>
      </c>
      <c r="U335" s="656" t="str">
        <f>+VLOOKUP($L335,Data_Validation!$A:$D,3,0)</f>
        <v>Service</v>
      </c>
      <c r="V335" s="656" t="str">
        <f>+VLOOKUP($L335,Data_Validation!$A:$D,4,0)</f>
        <v>Bénéfices marginaux</v>
      </c>
      <c r="W335" s="656" t="str">
        <f>+VLOOKUP($L335,Data_Validation!$A:$E,5,0)</f>
        <v>$</v>
      </c>
      <c r="X335" s="656">
        <f>+VLOOKUP($L335,Data_Validation!$A:$F,6,0)</f>
        <v>0</v>
      </c>
    </row>
    <row r="336" spans="1:24" ht="15" customHeight="1">
      <c r="A336" s="1252" t="s">
        <v>1249</v>
      </c>
      <c r="B336" s="1252" t="s">
        <v>2472</v>
      </c>
      <c r="C336" s="1254">
        <v>615.42999999999995</v>
      </c>
      <c r="D336" s="1254">
        <v>765.17</v>
      </c>
      <c r="E336" s="1254">
        <v>1380.6</v>
      </c>
      <c r="F336" s="1252" t="s">
        <v>1154</v>
      </c>
      <c r="G336" s="1252" t="s">
        <v>1242</v>
      </c>
      <c r="H336" s="1252" t="s">
        <v>3955</v>
      </c>
      <c r="I336" s="652"/>
      <c r="J336" s="652"/>
      <c r="K336" s="652"/>
      <c r="L336" s="653" t="str">
        <f t="shared" si="181"/>
        <v>6441</v>
      </c>
      <c r="M336" s="654" t="str">
        <f t="shared" si="182"/>
        <v>RETOURS</v>
      </c>
      <c r="N336" s="655">
        <f>+IF(OR($Q336=Parametres!$G$2,$Q336=Parametres!$G$3),I336,C336)</f>
        <v>615.42999999999995</v>
      </c>
      <c r="O336" s="655">
        <f>+IF(OR($Q336=Parametres!$G$2,$Q336=Parametres!$G$3),J336,D336)</f>
        <v>765.17</v>
      </c>
      <c r="P336" s="655">
        <f>+IF(OR($Q336=Parametres!$G$2,$Q336=Parametres!$G$3),K336,E336)</f>
        <v>1380.6</v>
      </c>
      <c r="Q336" s="654" t="str">
        <f t="shared" si="183"/>
        <v>7-Dépenses</v>
      </c>
      <c r="R336" s="653" t="str">
        <f t="shared" si="184"/>
        <v>6112</v>
      </c>
      <c r="S336" s="654" t="str">
        <f t="shared" si="185"/>
        <v>_</v>
      </c>
      <c r="T336" s="656" t="str">
        <f>+VLOOKUP($L336,Data_Validation!$A:$D,1,0)</f>
        <v>6441</v>
      </c>
      <c r="U336" s="656" t="str">
        <f>+VLOOKUP($L336,Data_Validation!$A:$D,3,0)</f>
        <v>Service</v>
      </c>
      <c r="V336" s="656" t="str">
        <f>+VLOOKUP($L336,Data_Validation!$A:$D,4,0)</f>
        <v>Service gratuit 2</v>
      </c>
      <c r="W336" s="656" t="str">
        <f>+VLOOKUP($L336,Data_Validation!$A:$E,5,0)</f>
        <v>$</v>
      </c>
      <c r="X336" s="656">
        <f>+VLOOKUP($L336,Data_Validation!$A:$F,6,0)</f>
        <v>0</v>
      </c>
    </row>
    <row r="337" spans="1:24" ht="15" customHeight="1">
      <c r="A337" s="1252" t="s">
        <v>1187</v>
      </c>
      <c r="B337" s="1252" t="s">
        <v>2475</v>
      </c>
      <c r="C337" s="1254">
        <v>15157.16</v>
      </c>
      <c r="D337" s="1254">
        <v>5855.42</v>
      </c>
      <c r="E337" s="1254">
        <v>21012.58</v>
      </c>
      <c r="F337" s="1252" t="s">
        <v>1154</v>
      </c>
      <c r="G337" s="1252" t="s">
        <v>1188</v>
      </c>
      <c r="H337" s="1252" t="s">
        <v>3955</v>
      </c>
      <c r="I337" s="1202"/>
      <c r="J337" s="1202"/>
      <c r="K337" s="1202"/>
      <c r="L337" s="653" t="str">
        <f t="shared" si="181"/>
        <v>6442</v>
      </c>
      <c r="M337" s="654" t="str">
        <f t="shared" si="182"/>
        <v>FOURNITURES &amp; PETITS OUTILS</v>
      </c>
      <c r="N337" s="655">
        <f>+IF(OR($Q337=Parametres!$G$2,$Q337=Parametres!$G$3),I337,C337)</f>
        <v>15157.16</v>
      </c>
      <c r="O337" s="655">
        <f>+IF(OR($Q337=Parametres!$G$2,$Q337=Parametres!$G$3),J337,D337)</f>
        <v>5855.42</v>
      </c>
      <c r="P337" s="655">
        <f>+IF(OR($Q337=Parametres!$G$2,$Q337=Parametres!$G$3),K337,E337)</f>
        <v>21012.58</v>
      </c>
      <c r="Q337" s="654" t="str">
        <f t="shared" si="183"/>
        <v>7-Dépenses</v>
      </c>
      <c r="R337" s="653" t="str">
        <f t="shared" si="184"/>
        <v>6142</v>
      </c>
      <c r="S337" s="654" t="str">
        <f t="shared" si="185"/>
        <v>_</v>
      </c>
      <c r="T337" s="656" t="str">
        <f>+VLOOKUP($L337,Data_Validation!$A:$D,1,0)</f>
        <v>6442</v>
      </c>
      <c r="U337" s="656" t="str">
        <f>+VLOOKUP($L337,Data_Validation!$A:$D,3,0)</f>
        <v>Service</v>
      </c>
      <c r="V337" s="656" t="str">
        <f>+VLOOKUP($L337,Data_Validation!$A:$D,4,0)</f>
        <v>Fournitures autres</v>
      </c>
      <c r="W337" s="656" t="str">
        <f>+VLOOKUP($L337,Data_Validation!$A:$E,5,0)</f>
        <v>$</v>
      </c>
      <c r="X337" s="656">
        <f>+VLOOKUP($L337,Data_Validation!$A:$F,6,0)</f>
        <v>0</v>
      </c>
    </row>
    <row r="338" spans="1:24" ht="15.75" customHeight="1">
      <c r="A338" s="1252" t="s">
        <v>1189</v>
      </c>
      <c r="B338" s="1252" t="s">
        <v>2478</v>
      </c>
      <c r="C338" s="1254">
        <v>1694.93</v>
      </c>
      <c r="D338" s="1254">
        <v>793.22</v>
      </c>
      <c r="E338" s="1254">
        <v>2488.15</v>
      </c>
      <c r="F338" s="1252" t="s">
        <v>1154</v>
      </c>
      <c r="G338" s="1252" t="s">
        <v>1190</v>
      </c>
      <c r="H338" s="1252" t="s">
        <v>3955</v>
      </c>
      <c r="I338" s="1202"/>
      <c r="J338" s="1202"/>
      <c r="K338" s="1202"/>
      <c r="L338" s="653" t="str">
        <f t="shared" si="181"/>
        <v>6443</v>
      </c>
      <c r="M338" s="654" t="str">
        <f t="shared" si="182"/>
        <v>UNIFORMES &amp; LESSIVE</v>
      </c>
      <c r="N338" s="655">
        <f>+IF(OR($Q338=Parametres!$G$2,$Q338=Parametres!$G$3),I338,C338)</f>
        <v>1694.93</v>
      </c>
      <c r="O338" s="659">
        <f>+IF(OR($Q338=Parametres!$G$2,$Q338=Parametres!$G$3),J338,D338)</f>
        <v>793.22</v>
      </c>
      <c r="P338" s="655">
        <f>+IF(OR($Q338=Parametres!$G$2,$Q338=Parametres!$G$3),K338,E338)</f>
        <v>2488.15</v>
      </c>
      <c r="Q338" s="654" t="str">
        <f t="shared" si="183"/>
        <v>7-Dépenses</v>
      </c>
      <c r="R338" s="653" t="str">
        <f t="shared" si="184"/>
        <v>6143</v>
      </c>
      <c r="S338" s="654" t="str">
        <f t="shared" si="185"/>
        <v>_</v>
      </c>
      <c r="T338" s="656" t="str">
        <f>+VLOOKUP($L338,Data_Validation!$A:$D,1,0)</f>
        <v>6443</v>
      </c>
      <c r="U338" s="656" t="str">
        <f>+VLOOKUP($L338,Data_Validation!$A:$D,3,0)</f>
        <v>Service</v>
      </c>
      <c r="V338" s="656" t="str">
        <f>+VLOOKUP($L338,Data_Validation!$A:$D,4,0)</f>
        <v>Uniformes</v>
      </c>
      <c r="W338" s="656" t="str">
        <f>+VLOOKUP($L338,Data_Validation!$A:$E,5,0)</f>
        <v>$</v>
      </c>
      <c r="X338" s="656">
        <f>+VLOOKUP($L338,Data_Validation!$A:$F,6,0)</f>
        <v>0</v>
      </c>
    </row>
    <row r="339" spans="1:24" ht="15" customHeight="1">
      <c r="A339" s="1252" t="s">
        <v>1191</v>
      </c>
      <c r="B339" s="1252" t="s">
        <v>2481</v>
      </c>
      <c r="C339" s="1254">
        <v>2689.56</v>
      </c>
      <c r="D339" s="1254">
        <v>1047.57</v>
      </c>
      <c r="E339" s="1254">
        <v>3737.13</v>
      </c>
      <c r="F339" s="1252" t="s">
        <v>1154</v>
      </c>
      <c r="G339" s="1252" t="s">
        <v>1192</v>
      </c>
      <c r="H339" s="1252" t="s">
        <v>3955</v>
      </c>
      <c r="I339" s="1202"/>
      <c r="J339" s="1202"/>
      <c r="K339" s="1202"/>
      <c r="L339" s="653" t="str">
        <f t="shared" si="181"/>
        <v>6444</v>
      </c>
      <c r="M339" s="654" t="str">
        <f t="shared" si="182"/>
        <v>FORMATION</v>
      </c>
      <c r="N339" s="655">
        <f>+IF(OR($Q339=Parametres!$G$2,$Q339=Parametres!$G$3),I339,C339)</f>
        <v>2689.56</v>
      </c>
      <c r="O339" s="655">
        <f>+IF(OR($Q339=Parametres!$G$2,$Q339=Parametres!$G$3),J339,D339)</f>
        <v>1047.57</v>
      </c>
      <c r="P339" s="655">
        <f>+IF(OR($Q339=Parametres!$G$2,$Q339=Parametres!$G$3),K339,E339)</f>
        <v>3737.13</v>
      </c>
      <c r="Q339" s="654" t="str">
        <f t="shared" si="183"/>
        <v>7-Dépenses</v>
      </c>
      <c r="R339" s="653" t="str">
        <f t="shared" si="184"/>
        <v>6144</v>
      </c>
      <c r="S339" s="654" t="str">
        <f t="shared" si="185"/>
        <v>_</v>
      </c>
      <c r="T339" s="656" t="str">
        <f>+VLOOKUP($L339,Data_Validation!$A:$D,1,0)</f>
        <v>6444</v>
      </c>
      <c r="U339" s="656" t="str">
        <f>+VLOOKUP($L339,Data_Validation!$A:$D,3,0)</f>
        <v>Service</v>
      </c>
      <c r="V339" s="656" t="str">
        <f>+VLOOKUP($L339,Data_Validation!$A:$D,4,0)</f>
        <v>Formation</v>
      </c>
      <c r="W339" s="656" t="str">
        <f>+VLOOKUP($L339,Data_Validation!$A:$E,5,0)</f>
        <v>$</v>
      </c>
      <c r="X339" s="656">
        <f>+VLOOKUP($L339,Data_Validation!$A:$F,6,0)</f>
        <v>0</v>
      </c>
    </row>
    <row r="340" spans="1:24" ht="15" customHeight="1">
      <c r="A340" s="1252" t="s">
        <v>1250</v>
      </c>
      <c r="B340" s="1252" t="s">
        <v>2484</v>
      </c>
      <c r="C340" s="1254">
        <v>25258.080000000002</v>
      </c>
      <c r="D340" s="1254">
        <v>12388.42</v>
      </c>
      <c r="E340" s="1254">
        <v>37646.5</v>
      </c>
      <c r="F340" s="1252" t="s">
        <v>1154</v>
      </c>
      <c r="G340" s="1252" t="s">
        <v>1194</v>
      </c>
      <c r="H340" s="1252" t="s">
        <v>3955</v>
      </c>
      <c r="I340" s="1202"/>
      <c r="J340" s="1202"/>
      <c r="K340" s="1202"/>
      <c r="L340" s="653" t="str">
        <f t="shared" si="181"/>
        <v>6445</v>
      </c>
      <c r="M340" s="654" t="str">
        <f t="shared" si="182"/>
        <v>LOCATION COURTOISIE</v>
      </c>
      <c r="N340" s="655">
        <f>+IF(OR($Q340=Parametres!$G$2,$Q340=Parametres!$G$3),I340,C340)</f>
        <v>25258.080000000002</v>
      </c>
      <c r="O340" s="659">
        <f>+IF(OR($Q340=Parametres!$G$2,$Q340=Parametres!$G$3),J340,D340)</f>
        <v>12388.42</v>
      </c>
      <c r="P340" s="655">
        <f>+IF(OR($Q340=Parametres!$G$2,$Q340=Parametres!$G$3),K340,E340)</f>
        <v>37646.5</v>
      </c>
      <c r="Q340" s="654" t="str">
        <f t="shared" si="183"/>
        <v>7-Dépenses</v>
      </c>
      <c r="R340" s="653" t="str">
        <f t="shared" si="184"/>
        <v>6145</v>
      </c>
      <c r="S340" s="654" t="str">
        <f t="shared" si="185"/>
        <v>_</v>
      </c>
      <c r="T340" s="656" t="str">
        <f>+VLOOKUP($L340,Data_Validation!$A:$D,1,0)</f>
        <v>6445</v>
      </c>
      <c r="U340" s="656" t="str">
        <f>+VLOOKUP($L340,Data_Validation!$A:$D,3,0)</f>
        <v>Service</v>
      </c>
      <c r="V340" s="656" t="str">
        <f>+VLOOKUP($L340,Data_Validation!$A:$D,4,0)</f>
        <v>Frais véhicules de cie</v>
      </c>
      <c r="W340" s="656" t="str">
        <f>+VLOOKUP($L340,Data_Validation!$A:$E,5,0)</f>
        <v>$</v>
      </c>
      <c r="X340" s="656">
        <f>+VLOOKUP($L340,Data_Validation!$A:$F,6,0)</f>
        <v>0</v>
      </c>
    </row>
    <row r="341" spans="1:24" ht="15" customHeight="1">
      <c r="A341" s="1252" t="s">
        <v>1195</v>
      </c>
      <c r="B341" s="1252" t="s">
        <v>2487</v>
      </c>
      <c r="C341" s="1254">
        <v>1372.12</v>
      </c>
      <c r="D341" s="1254">
        <v>551.49</v>
      </c>
      <c r="E341" s="1254">
        <v>1923.61</v>
      </c>
      <c r="F341" s="1252" t="s">
        <v>1154</v>
      </c>
      <c r="G341" s="1252" t="s">
        <v>1196</v>
      </c>
      <c r="H341" s="1252" t="s">
        <v>3955</v>
      </c>
      <c r="I341" s="1202"/>
      <c r="J341" s="1202"/>
      <c r="K341" s="1202"/>
      <c r="L341" s="653" t="str">
        <f t="shared" si="181"/>
        <v>6447</v>
      </c>
      <c r="M341" s="654" t="str">
        <f t="shared" si="182"/>
        <v>FRET/EXPRESS/TRANS. PAR CAMION</v>
      </c>
      <c r="N341" s="655">
        <f>+IF(OR($Q341=Parametres!$G$2,$Q341=Parametres!$G$3),I341,C341)</f>
        <v>1372.12</v>
      </c>
      <c r="O341" s="659">
        <f>+IF(OR($Q341=Parametres!$G$2,$Q341=Parametres!$G$3),J341,D341)</f>
        <v>551.49</v>
      </c>
      <c r="P341" s="655">
        <f>+IF(OR($Q341=Parametres!$G$2,$Q341=Parametres!$G$3),K341,E341)</f>
        <v>1923.61</v>
      </c>
      <c r="Q341" s="654" t="str">
        <f t="shared" si="183"/>
        <v>7-Dépenses</v>
      </c>
      <c r="R341" s="653" t="str">
        <f t="shared" si="184"/>
        <v>6147</v>
      </c>
      <c r="S341" s="654" t="str">
        <f t="shared" si="185"/>
        <v>_</v>
      </c>
      <c r="T341" s="656" t="str">
        <f>+VLOOKUP($L341,Data_Validation!$A:$D,1,0)</f>
        <v>6447</v>
      </c>
      <c r="U341" s="656" t="str">
        <f>+VLOOKUP($L341,Data_Validation!$A:$D,3,0)</f>
        <v>Service</v>
      </c>
      <c r="V341" s="656" t="str">
        <f>+VLOOKUP($L341,Data_Validation!$A:$D,4,0)</f>
        <v>Frais postaux</v>
      </c>
      <c r="W341" s="656" t="str">
        <f>+VLOOKUP($L341,Data_Validation!$A:$E,5,0)</f>
        <v>$</v>
      </c>
      <c r="X341" s="656">
        <f>+VLOOKUP($L341,Data_Validation!$A:$F,6,0)</f>
        <v>0</v>
      </c>
    </row>
    <row r="342" spans="1:24" ht="15" customHeight="1">
      <c r="A342" s="1252" t="s">
        <v>1197</v>
      </c>
      <c r="B342" s="1252" t="s">
        <v>2490</v>
      </c>
      <c r="C342" s="1254">
        <v>14963.62</v>
      </c>
      <c r="D342" s="1254">
        <v>4747.1400000000003</v>
      </c>
      <c r="E342" s="1254">
        <v>19710.759999999998</v>
      </c>
      <c r="F342" s="1252" t="s">
        <v>1154</v>
      </c>
      <c r="G342" s="1252" t="s">
        <v>1198</v>
      </c>
      <c r="H342" s="1252" t="s">
        <v>3955</v>
      </c>
      <c r="I342" s="1202"/>
      <c r="J342" s="1202"/>
      <c r="K342" s="1202"/>
      <c r="L342" s="653" t="str">
        <f t="shared" si="181"/>
        <v>6451</v>
      </c>
      <c r="M342" s="654" t="str">
        <f t="shared" si="182"/>
        <v>DEP. DU TRAITEMENT DES DONNEES</v>
      </c>
      <c r="N342" s="655">
        <f>+IF(OR($Q342=Parametres!$G$2,$Q342=Parametres!$G$3),I342,C342)</f>
        <v>14963.62</v>
      </c>
      <c r="O342" s="655">
        <f>+IF(OR($Q342=Parametres!$G$2,$Q342=Parametres!$G$3),J342,D342)</f>
        <v>4747.1400000000003</v>
      </c>
      <c r="P342" s="655">
        <f>+IF(OR($Q342=Parametres!$G$2,$Q342=Parametres!$G$3),K342,E342)</f>
        <v>19710.759999999998</v>
      </c>
      <c r="Q342" s="654" t="str">
        <f t="shared" si="183"/>
        <v>7-Dépenses</v>
      </c>
      <c r="R342" s="653" t="str">
        <f t="shared" si="184"/>
        <v>6151</v>
      </c>
      <c r="S342" s="654" t="str">
        <f t="shared" si="185"/>
        <v>_</v>
      </c>
      <c r="T342" s="656" t="str">
        <f>+VLOOKUP($L342,Data_Validation!$A:$D,1,0)</f>
        <v>6451</v>
      </c>
      <c r="U342" s="656" t="str">
        <f>+VLOOKUP($L342,Data_Validation!$A:$D,3,0)</f>
        <v>Service</v>
      </c>
      <c r="V342" s="656" t="str">
        <f>+VLOOKUP($L342,Data_Validation!$A:$D,4,0)</f>
        <v>Informatique</v>
      </c>
      <c r="W342" s="656" t="str">
        <f>+VLOOKUP($L342,Data_Validation!$A:$E,5,0)</f>
        <v>$</v>
      </c>
      <c r="X342" s="656">
        <f>+VLOOKUP($L342,Data_Validation!$A:$F,6,0)</f>
        <v>0</v>
      </c>
    </row>
    <row r="343" spans="1:24" ht="15.75" customHeight="1">
      <c r="A343" s="1252" t="s">
        <v>1199</v>
      </c>
      <c r="B343" s="1252" t="s">
        <v>2493</v>
      </c>
      <c r="C343" s="1254">
        <v>2235.09</v>
      </c>
      <c r="D343" s="1254">
        <v>43.61</v>
      </c>
      <c r="E343" s="1254">
        <v>2278.6999999999998</v>
      </c>
      <c r="F343" s="1252" t="s">
        <v>1154</v>
      </c>
      <c r="G343" s="1252" t="s">
        <v>1200</v>
      </c>
      <c r="H343" s="1252" t="s">
        <v>3955</v>
      </c>
      <c r="I343" s="1202"/>
      <c r="J343" s="1202"/>
      <c r="K343" s="1202"/>
      <c r="L343" s="653" t="str">
        <f t="shared" si="181"/>
        <v>6452</v>
      </c>
      <c r="M343" s="654" t="str">
        <f t="shared" si="182"/>
        <v>PAPETERIE</v>
      </c>
      <c r="N343" s="655">
        <f>+IF(OR($Q343=Parametres!$G$2,$Q343=Parametres!$G$3),I343,C343)</f>
        <v>2235.09</v>
      </c>
      <c r="O343" s="655">
        <f>+IF(OR($Q343=Parametres!$G$2,$Q343=Parametres!$G$3),J343,D343)</f>
        <v>43.61</v>
      </c>
      <c r="P343" s="655">
        <f>+IF(OR($Q343=Parametres!$G$2,$Q343=Parametres!$G$3),K343,E343)</f>
        <v>2278.6999999999998</v>
      </c>
      <c r="Q343" s="654" t="str">
        <f t="shared" si="183"/>
        <v>7-Dépenses</v>
      </c>
      <c r="R343" s="653" t="str">
        <f t="shared" si="184"/>
        <v>6152</v>
      </c>
      <c r="S343" s="654" t="str">
        <f t="shared" si="185"/>
        <v>_</v>
      </c>
      <c r="T343" s="656" t="str">
        <f>+VLOOKUP($L343,Data_Validation!$A:$D,1,0)</f>
        <v>6452</v>
      </c>
      <c r="U343" s="656" t="str">
        <f>+VLOOKUP($L343,Data_Validation!$A:$D,3,0)</f>
        <v>Service</v>
      </c>
      <c r="V343" s="656" t="str">
        <f>+VLOOKUP($L343,Data_Validation!$A:$D,4,0)</f>
        <v>Papeterie</v>
      </c>
      <c r="W343" s="656" t="str">
        <f>+VLOOKUP($L343,Data_Validation!$A:$E,5,0)</f>
        <v>$</v>
      </c>
      <c r="X343" s="656">
        <f>+VLOOKUP($L343,Data_Validation!$A:$F,6,0)</f>
        <v>0</v>
      </c>
    </row>
    <row r="344" spans="1:24" ht="15" customHeight="1">
      <c r="A344" s="1252" t="s">
        <v>1201</v>
      </c>
      <c r="B344" s="1252" t="s">
        <v>2496</v>
      </c>
      <c r="C344" s="1254">
        <v>685.15</v>
      </c>
      <c r="D344" s="1254">
        <v>201.64</v>
      </c>
      <c r="E344" s="1254">
        <v>886.79</v>
      </c>
      <c r="F344" s="1252" t="s">
        <v>1154</v>
      </c>
      <c r="G344" s="1252" t="s">
        <v>1202</v>
      </c>
      <c r="H344" s="1252" t="s">
        <v>3955</v>
      </c>
      <c r="I344" s="1202"/>
      <c r="J344" s="1202"/>
      <c r="K344" s="1202"/>
      <c r="L344" s="653" t="str">
        <f t="shared" si="181"/>
        <v>6453</v>
      </c>
      <c r="M344" s="654" t="str">
        <f t="shared" si="182"/>
        <v>TELEPHONE ET TELEX</v>
      </c>
      <c r="N344" s="655">
        <f>+IF(OR($Q344=Parametres!$G$2,$Q344=Parametres!$G$3),I344,C344)</f>
        <v>685.15</v>
      </c>
      <c r="O344" s="659">
        <f>+IF(OR($Q344=Parametres!$G$2,$Q344=Parametres!$G$3),J344,D344)</f>
        <v>201.64</v>
      </c>
      <c r="P344" s="655">
        <f>+IF(OR($Q344=Parametres!$G$2,$Q344=Parametres!$G$3),K344,E344)</f>
        <v>886.79</v>
      </c>
      <c r="Q344" s="654" t="str">
        <f t="shared" si="183"/>
        <v>7-Dépenses</v>
      </c>
      <c r="R344" s="653" t="str">
        <f t="shared" si="184"/>
        <v>6153</v>
      </c>
      <c r="S344" s="654" t="str">
        <f t="shared" si="185"/>
        <v>_</v>
      </c>
      <c r="T344" s="656" t="str">
        <f>+VLOOKUP($L344,Data_Validation!$A:$D,1,0)</f>
        <v>6453</v>
      </c>
      <c r="U344" s="656" t="str">
        <f>+VLOOKUP($L344,Data_Validation!$A:$D,3,0)</f>
        <v>Service</v>
      </c>
      <c r="V344" s="656" t="str">
        <f>+VLOOKUP($L344,Data_Validation!$A:$D,4,0)</f>
        <v>Téléphone</v>
      </c>
      <c r="W344" s="656" t="str">
        <f>+VLOOKUP($L344,Data_Validation!$A:$E,5,0)</f>
        <v>$</v>
      </c>
      <c r="X344" s="656">
        <f>+VLOOKUP($L344,Data_Validation!$A:$F,6,0)</f>
        <v>0</v>
      </c>
    </row>
    <row r="345" spans="1:24" ht="15" customHeight="1">
      <c r="A345" s="1252" t="s">
        <v>1203</v>
      </c>
      <c r="B345" s="1252" t="s">
        <v>2499</v>
      </c>
      <c r="C345" s="1254">
        <v>173.88</v>
      </c>
      <c r="D345" s="1254">
        <v>90.81</v>
      </c>
      <c r="E345" s="1254">
        <v>264.69</v>
      </c>
      <c r="F345" s="1252" t="s">
        <v>1154</v>
      </c>
      <c r="G345" s="1252" t="s">
        <v>1204</v>
      </c>
      <c r="H345" s="1252" t="s">
        <v>3955</v>
      </c>
      <c r="I345" s="1201"/>
      <c r="J345" s="1201"/>
      <c r="K345" s="1201"/>
      <c r="L345" s="653" t="str">
        <f t="shared" si="181"/>
        <v>6455</v>
      </c>
      <c r="M345" s="654" t="str">
        <f t="shared" si="182"/>
        <v>DEPENSES DIVERS</v>
      </c>
      <c r="N345" s="655">
        <f>+IF(OR($Q345=Parametres!$G$2,$Q345=Parametres!$G$3),I345,C345)</f>
        <v>173.88</v>
      </c>
      <c r="O345" s="655">
        <f>+IF(OR($Q345=Parametres!$G$2,$Q345=Parametres!$G$3),J345,D345)</f>
        <v>90.81</v>
      </c>
      <c r="P345" s="655">
        <f>+IF(OR($Q345=Parametres!$G$2,$Q345=Parametres!$G$3),K345,E345)</f>
        <v>264.69</v>
      </c>
      <c r="Q345" s="654" t="str">
        <f t="shared" si="183"/>
        <v>7-Dépenses</v>
      </c>
      <c r="R345" s="653" t="str">
        <f t="shared" si="184"/>
        <v>6155</v>
      </c>
      <c r="S345" s="654" t="str">
        <f t="shared" si="185"/>
        <v>_</v>
      </c>
      <c r="T345" s="656" t="str">
        <f>+VLOOKUP($L345,Data_Validation!$A:$D,1,0)</f>
        <v>6455</v>
      </c>
      <c r="U345" s="656" t="str">
        <f>+VLOOKUP($L345,Data_Validation!$A:$D,3,0)</f>
        <v>Service</v>
      </c>
      <c r="V345" s="656" t="str">
        <f>+VLOOKUP($L345,Data_Validation!$A:$D,4,0)</f>
        <v>Divers</v>
      </c>
      <c r="W345" s="656" t="str">
        <f>+VLOOKUP($L345,Data_Validation!$A:$E,5,0)</f>
        <v>$</v>
      </c>
      <c r="X345" s="656">
        <f>+VLOOKUP($L345,Data_Validation!$A:$F,6,0)</f>
        <v>0</v>
      </c>
    </row>
    <row r="346" spans="1:24" ht="15" customHeight="1">
      <c r="A346" s="1252" t="s">
        <v>1251</v>
      </c>
      <c r="B346" s="1252" t="s">
        <v>2502</v>
      </c>
      <c r="C346" s="1254">
        <v>2897.06</v>
      </c>
      <c r="D346" s="1254">
        <v>2197.58</v>
      </c>
      <c r="E346" s="1254">
        <v>5094.6400000000003</v>
      </c>
      <c r="F346" s="1252" t="s">
        <v>1154</v>
      </c>
      <c r="G346" s="1252" t="s">
        <v>1206</v>
      </c>
      <c r="H346" s="1252" t="s">
        <v>3955</v>
      </c>
      <c r="I346" s="1201"/>
      <c r="J346" s="1201"/>
      <c r="K346" s="1201"/>
      <c r="L346" s="653" t="str">
        <f t="shared" si="181"/>
        <v>6456</v>
      </c>
      <c r="M346" s="654" t="str">
        <f t="shared" si="182"/>
        <v>FRAIS REPRESENTATION - SERVICE</v>
      </c>
      <c r="N346" s="655">
        <f>+IF(OR($Q346=Parametres!$G$2,$Q346=Parametres!$G$3),I346,C346)</f>
        <v>2897.06</v>
      </c>
      <c r="O346" s="655">
        <f>+IF(OR($Q346=Parametres!$G$2,$Q346=Parametres!$G$3),J346,D346)</f>
        <v>2197.58</v>
      </c>
      <c r="P346" s="655">
        <f>+IF(OR($Q346=Parametres!$G$2,$Q346=Parametres!$G$3),K346,E346)</f>
        <v>5094.6400000000003</v>
      </c>
      <c r="Q346" s="654" t="str">
        <f t="shared" si="183"/>
        <v>7-Dépenses</v>
      </c>
      <c r="R346" s="653" t="str">
        <f t="shared" si="184"/>
        <v>6156</v>
      </c>
      <c r="S346" s="654" t="str">
        <f t="shared" si="185"/>
        <v>_</v>
      </c>
      <c r="T346" s="656" t="str">
        <f>+VLOOKUP($L346,Data_Validation!$A:$D,1,0)</f>
        <v>6456</v>
      </c>
      <c r="U346" s="656" t="str">
        <f>+VLOOKUP($L346,Data_Validation!$A:$D,3,0)</f>
        <v>Service</v>
      </c>
      <c r="V346" s="656" t="str">
        <f>+VLOOKUP($L346,Data_Validation!$A:$D,4,0)</f>
        <v>Frais de déplacement</v>
      </c>
      <c r="W346" s="656" t="str">
        <f>+VLOOKUP($L346,Data_Validation!$A:$E,5,0)</f>
        <v>$</v>
      </c>
      <c r="X346" s="656">
        <f>+VLOOKUP($L346,Data_Validation!$A:$F,6,0)</f>
        <v>0</v>
      </c>
    </row>
    <row r="347" spans="1:24" ht="15.75" customHeight="1">
      <c r="A347" s="1252" t="s">
        <v>1252</v>
      </c>
      <c r="B347" s="1252" t="s">
        <v>3394</v>
      </c>
      <c r="C347" s="1254">
        <v>4344</v>
      </c>
      <c r="D347" s="1254">
        <v>2304.3000000000002</v>
      </c>
      <c r="E347" s="1254">
        <v>6648.3</v>
      </c>
      <c r="F347" s="1252" t="s">
        <v>1154</v>
      </c>
      <c r="G347" s="1252" t="s">
        <v>1253</v>
      </c>
      <c r="H347" s="1252" t="s">
        <v>3955</v>
      </c>
      <c r="I347" s="1201"/>
      <c r="J347" s="1201"/>
      <c r="K347" s="1201"/>
      <c r="L347" s="653" t="str">
        <f t="shared" si="181"/>
        <v>6457</v>
      </c>
      <c r="M347" s="654" t="str">
        <f t="shared" si="182"/>
        <v>FRAIS BANCAIRES - SERVICE</v>
      </c>
      <c r="N347" s="655">
        <f>+IF(OR($Q347=Parametres!$G$2,$Q347=Parametres!$G$3),I347,C347)</f>
        <v>4344</v>
      </c>
      <c r="O347" s="655">
        <f>+IF(OR($Q347=Parametres!$G$2,$Q347=Parametres!$G$3),J347,D347)</f>
        <v>2304.3000000000002</v>
      </c>
      <c r="P347" s="655">
        <f>+IF(OR($Q347=Parametres!$G$2,$Q347=Parametres!$G$3),K347,E347)</f>
        <v>6648.3</v>
      </c>
      <c r="Q347" s="654" t="str">
        <f t="shared" si="183"/>
        <v>7-Dépenses</v>
      </c>
      <c r="R347" s="653" t="str">
        <f t="shared" si="184"/>
        <v>645</v>
      </c>
      <c r="S347" s="654" t="str">
        <f t="shared" si="185"/>
        <v>_</v>
      </c>
      <c r="T347" s="656" t="str">
        <f>+VLOOKUP($L347,Data_Validation!$A:$D,1,0)</f>
        <v>6457</v>
      </c>
      <c r="U347" s="656" t="str">
        <f>+VLOOKUP($L347,Data_Validation!$A:$D,3,0)</f>
        <v>Service</v>
      </c>
      <c r="V347" s="656" t="str">
        <f>+VLOOKUP($L347,Data_Validation!$A:$D,4,0)</f>
        <v>Frais bancaires</v>
      </c>
      <c r="W347" s="656" t="str">
        <f>+VLOOKUP($L347,Data_Validation!$A:$E,5,0)</f>
        <v>$</v>
      </c>
      <c r="X347" s="656">
        <f>+VLOOKUP($L347,Data_Validation!$A:$F,6,0)</f>
        <v>0</v>
      </c>
    </row>
    <row r="348" spans="1:24" ht="15" customHeight="1">
      <c r="A348" s="1252" t="s">
        <v>1209</v>
      </c>
      <c r="B348" s="1252" t="s">
        <v>2505</v>
      </c>
      <c r="C348" s="1254">
        <v>45388.37</v>
      </c>
      <c r="D348" s="1254">
        <v>16230.76</v>
      </c>
      <c r="E348" s="1254">
        <v>61619.13</v>
      </c>
      <c r="F348" s="1252" t="s">
        <v>1154</v>
      </c>
      <c r="G348" s="1252" t="s">
        <v>1210</v>
      </c>
      <c r="H348" s="1252" t="s">
        <v>3955</v>
      </c>
      <c r="I348" s="1201"/>
      <c r="J348" s="1201"/>
      <c r="K348" s="1201"/>
      <c r="L348" s="653" t="str">
        <f t="shared" si="181"/>
        <v>6459</v>
      </c>
      <c r="M348" s="654" t="str">
        <f t="shared" si="182"/>
        <v>SERVICE EXTERIEUR</v>
      </c>
      <c r="N348" s="655">
        <f>+IF(OR($Q348=Parametres!$G$2,$Q348=Parametres!$G$3),I348,C348)</f>
        <v>45388.37</v>
      </c>
      <c r="O348" s="659">
        <f>+IF(OR($Q348=Parametres!$G$2,$Q348=Parametres!$G$3),J348,D348)</f>
        <v>16230.76</v>
      </c>
      <c r="P348" s="655">
        <f>+IF(OR($Q348=Parametres!$G$2,$Q348=Parametres!$G$3),K348,E348)</f>
        <v>61619.13</v>
      </c>
      <c r="Q348" s="654" t="str">
        <f t="shared" si="183"/>
        <v>7-Dépenses</v>
      </c>
      <c r="R348" s="653" t="str">
        <f t="shared" si="184"/>
        <v>6159</v>
      </c>
      <c r="S348" s="654" t="str">
        <f t="shared" si="185"/>
        <v>_</v>
      </c>
      <c r="T348" s="656" t="str">
        <f>+VLOOKUP($L348,Data_Validation!$A:$D,1,0)</f>
        <v>6459</v>
      </c>
      <c r="U348" s="656" t="str">
        <f>+VLOOKUP($L348,Data_Validation!$A:$D,3,0)</f>
        <v>Service</v>
      </c>
      <c r="V348" s="656" t="str">
        <f>+VLOOKUP($L348,Data_Validation!$A:$D,4,0)</f>
        <v>Services extérieurs</v>
      </c>
      <c r="W348" s="656" t="str">
        <f>+VLOOKUP($L348,Data_Validation!$A:$E,5,0)</f>
        <v>$</v>
      </c>
      <c r="X348" s="656">
        <f>+VLOOKUP($L348,Data_Validation!$A:$F,6,0)</f>
        <v>0</v>
      </c>
    </row>
    <row r="349" spans="1:24" ht="15" customHeight="1">
      <c r="A349" s="1252" t="s">
        <v>1211</v>
      </c>
      <c r="B349" s="1252" t="s">
        <v>2508</v>
      </c>
      <c r="C349" s="1254">
        <v>30706.560000000001</v>
      </c>
      <c r="D349" s="1254">
        <v>10235.52</v>
      </c>
      <c r="E349" s="1254">
        <v>40942.080000000002</v>
      </c>
      <c r="F349" s="1252" t="s">
        <v>1154</v>
      </c>
      <c r="G349" s="1252" t="s">
        <v>1212</v>
      </c>
      <c r="H349" s="1252" t="s">
        <v>3955</v>
      </c>
      <c r="I349" s="1201"/>
      <c r="J349" s="1201"/>
      <c r="K349" s="1201"/>
      <c r="L349" s="653" t="str">
        <f t="shared" si="181"/>
        <v>6461</v>
      </c>
      <c r="M349" s="654" t="str">
        <f t="shared" si="182"/>
        <v>DEPRECIATION EQUIP. &amp; FIXTURES</v>
      </c>
      <c r="N349" s="655">
        <f>+IF(OR($Q349=Parametres!$G$2,$Q349=Parametres!$G$3),I349,C349)</f>
        <v>30706.560000000001</v>
      </c>
      <c r="O349" s="655">
        <f>+IF(OR($Q349=Parametres!$G$2,$Q349=Parametres!$G$3),J349,D349)</f>
        <v>10235.52</v>
      </c>
      <c r="P349" s="655">
        <f>+IF(OR($Q349=Parametres!$G$2,$Q349=Parametres!$G$3),K349,E349)</f>
        <v>40942.080000000002</v>
      </c>
      <c r="Q349" s="654" t="str">
        <f t="shared" si="183"/>
        <v>7-Dépenses</v>
      </c>
      <c r="R349" s="653" t="str">
        <f t="shared" si="184"/>
        <v>6161</v>
      </c>
      <c r="S349" s="654" t="str">
        <f t="shared" si="185"/>
        <v>_</v>
      </c>
      <c r="T349" s="656" t="str">
        <f>+VLOOKUP($L349,Data_Validation!$A:$D,1,0)</f>
        <v>6461</v>
      </c>
      <c r="U349" s="656" t="str">
        <f>+VLOOKUP($L349,Data_Validation!$A:$D,3,0)</f>
        <v>Service</v>
      </c>
      <c r="V349" s="656" t="str">
        <f>+VLOOKUP($L349,Data_Validation!$A:$D,4,0)</f>
        <v>Amortissement</v>
      </c>
      <c r="W349" s="656" t="str">
        <f>+VLOOKUP($L349,Data_Validation!$A:$E,5,0)</f>
        <v>$</v>
      </c>
      <c r="X349" s="656">
        <f>+VLOOKUP($L349,Data_Validation!$A:$F,6,0)</f>
        <v>0</v>
      </c>
    </row>
    <row r="350" spans="1:24" ht="15" customHeight="1">
      <c r="A350" s="1252" t="s">
        <v>1389</v>
      </c>
      <c r="B350" s="1252" t="s">
        <v>2511</v>
      </c>
      <c r="C350" s="1254">
        <v>3240.43</v>
      </c>
      <c r="D350" s="1254">
        <v>862.14</v>
      </c>
      <c r="E350" s="1254">
        <v>4102.57</v>
      </c>
      <c r="F350" s="1252" t="s">
        <v>1154</v>
      </c>
      <c r="G350" s="1252" t="s">
        <v>2304</v>
      </c>
      <c r="H350" s="1252" t="s">
        <v>3955</v>
      </c>
      <c r="I350" s="1201"/>
      <c r="J350" s="1201"/>
      <c r="K350" s="1201"/>
      <c r="L350" s="653" t="str">
        <f t="shared" si="181"/>
        <v>6462</v>
      </c>
      <c r="M350" s="654" t="str">
        <f t="shared" si="182"/>
        <v>LOCATION D'EQUIPEMENTS</v>
      </c>
      <c r="N350" s="655">
        <f>+IF(OR($Q350=Parametres!$G$2,$Q350=Parametres!$G$3),I350,C350)</f>
        <v>3240.43</v>
      </c>
      <c r="O350" s="659">
        <f>+IF(OR($Q350=Parametres!$G$2,$Q350=Parametres!$G$3),J350,D350)</f>
        <v>862.14</v>
      </c>
      <c r="P350" s="655">
        <f>+IF(OR($Q350=Parametres!$G$2,$Q350=Parametres!$G$3),K350,E350)</f>
        <v>4102.57</v>
      </c>
      <c r="Q350" s="654" t="str">
        <f t="shared" si="183"/>
        <v>7-Dépenses</v>
      </c>
      <c r="R350" s="653" t="str">
        <f t="shared" si="184"/>
        <v>6162</v>
      </c>
      <c r="S350" s="654" t="str">
        <f t="shared" si="185"/>
        <v>_</v>
      </c>
      <c r="T350" s="656" t="str">
        <f>+VLOOKUP($L350,Data_Validation!$A:$D,1,0)</f>
        <v>6462</v>
      </c>
      <c r="U350" s="656" t="str">
        <f>+VLOOKUP($L350,Data_Validation!$A:$D,3,0)</f>
        <v>Service</v>
      </c>
      <c r="V350" s="656" t="str">
        <f>+VLOOKUP($L350,Data_Validation!$A:$D,4,0)</f>
        <v>Location équipement</v>
      </c>
      <c r="W350" s="656" t="str">
        <f>+VLOOKUP($L350,Data_Validation!$A:$E,5,0)</f>
        <v>$</v>
      </c>
      <c r="X350" s="656">
        <f>+VLOOKUP($L350,Data_Validation!$A:$F,6,0)</f>
        <v>0</v>
      </c>
    </row>
    <row r="351" spans="1:24" ht="15" customHeight="1">
      <c r="A351" s="1252" t="s">
        <v>1254</v>
      </c>
      <c r="B351" s="1252" t="s">
        <v>2514</v>
      </c>
      <c r="C351" s="1254">
        <v>2154.33</v>
      </c>
      <c r="D351" s="1254">
        <v>74.7</v>
      </c>
      <c r="E351" s="1254">
        <v>2229.0300000000002</v>
      </c>
      <c r="F351" s="1252" t="s">
        <v>1154</v>
      </c>
      <c r="G351" s="1252" t="s">
        <v>1255</v>
      </c>
      <c r="H351" s="1252" t="s">
        <v>3955</v>
      </c>
      <c r="I351" s="1201"/>
      <c r="J351" s="1201"/>
      <c r="K351" s="1201"/>
      <c r="L351" s="653" t="str">
        <f t="shared" si="181"/>
        <v>6463</v>
      </c>
      <c r="M351" s="654" t="str">
        <f t="shared" si="182"/>
        <v>REPARATION &amp; ENT. - EQUIP.</v>
      </c>
      <c r="N351" s="655">
        <f>+IF(OR($Q351=Parametres!$G$2,$Q351=Parametres!$G$3),I351,C351)</f>
        <v>2154.33</v>
      </c>
      <c r="O351" s="655">
        <f>+IF(OR($Q351=Parametres!$G$2,$Q351=Parametres!$G$3),J351,D351)</f>
        <v>74.7</v>
      </c>
      <c r="P351" s="655">
        <f>+IF(OR($Q351=Parametres!$G$2,$Q351=Parametres!$G$3),K351,E351)</f>
        <v>2229.0300000000002</v>
      </c>
      <c r="Q351" s="654" t="str">
        <f t="shared" si="183"/>
        <v>7-Dépenses</v>
      </c>
      <c r="R351" s="653" t="str">
        <f t="shared" si="184"/>
        <v>6163</v>
      </c>
      <c r="S351" s="654" t="str">
        <f t="shared" si="185"/>
        <v>_</v>
      </c>
      <c r="T351" s="656" t="str">
        <f>+VLOOKUP($L351,Data_Validation!$A:$D,1,0)</f>
        <v>6463</v>
      </c>
      <c r="U351" s="656" t="str">
        <f>+VLOOKUP($L351,Data_Validation!$A:$D,3,0)</f>
        <v>Service</v>
      </c>
      <c r="V351" s="656" t="str">
        <f>+VLOOKUP($L351,Data_Validation!$A:$D,4,0)</f>
        <v>Réparation équipement</v>
      </c>
      <c r="W351" s="656" t="str">
        <f>+VLOOKUP($L351,Data_Validation!$A:$E,5,0)</f>
        <v>$</v>
      </c>
      <c r="X351" s="656">
        <f>+VLOOKUP($L351,Data_Validation!$A:$F,6,0)</f>
        <v>0</v>
      </c>
    </row>
    <row r="352" spans="1:24" ht="15.75" customHeight="1">
      <c r="A352" s="1252" t="s">
        <v>1256</v>
      </c>
      <c r="B352" s="1252" t="s">
        <v>2517</v>
      </c>
      <c r="C352" s="1254">
        <v>6399.37</v>
      </c>
      <c r="D352" s="1254">
        <v>1372.79</v>
      </c>
      <c r="E352" s="1254">
        <v>7772.16</v>
      </c>
      <c r="F352" s="1252" t="s">
        <v>1154</v>
      </c>
      <c r="G352" s="1252" t="s">
        <v>1214</v>
      </c>
      <c r="H352" s="1252" t="s">
        <v>3955</v>
      </c>
      <c r="I352" s="1201"/>
      <c r="J352" s="1201"/>
      <c r="K352" s="1201"/>
      <c r="L352" s="653" t="str">
        <f t="shared" si="181"/>
        <v>6481</v>
      </c>
      <c r="M352" s="654" t="str">
        <f t="shared" si="182"/>
        <v>CHAUFFAGE,ELECTRICITE,EAU-SERVICE</v>
      </c>
      <c r="N352" s="655">
        <f>+IF(OR($Q352=Parametres!$G$2,$Q352=Parametres!$G$3),I352,C352)</f>
        <v>6399.37</v>
      </c>
      <c r="O352" s="659">
        <f>+IF(OR($Q352=Parametres!$G$2,$Q352=Parametres!$G$3),J352,D352)</f>
        <v>1372.79</v>
      </c>
      <c r="P352" s="655">
        <f>+IF(OR($Q352=Parametres!$G$2,$Q352=Parametres!$G$3),K352,E352)</f>
        <v>7772.16</v>
      </c>
      <c r="Q352" s="654" t="str">
        <f t="shared" si="183"/>
        <v>7-Dépenses</v>
      </c>
      <c r="R352" s="653" t="str">
        <f t="shared" si="184"/>
        <v>6181</v>
      </c>
      <c r="S352" s="654" t="str">
        <f t="shared" si="185"/>
        <v>_</v>
      </c>
      <c r="T352" s="656" t="str">
        <f>+VLOOKUP($L352,Data_Validation!$A:$D,1,0)</f>
        <v>6481</v>
      </c>
      <c r="U352" s="656" t="str">
        <f>+VLOOKUP($L352,Data_Validation!$A:$D,3,0)</f>
        <v>Service</v>
      </c>
      <c r="V352" s="656" t="str">
        <f>+VLOOKUP($L352,Data_Validation!$A:$D,4,0)</f>
        <v>Chauffage, éclairage</v>
      </c>
      <c r="W352" s="656" t="str">
        <f>+VLOOKUP($L352,Data_Validation!$A:$E,5,0)</f>
        <v>$</v>
      </c>
      <c r="X352" s="656">
        <f>+VLOOKUP($L352,Data_Validation!$A:$F,6,0)</f>
        <v>0</v>
      </c>
    </row>
    <row r="353" spans="1:24" ht="15" customHeight="1">
      <c r="A353" s="1252" t="s">
        <v>1257</v>
      </c>
      <c r="B353" s="1252" t="s">
        <v>2520</v>
      </c>
      <c r="C353" s="1254">
        <v>25920</v>
      </c>
      <c r="D353" s="1254">
        <v>8640</v>
      </c>
      <c r="E353" s="1254">
        <v>34560</v>
      </c>
      <c r="F353" s="1252" t="s">
        <v>1154</v>
      </c>
      <c r="G353" s="1252" t="s">
        <v>1216</v>
      </c>
      <c r="H353" s="1252" t="s">
        <v>3955</v>
      </c>
      <c r="I353" s="1204"/>
      <c r="J353" s="1204"/>
      <c r="K353" s="1204"/>
      <c r="L353" s="653" t="str">
        <f t="shared" si="181"/>
        <v>6482</v>
      </c>
      <c r="M353" s="654" t="str">
        <f t="shared" si="182"/>
        <v>LOYER - SERVICE</v>
      </c>
      <c r="N353" s="655">
        <f>+IF(OR($Q353=Parametres!$G$2,$Q353=Parametres!$G$3),I353,C353)</f>
        <v>25920</v>
      </c>
      <c r="O353" s="655">
        <f>+IF(OR($Q353=Parametres!$G$2,$Q353=Parametres!$G$3),J353,D353)</f>
        <v>8640</v>
      </c>
      <c r="P353" s="655">
        <f>+IF(OR($Q353=Parametres!$G$2,$Q353=Parametres!$G$3),K353,E353)</f>
        <v>34560</v>
      </c>
      <c r="Q353" s="654" t="str">
        <f t="shared" si="183"/>
        <v>7-Dépenses</v>
      </c>
      <c r="R353" s="653" t="str">
        <f t="shared" si="184"/>
        <v>6182</v>
      </c>
      <c r="S353" s="654" t="str">
        <f t="shared" si="185"/>
        <v>_</v>
      </c>
      <c r="T353" s="656" t="str">
        <f>+VLOOKUP($L353,Data_Validation!$A:$D,1,0)</f>
        <v>6482</v>
      </c>
      <c r="U353" s="656" t="str">
        <f>+VLOOKUP($L353,Data_Validation!$A:$D,3,0)</f>
        <v>Service</v>
      </c>
      <c r="V353" s="656" t="str">
        <f>+VLOOKUP($L353,Data_Validation!$A:$D,4,0)</f>
        <v>Loyer</v>
      </c>
      <c r="W353" s="656" t="str">
        <f>+VLOOKUP($L353,Data_Validation!$A:$E,5,0)</f>
        <v>$</v>
      </c>
      <c r="X353" s="656">
        <f>+VLOOKUP($L353,Data_Validation!$A:$F,6,0)</f>
        <v>0</v>
      </c>
    </row>
    <row r="354" spans="1:24" ht="15" customHeight="1">
      <c r="A354" s="1252" t="s">
        <v>1258</v>
      </c>
      <c r="B354" s="1252" t="s">
        <v>2523</v>
      </c>
      <c r="C354" s="1254">
        <v>3127.86</v>
      </c>
      <c r="D354" s="1254">
        <v>1042.6199999999999</v>
      </c>
      <c r="E354" s="1254">
        <v>4170.4799999999996</v>
      </c>
      <c r="F354" s="1252" t="s">
        <v>1154</v>
      </c>
      <c r="G354" s="1252" t="s">
        <v>1218</v>
      </c>
      <c r="H354" s="1252" t="s">
        <v>3955</v>
      </c>
      <c r="I354" s="1204"/>
      <c r="J354" s="1204"/>
      <c r="K354" s="1204"/>
      <c r="L354" s="653" t="str">
        <f t="shared" si="181"/>
        <v>6486</v>
      </c>
      <c r="M354" s="654" t="str">
        <f t="shared" si="182"/>
        <v>ASSURANCE BATISSE &amp; AMEL.-SERVICE</v>
      </c>
      <c r="N354" s="655">
        <f>+IF(OR($Q354=Parametres!$G$2,$Q354=Parametres!$G$3),I354,C354)</f>
        <v>3127.86</v>
      </c>
      <c r="O354" s="655">
        <f>+IF(OR($Q354=Parametres!$G$2,$Q354=Parametres!$G$3),J354,D354)</f>
        <v>1042.6199999999999</v>
      </c>
      <c r="P354" s="655">
        <f>+IF(OR($Q354=Parametres!$G$2,$Q354=Parametres!$G$3),K354,E354)</f>
        <v>4170.4799999999996</v>
      </c>
      <c r="Q354" s="654" t="str">
        <f t="shared" si="183"/>
        <v>7-Dépenses</v>
      </c>
      <c r="R354" s="653" t="str">
        <f t="shared" si="184"/>
        <v>6186</v>
      </c>
      <c r="S354" s="654" t="str">
        <f t="shared" si="185"/>
        <v>_</v>
      </c>
      <c r="T354" s="656" t="str">
        <f>+VLOOKUP($L354,Data_Validation!$A:$D,1,0)</f>
        <v>6486</v>
      </c>
      <c r="U354" s="656" t="str">
        <f>+VLOOKUP($L354,Data_Validation!$A:$D,3,0)</f>
        <v>Service</v>
      </c>
      <c r="V354" s="656" t="str">
        <f>+VLOOKUP($L354,Data_Validation!$A:$D,4,0)</f>
        <v>Assurances</v>
      </c>
      <c r="W354" s="656" t="str">
        <f>+VLOOKUP($L354,Data_Validation!$A:$E,5,0)</f>
        <v>$</v>
      </c>
      <c r="X354" s="656">
        <f>+VLOOKUP($L354,Data_Validation!$A:$F,6,0)</f>
        <v>0</v>
      </c>
    </row>
    <row r="355" spans="1:24" ht="15" customHeight="1">
      <c r="A355" s="1252" t="s">
        <v>1259</v>
      </c>
      <c r="B355" s="1252" t="s">
        <v>2526</v>
      </c>
      <c r="C355" s="1254">
        <v>3904.56</v>
      </c>
      <c r="D355" s="1254">
        <v>1301.52</v>
      </c>
      <c r="E355" s="1254">
        <v>5206.08</v>
      </c>
      <c r="F355" s="1252" t="s">
        <v>1154</v>
      </c>
      <c r="G355" s="1252" t="s">
        <v>1220</v>
      </c>
      <c r="H355" s="1252" t="s">
        <v>3955</v>
      </c>
      <c r="I355" s="1204"/>
      <c r="J355" s="1204"/>
      <c r="K355" s="1204"/>
      <c r="L355" s="653" t="str">
        <f t="shared" si="181"/>
        <v>6487</v>
      </c>
      <c r="M355" s="654" t="str">
        <f t="shared" si="182"/>
        <v>TAXES FONCIERES - SERVICE</v>
      </c>
      <c r="N355" s="655">
        <f>+IF(OR($Q355=Parametres!$G$2,$Q355=Parametres!$G$3),I355,C355)</f>
        <v>3904.56</v>
      </c>
      <c r="O355" s="655">
        <f>+IF(OR($Q355=Parametres!$G$2,$Q355=Parametres!$G$3),J355,D355)</f>
        <v>1301.52</v>
      </c>
      <c r="P355" s="655">
        <f>+IF(OR($Q355=Parametres!$G$2,$Q355=Parametres!$G$3),K355,E355)</f>
        <v>5206.08</v>
      </c>
      <c r="Q355" s="654" t="str">
        <f t="shared" si="183"/>
        <v>7-Dépenses</v>
      </c>
      <c r="R355" s="653" t="str">
        <f t="shared" si="184"/>
        <v>6187</v>
      </c>
      <c r="S355" s="654" t="str">
        <f t="shared" si="185"/>
        <v>_</v>
      </c>
      <c r="T355" s="656" t="str">
        <f>+VLOOKUP($L355,Data_Validation!$A:$D,1,0)</f>
        <v>6487</v>
      </c>
      <c r="U355" s="656" t="str">
        <f>+VLOOKUP($L355,Data_Validation!$A:$D,3,0)</f>
        <v>Service</v>
      </c>
      <c r="V355" s="656" t="str">
        <f>+VLOOKUP($L355,Data_Validation!$A:$D,4,0)</f>
        <v>Taxes foncières</v>
      </c>
      <c r="W355" s="656" t="str">
        <f>+VLOOKUP($L355,Data_Validation!$A:$E,5,0)</f>
        <v>$</v>
      </c>
      <c r="X355" s="656">
        <f>+VLOOKUP($L355,Data_Validation!$A:$F,6,0)</f>
        <v>0</v>
      </c>
    </row>
    <row r="356" spans="1:24" ht="15" customHeight="1">
      <c r="A356" s="1252" t="s">
        <v>1260</v>
      </c>
      <c r="B356" s="1252" t="s">
        <v>2529</v>
      </c>
      <c r="C356" s="1254">
        <v>3222.48</v>
      </c>
      <c r="D356" s="1254">
        <v>866.16</v>
      </c>
      <c r="E356" s="1254">
        <v>4088.64</v>
      </c>
      <c r="F356" s="1252" t="s">
        <v>1154</v>
      </c>
      <c r="G356" s="1252" t="s">
        <v>1222</v>
      </c>
      <c r="H356" s="1252" t="s">
        <v>3955</v>
      </c>
      <c r="I356" s="1203"/>
      <c r="J356" s="1203"/>
      <c r="K356" s="1203"/>
      <c r="L356" s="653" t="str">
        <f t="shared" si="181"/>
        <v>6493</v>
      </c>
      <c r="M356" s="654" t="str">
        <f t="shared" si="182"/>
        <v>AUTRE TAXES-SERVICE</v>
      </c>
      <c r="N356" s="655">
        <f>+IF(OR($Q356=Parametres!$G$2,$Q356=Parametres!$G$3),I356,C356)</f>
        <v>3222.48</v>
      </c>
      <c r="O356" s="655">
        <f>+IF(OR($Q356=Parametres!$G$2,$Q356=Parametres!$G$3),J356,D356)</f>
        <v>866.16</v>
      </c>
      <c r="P356" s="655">
        <f>+IF(OR($Q356=Parametres!$G$2,$Q356=Parametres!$G$3),K356,E356)</f>
        <v>4088.64</v>
      </c>
      <c r="Q356" s="654" t="str">
        <f t="shared" si="183"/>
        <v>7-Dépenses</v>
      </c>
      <c r="R356" s="653" t="str">
        <f t="shared" si="184"/>
        <v>6193</v>
      </c>
      <c r="S356" s="654" t="str">
        <f t="shared" si="185"/>
        <v>_</v>
      </c>
      <c r="T356" s="656" t="str">
        <f>+VLOOKUP($L356,Data_Validation!$A:$D,1,0)</f>
        <v>6493</v>
      </c>
      <c r="U356" s="656" t="str">
        <f>+VLOOKUP($L356,Data_Validation!$A:$D,3,0)</f>
        <v>Service</v>
      </c>
      <c r="V356" s="656" t="str">
        <f>+VLOOKUP($L356,Data_Validation!$A:$D,4,0)</f>
        <v>Taxes d`affaires</v>
      </c>
      <c r="W356" s="656" t="str">
        <f>+VLOOKUP($L356,Data_Validation!$A:$E,5,0)</f>
        <v>$</v>
      </c>
      <c r="X356" s="656">
        <f>+VLOOKUP($L356,Data_Validation!$A:$F,6,0)</f>
        <v>0</v>
      </c>
    </row>
    <row r="357" spans="1:24" ht="15" customHeight="1">
      <c r="A357" s="1252" t="s">
        <v>1261</v>
      </c>
      <c r="B357" s="1252" t="s">
        <v>2532</v>
      </c>
      <c r="C357" s="1254">
        <v>4965.1099999999997</v>
      </c>
      <c r="D357" s="1254">
        <v>1541.6</v>
      </c>
      <c r="E357" s="1254">
        <v>6506.71</v>
      </c>
      <c r="F357" s="1252" t="s">
        <v>1154</v>
      </c>
      <c r="G357" s="1252" t="s">
        <v>1224</v>
      </c>
      <c r="H357" s="1252" t="s">
        <v>3955</v>
      </c>
      <c r="I357" s="1203"/>
      <c r="J357" s="1203"/>
      <c r="K357" s="1203"/>
      <c r="L357" s="653" t="str">
        <f t="shared" si="181"/>
        <v>6494</v>
      </c>
      <c r="M357" s="654" t="str">
        <f t="shared" si="182"/>
        <v>FRAIS PROFESSIONNEL-SERVICE</v>
      </c>
      <c r="N357" s="655">
        <f>+IF(OR($Q357=Parametres!$G$2,$Q357=Parametres!$G$3),I357,C357)</f>
        <v>4965.1099999999997</v>
      </c>
      <c r="O357" s="655">
        <f>+IF(OR($Q357=Parametres!$G$2,$Q357=Parametres!$G$3),J357,D357)</f>
        <v>1541.6</v>
      </c>
      <c r="P357" s="655">
        <f>+IF(OR($Q357=Parametres!$G$2,$Q357=Parametres!$G$3),K357,E357)</f>
        <v>6506.71</v>
      </c>
      <c r="Q357" s="654" t="str">
        <f t="shared" si="183"/>
        <v>7-Dépenses</v>
      </c>
      <c r="R357" s="653" t="str">
        <f t="shared" si="184"/>
        <v>6194</v>
      </c>
      <c r="S357" s="654" t="str">
        <f t="shared" si="185"/>
        <v>_</v>
      </c>
      <c r="T357" s="656" t="str">
        <f>+VLOOKUP($L357,Data_Validation!$A:$D,1,0)</f>
        <v>6494</v>
      </c>
      <c r="U357" s="656" t="str">
        <f>+VLOOKUP($L357,Data_Validation!$A:$D,3,0)</f>
        <v>Service</v>
      </c>
      <c r="V357" s="656" t="str">
        <f>+VLOOKUP($L357,Data_Validation!$A:$D,4,0)</f>
        <v>Honoraires</v>
      </c>
      <c r="W357" s="656" t="str">
        <f>+VLOOKUP($L357,Data_Validation!$A:$E,5,0)</f>
        <v>$</v>
      </c>
      <c r="X357" s="656">
        <f>+VLOOKUP($L357,Data_Validation!$A:$F,6,0)</f>
        <v>0</v>
      </c>
    </row>
    <row r="358" spans="1:24" ht="15.75" customHeight="1">
      <c r="A358" s="1252" t="s">
        <v>1158</v>
      </c>
      <c r="B358" s="1252" t="s">
        <v>2535</v>
      </c>
      <c r="C358" s="1254">
        <v>11717.2</v>
      </c>
      <c r="D358" s="1254">
        <v>609.52</v>
      </c>
      <c r="E358" s="1254">
        <v>12326.72</v>
      </c>
      <c r="F358" s="1252" t="s">
        <v>1154</v>
      </c>
      <c r="G358" s="1252" t="s">
        <v>1242</v>
      </c>
      <c r="H358" s="1252" t="s">
        <v>3955</v>
      </c>
      <c r="I358" s="1203"/>
      <c r="J358" s="1203"/>
      <c r="K358" s="1203"/>
      <c r="L358" s="653" t="str">
        <f t="shared" si="181"/>
        <v>6503</v>
      </c>
      <c r="M358" s="654" t="str">
        <f t="shared" si="182"/>
        <v>RELAT. A LA CLIENTELE &amp; AJUST.</v>
      </c>
      <c r="N358" s="655">
        <f>+IF(OR($Q358=Parametres!$G$2,$Q358=Parametres!$G$3),I358,C358)</f>
        <v>11717.2</v>
      </c>
      <c r="O358" s="655">
        <f>+IF(OR($Q358=Parametres!$G$2,$Q358=Parametres!$G$3),J358,D358)</f>
        <v>609.52</v>
      </c>
      <c r="P358" s="655">
        <f>+IF(OR($Q358=Parametres!$G$2,$Q358=Parametres!$G$3),K358,E358)</f>
        <v>12326.72</v>
      </c>
      <c r="Q358" s="654" t="str">
        <f t="shared" si="183"/>
        <v>7-Dépenses</v>
      </c>
      <c r="R358" s="653" t="str">
        <f t="shared" si="184"/>
        <v>6112</v>
      </c>
      <c r="S358" s="654" t="str">
        <f t="shared" si="185"/>
        <v>_</v>
      </c>
      <c r="T358" s="656" t="str">
        <f>+VLOOKUP($L358,Data_Validation!$A:$D,1,0)</f>
        <v>6503</v>
      </c>
      <c r="U358" s="656" t="str">
        <f>+VLOOKUP($L358,Data_Validation!$A:$D,3,0)</f>
        <v>Carrosserie</v>
      </c>
      <c r="V358" s="656" t="str">
        <f>+VLOOKUP($L358,Data_Validation!$A:$D,4,0)</f>
        <v>Service gratuit 2</v>
      </c>
      <c r="W358" s="656" t="str">
        <f>+VLOOKUP($L358,Data_Validation!$A:$E,5,0)</f>
        <v>$</v>
      </c>
      <c r="X358" s="656">
        <f>+VLOOKUP($L358,Data_Validation!$A:$F,6,0)</f>
        <v>0</v>
      </c>
    </row>
    <row r="359" spans="1:24" ht="15" customHeight="1">
      <c r="A359" s="1252" t="s">
        <v>1166</v>
      </c>
      <c r="B359" s="1252" t="s">
        <v>2541</v>
      </c>
      <c r="C359" s="1254">
        <v>71.75</v>
      </c>
      <c r="D359" s="1254">
        <v>28</v>
      </c>
      <c r="E359" s="1254">
        <v>99.75</v>
      </c>
      <c r="F359" s="1252" t="s">
        <v>1154</v>
      </c>
      <c r="G359" s="1252" t="s">
        <v>1167</v>
      </c>
      <c r="H359" s="1252" t="s">
        <v>3955</v>
      </c>
      <c r="I359" s="1203"/>
      <c r="J359" s="1203"/>
      <c r="K359" s="1203"/>
      <c r="L359" s="653" t="str">
        <f t="shared" si="181"/>
        <v>6514</v>
      </c>
      <c r="M359" s="654" t="str">
        <f t="shared" si="182"/>
        <v>PUBLICITE</v>
      </c>
      <c r="N359" s="655">
        <f>+IF(OR($Q359=Parametres!$G$2,$Q359=Parametres!$G$3),I359,C359)</f>
        <v>71.75</v>
      </c>
      <c r="O359" s="655">
        <f>+IF(OR($Q359=Parametres!$G$2,$Q359=Parametres!$G$3),J359,D359)</f>
        <v>28</v>
      </c>
      <c r="P359" s="655">
        <f>+IF(OR($Q359=Parametres!$G$2,$Q359=Parametres!$G$3),K359,E359)</f>
        <v>99.75</v>
      </c>
      <c r="Q359" s="654" t="str">
        <f t="shared" si="183"/>
        <v>7-Dépenses</v>
      </c>
      <c r="R359" s="653" t="str">
        <f t="shared" si="184"/>
        <v>6114</v>
      </c>
      <c r="S359" s="654" t="str">
        <f t="shared" si="185"/>
        <v>_</v>
      </c>
      <c r="T359" s="656" t="str">
        <f>+VLOOKUP($L359,Data_Validation!$A:$D,1,0)</f>
        <v>6514</v>
      </c>
      <c r="U359" s="656" t="str">
        <f>+VLOOKUP($L359,Data_Validation!$A:$D,3,0)</f>
        <v>Carrosserie</v>
      </c>
      <c r="V359" s="656" t="str">
        <f>+VLOOKUP($L359,Data_Validation!$A:$D,4,0)</f>
        <v>Publicité 2</v>
      </c>
      <c r="W359" s="656" t="str">
        <f>+VLOOKUP($L359,Data_Validation!$A:$E,5,0)</f>
        <v>$</v>
      </c>
      <c r="X359" s="656">
        <f>+VLOOKUP($L359,Data_Validation!$A:$F,6,0)</f>
        <v>0</v>
      </c>
    </row>
    <row r="360" spans="1:24" ht="15" customHeight="1">
      <c r="A360" s="1252" t="s">
        <v>1169</v>
      </c>
      <c r="B360" s="1252" t="s">
        <v>2547</v>
      </c>
      <c r="C360" s="1254">
        <v>1077.78</v>
      </c>
      <c r="D360" s="1254">
        <v>326.87</v>
      </c>
      <c r="E360" s="1254">
        <v>1404.65</v>
      </c>
      <c r="F360" s="1252" t="s">
        <v>1154</v>
      </c>
      <c r="G360" s="1252" t="s">
        <v>1170</v>
      </c>
      <c r="H360" s="1252" t="s">
        <v>3955</v>
      </c>
      <c r="I360" s="1203"/>
      <c r="J360" s="1203"/>
      <c r="K360" s="1203"/>
      <c r="L360" s="653" t="str">
        <f t="shared" si="181"/>
        <v>6521</v>
      </c>
      <c r="M360" s="654" t="str">
        <f t="shared" si="182"/>
        <v>SALAIRES - PROPRIETAIRES</v>
      </c>
      <c r="N360" s="655">
        <f>+IF(OR($Q360=Parametres!$G$2,$Q360=Parametres!$G$3),I360,C360)</f>
        <v>1077.78</v>
      </c>
      <c r="O360" s="655">
        <f>+IF(OR($Q360=Parametres!$G$2,$Q360=Parametres!$G$3),J360,D360)</f>
        <v>326.87</v>
      </c>
      <c r="P360" s="655">
        <f>+IF(OR($Q360=Parametres!$G$2,$Q360=Parametres!$G$3),K360,E360)</f>
        <v>1404.65</v>
      </c>
      <c r="Q360" s="654" t="str">
        <f t="shared" si="183"/>
        <v>7-Dépenses</v>
      </c>
      <c r="R360" s="653" t="str">
        <f t="shared" si="184"/>
        <v>6121</v>
      </c>
      <c r="S360" s="654" t="str">
        <f t="shared" si="185"/>
        <v>_</v>
      </c>
      <c r="T360" s="656" t="str">
        <f>+VLOOKUP($L360,Data_Validation!$A:$D,1,0)</f>
        <v>6521</v>
      </c>
      <c r="U360" s="656" t="str">
        <f>+VLOOKUP($L360,Data_Validation!$A:$D,3,0)</f>
        <v>Carrosserie</v>
      </c>
      <c r="V360" s="656" t="str">
        <f>+VLOOKUP($L360,Data_Validation!$A:$D,4,0)</f>
        <v>Salaires propriétaire</v>
      </c>
      <c r="W360" s="656" t="str">
        <f>+VLOOKUP($L360,Data_Validation!$A:$E,5,0)</f>
        <v>$</v>
      </c>
      <c r="X360" s="656">
        <f>+VLOOKUP($L360,Data_Validation!$A:$F,6,0)</f>
        <v>0</v>
      </c>
    </row>
    <row r="361" spans="1:24" ht="15" customHeight="1">
      <c r="A361" s="1252" t="s">
        <v>1171</v>
      </c>
      <c r="B361" s="1252" t="s">
        <v>2550</v>
      </c>
      <c r="C361" s="1254">
        <v>2705.64</v>
      </c>
      <c r="D361" s="1254">
        <v>901.88</v>
      </c>
      <c r="E361" s="1254">
        <v>3607.52</v>
      </c>
      <c r="F361" s="1252" t="s">
        <v>1154</v>
      </c>
      <c r="G361" s="1252" t="s">
        <v>1172</v>
      </c>
      <c r="H361" s="1252" t="s">
        <v>3955</v>
      </c>
      <c r="I361" s="1203"/>
      <c r="J361" s="1203"/>
      <c r="K361" s="1203"/>
      <c r="L361" s="653" t="str">
        <f t="shared" si="181"/>
        <v>6522</v>
      </c>
      <c r="M361" s="654" t="str">
        <f t="shared" si="182"/>
        <v>SAL SUPERVISION / GERANT</v>
      </c>
      <c r="N361" s="655">
        <f>+IF(OR($Q361=Parametres!$G$2,$Q361=Parametres!$G$3),I361,C361)</f>
        <v>2705.64</v>
      </c>
      <c r="O361" s="655">
        <f>+IF(OR($Q361=Parametres!$G$2,$Q361=Parametres!$G$3),J361,D361)</f>
        <v>901.88</v>
      </c>
      <c r="P361" s="655">
        <f>+IF(OR($Q361=Parametres!$G$2,$Q361=Parametres!$G$3),K361,E361)</f>
        <v>3607.52</v>
      </c>
      <c r="Q361" s="654" t="str">
        <f t="shared" si="183"/>
        <v>7-Dépenses</v>
      </c>
      <c r="R361" s="653" t="str">
        <f t="shared" si="184"/>
        <v>6122</v>
      </c>
      <c r="S361" s="654" t="str">
        <f t="shared" si="185"/>
        <v>_</v>
      </c>
      <c r="T361" s="656" t="str">
        <f>+VLOOKUP($L361,Data_Validation!$A:$D,1,0)</f>
        <v>6522</v>
      </c>
      <c r="U361" s="656" t="str">
        <f>+VLOOKUP($L361,Data_Validation!$A:$D,3,0)</f>
        <v>Carrosserie</v>
      </c>
      <c r="V361" s="656" t="str">
        <f>+VLOOKUP($L361,Data_Validation!$A:$D,4,0)</f>
        <v>Salaires cadres</v>
      </c>
      <c r="W361" s="656" t="str">
        <f>+VLOOKUP($L361,Data_Validation!$A:$E,5,0)</f>
        <v>$</v>
      </c>
      <c r="X361" s="656">
        <f>+VLOOKUP($L361,Data_Validation!$A:$F,6,0)</f>
        <v>0</v>
      </c>
    </row>
    <row r="362" spans="1:24" ht="15.75" customHeight="1">
      <c r="A362" s="1252" t="s">
        <v>1244</v>
      </c>
      <c r="B362" s="1252" t="s">
        <v>2553</v>
      </c>
      <c r="C362" s="1254">
        <v>11169.99</v>
      </c>
      <c r="D362" s="1254">
        <v>4215.95</v>
      </c>
      <c r="E362" s="1254">
        <v>15385.94</v>
      </c>
      <c r="F362" s="1252" t="s">
        <v>1154</v>
      </c>
      <c r="G362" s="1252" t="s">
        <v>1174</v>
      </c>
      <c r="H362" s="1252" t="s">
        <v>3955</v>
      </c>
      <c r="I362" s="1203"/>
      <c r="J362" s="1203"/>
      <c r="K362" s="1203"/>
      <c r="L362" s="653" t="str">
        <f t="shared" si="181"/>
        <v>6523</v>
      </c>
      <c r="M362" s="654" t="str">
        <f t="shared" si="182"/>
        <v>SAL. &amp; RENUM. CLERICAL</v>
      </c>
      <c r="N362" s="655">
        <f>+IF(OR($Q362=Parametres!$G$2,$Q362=Parametres!$G$3),I362,C362)</f>
        <v>11169.99</v>
      </c>
      <c r="O362" s="655">
        <f>+IF(OR($Q362=Parametres!$G$2,$Q362=Parametres!$G$3),J362,D362)</f>
        <v>4215.95</v>
      </c>
      <c r="P362" s="655">
        <f>+IF(OR($Q362=Parametres!$G$2,$Q362=Parametres!$G$3),K362,E362)</f>
        <v>15385.94</v>
      </c>
      <c r="Q362" s="654" t="str">
        <f t="shared" si="183"/>
        <v>7-Dépenses</v>
      </c>
      <c r="R362" s="653" t="str">
        <f t="shared" si="184"/>
        <v>6123</v>
      </c>
      <c r="S362" s="654" t="str">
        <f t="shared" si="185"/>
        <v>_</v>
      </c>
      <c r="T362" s="656" t="str">
        <f>+VLOOKUP($L362,Data_Validation!$A:$D,1,0)</f>
        <v>6523</v>
      </c>
      <c r="U362" s="656" t="str">
        <f>+VLOOKUP($L362,Data_Validation!$A:$D,3,0)</f>
        <v>Carrosserie</v>
      </c>
      <c r="V362" s="656" t="str">
        <f>+VLOOKUP($L362,Data_Validation!$A:$D,4,0)</f>
        <v>Salaires commis</v>
      </c>
      <c r="W362" s="656" t="str">
        <f>+VLOOKUP($L362,Data_Validation!$A:$E,5,0)</f>
        <v>$</v>
      </c>
      <c r="X362" s="656">
        <f>+VLOOKUP($L362,Data_Validation!$A:$F,6,0)</f>
        <v>0</v>
      </c>
    </row>
    <row r="363" spans="1:24" ht="15.75" customHeight="1">
      <c r="A363" s="1252" t="s">
        <v>1175</v>
      </c>
      <c r="B363" s="1252" t="s">
        <v>2556</v>
      </c>
      <c r="C363" s="1254">
        <v>0.24</v>
      </c>
      <c r="D363" s="1254">
        <v>0.08</v>
      </c>
      <c r="E363" s="1254">
        <v>0.32</v>
      </c>
      <c r="F363" s="1252" t="s">
        <v>1154</v>
      </c>
      <c r="G363" s="1252" t="s">
        <v>1176</v>
      </c>
      <c r="H363" s="1252" t="s">
        <v>3955</v>
      </c>
      <c r="I363" s="1203"/>
      <c r="J363" s="1203"/>
      <c r="K363" s="1203"/>
      <c r="L363" s="653" t="str">
        <f t="shared" si="181"/>
        <v>6524</v>
      </c>
      <c r="M363" s="654" t="str">
        <f t="shared" si="182"/>
        <v>SALAIRES &amp; RENUM. - AUTRES</v>
      </c>
      <c r="N363" s="655">
        <f>+IF(OR($Q363=Parametres!$G$2,$Q363=Parametres!$G$3),I363,C363)</f>
        <v>0.24</v>
      </c>
      <c r="O363" s="655">
        <f>+IF(OR($Q363=Parametres!$G$2,$Q363=Parametres!$G$3),J363,D363)</f>
        <v>0.08</v>
      </c>
      <c r="P363" s="655">
        <f>+IF(OR($Q363=Parametres!$G$2,$Q363=Parametres!$G$3),K363,E363)</f>
        <v>0.32</v>
      </c>
      <c r="Q363" s="654" t="str">
        <f t="shared" si="183"/>
        <v>7-Dépenses</v>
      </c>
      <c r="R363" s="653" t="str">
        <f t="shared" si="184"/>
        <v>6124</v>
      </c>
      <c r="S363" s="654" t="str">
        <f t="shared" si="185"/>
        <v>_</v>
      </c>
      <c r="T363" s="656" t="str">
        <f>+VLOOKUP($L363,Data_Validation!$A:$D,1,0)</f>
        <v>6524</v>
      </c>
      <c r="U363" s="656" t="str">
        <f>+VLOOKUP($L363,Data_Validation!$A:$D,3,0)</f>
        <v>Carrosserie</v>
      </c>
      <c r="V363" s="656" t="str">
        <f>+VLOOKUP($L363,Data_Validation!$A:$D,4,0)</f>
        <v>Salaires autres</v>
      </c>
      <c r="W363" s="656" t="str">
        <f>+VLOOKUP($L363,Data_Validation!$A:$E,5,0)</f>
        <v>$</v>
      </c>
      <c r="X363" s="656">
        <f>+VLOOKUP($L363,Data_Validation!$A:$F,6,0)</f>
        <v>0</v>
      </c>
    </row>
    <row r="364" spans="1:24" ht="15" customHeight="1">
      <c r="A364" s="1252" t="s">
        <v>1229</v>
      </c>
      <c r="B364" s="1252" t="s">
        <v>2562</v>
      </c>
      <c r="C364" s="1254">
        <v>1013.67</v>
      </c>
      <c r="D364" s="1254">
        <v>537.70000000000005</v>
      </c>
      <c r="E364" s="1254">
        <v>1551.37</v>
      </c>
      <c r="F364" s="1252" t="s">
        <v>1154</v>
      </c>
      <c r="G364" s="1252" t="s">
        <v>1178</v>
      </c>
      <c r="H364" s="1252" t="s">
        <v>3955</v>
      </c>
      <c r="I364" s="1203"/>
      <c r="J364" s="1203"/>
      <c r="K364" s="1203"/>
      <c r="L364" s="653" t="str">
        <f t="shared" si="181"/>
        <v>6529</v>
      </c>
      <c r="M364" s="654" t="str">
        <f t="shared" si="182"/>
        <v>ABS.,VACANCES &amp; SAL. JOURS FER</v>
      </c>
      <c r="N364" s="655">
        <f>+IF(OR($Q364=Parametres!$G$2,$Q364=Parametres!$G$3),I364,C364)</f>
        <v>1013.67</v>
      </c>
      <c r="O364" s="655">
        <f>+IF(OR($Q364=Parametres!$G$2,$Q364=Parametres!$G$3),J364,D364)</f>
        <v>537.70000000000005</v>
      </c>
      <c r="P364" s="655">
        <f>+IF(OR($Q364=Parametres!$G$2,$Q364=Parametres!$G$3),K364,E364)</f>
        <v>1551.37</v>
      </c>
      <c r="Q364" s="654" t="str">
        <f t="shared" si="183"/>
        <v>7-Dépenses</v>
      </c>
      <c r="R364" s="653" t="str">
        <f t="shared" si="184"/>
        <v>6129</v>
      </c>
      <c r="S364" s="654" t="str">
        <f t="shared" si="185"/>
        <v>_</v>
      </c>
      <c r="T364" s="656" t="str">
        <f>+VLOOKUP($L364,Data_Validation!$A:$D,1,0)</f>
        <v>6529</v>
      </c>
      <c r="U364" s="656" t="str">
        <f>+VLOOKUP($L364,Data_Validation!$A:$D,3,0)</f>
        <v>Carrosserie</v>
      </c>
      <c r="V364" s="656" t="str">
        <f>+VLOOKUP($L364,Data_Validation!$A:$D,4,0)</f>
        <v>Salaires en absences</v>
      </c>
      <c r="W364" s="656" t="str">
        <f>+VLOOKUP($L364,Data_Validation!$A:$E,5,0)</f>
        <v>$</v>
      </c>
      <c r="X364" s="656">
        <f>+VLOOKUP($L364,Data_Validation!$A:$F,6,0)</f>
        <v>0</v>
      </c>
    </row>
    <row r="365" spans="1:24" ht="15" customHeight="1">
      <c r="A365" s="1252" t="s">
        <v>1179</v>
      </c>
      <c r="B365" s="1252" t="s">
        <v>2565</v>
      </c>
      <c r="C365" s="1254">
        <v>714.66</v>
      </c>
      <c r="D365" s="1254">
        <v>341.14</v>
      </c>
      <c r="E365" s="1254">
        <v>1055.8</v>
      </c>
      <c r="F365" s="1252" t="s">
        <v>1154</v>
      </c>
      <c r="G365" s="1252" t="s">
        <v>1180</v>
      </c>
      <c r="H365" s="1252" t="s">
        <v>3955</v>
      </c>
      <c r="I365" s="1203"/>
      <c r="J365" s="1203"/>
      <c r="K365" s="1203"/>
      <c r="L365" s="653" t="str">
        <f t="shared" si="181"/>
        <v>6531</v>
      </c>
      <c r="M365" s="654" t="str">
        <f t="shared" si="182"/>
        <v>CSST</v>
      </c>
      <c r="N365" s="655">
        <f>+IF(OR($Q365=Parametres!$G$2,$Q365=Parametres!$G$3),I365,C365)</f>
        <v>714.66</v>
      </c>
      <c r="O365" s="655">
        <f>+IF(OR($Q365=Parametres!$G$2,$Q365=Parametres!$G$3),J365,D365)</f>
        <v>341.14</v>
      </c>
      <c r="P365" s="655">
        <f>+IF(OR($Q365=Parametres!$G$2,$Q365=Parametres!$G$3),K365,E365)</f>
        <v>1055.8</v>
      </c>
      <c r="Q365" s="654" t="str">
        <f t="shared" si="183"/>
        <v>7-Dépenses</v>
      </c>
      <c r="R365" s="653" t="str">
        <f t="shared" si="184"/>
        <v>6131</v>
      </c>
      <c r="S365" s="654" t="str">
        <f t="shared" si="185"/>
        <v>_</v>
      </c>
      <c r="T365" s="656" t="str">
        <f>+VLOOKUP($L365,Data_Validation!$A:$D,1,0)</f>
        <v>6531</v>
      </c>
      <c r="U365" s="656" t="str">
        <f>+VLOOKUP($L365,Data_Validation!$A:$D,3,0)</f>
        <v>Carrosserie</v>
      </c>
      <c r="V365" s="656" t="str">
        <f>+VLOOKUP($L365,Data_Validation!$A:$D,4,0)</f>
        <v>Csst</v>
      </c>
      <c r="W365" s="656" t="str">
        <f>+VLOOKUP($L365,Data_Validation!$A:$E,5,0)</f>
        <v>$</v>
      </c>
      <c r="X365" s="656">
        <f>+VLOOKUP($L365,Data_Validation!$A:$F,6,0)</f>
        <v>0</v>
      </c>
    </row>
    <row r="366" spans="1:24" ht="15" customHeight="1">
      <c r="A366" s="1252" t="s">
        <v>1181</v>
      </c>
      <c r="B366" s="1252" t="s">
        <v>2568</v>
      </c>
      <c r="C366" s="1254">
        <v>4263.99</v>
      </c>
      <c r="D366" s="1254">
        <v>1369.98</v>
      </c>
      <c r="E366" s="1254">
        <v>5633.97</v>
      </c>
      <c r="F366" s="1252" t="s">
        <v>1154</v>
      </c>
      <c r="G366" s="1252" t="s">
        <v>1182</v>
      </c>
      <c r="H366" s="1252" t="s">
        <v>3955</v>
      </c>
      <c r="I366" s="1203"/>
      <c r="J366" s="1203"/>
      <c r="K366" s="1203"/>
      <c r="L366" s="653" t="str">
        <f t="shared" si="181"/>
        <v>6532</v>
      </c>
      <c r="M366" s="654" t="str">
        <f t="shared" si="182"/>
        <v>RRQ RAMQ AC</v>
      </c>
      <c r="N366" s="655">
        <f>+IF(OR($Q366=Parametres!$G$2,$Q366=Parametres!$G$3),I366,C366)</f>
        <v>4263.99</v>
      </c>
      <c r="O366" s="659">
        <f>+IF(OR($Q366=Parametres!$G$2,$Q366=Parametres!$G$3),J366,D366)</f>
        <v>1369.98</v>
      </c>
      <c r="P366" s="655">
        <f>+IF(OR($Q366=Parametres!$G$2,$Q366=Parametres!$G$3),K366,E366)</f>
        <v>5633.97</v>
      </c>
      <c r="Q366" s="654" t="str">
        <f t="shared" si="183"/>
        <v>7-Dépenses</v>
      </c>
      <c r="R366" s="653" t="str">
        <f t="shared" si="184"/>
        <v>6132</v>
      </c>
      <c r="S366" s="654" t="str">
        <f t="shared" si="185"/>
        <v>_</v>
      </c>
      <c r="T366" s="656" t="str">
        <f>+VLOOKUP($L366,Data_Validation!$A:$D,1,0)</f>
        <v>6532</v>
      </c>
      <c r="U366" s="656" t="str">
        <f>+VLOOKUP($L366,Data_Validation!$A:$D,3,0)</f>
        <v>Carrosserie</v>
      </c>
      <c r="V366" s="656" t="str">
        <f>+VLOOKUP($L366,Data_Validation!$A:$D,4,0)</f>
        <v>Déduction à la source</v>
      </c>
      <c r="W366" s="656" t="str">
        <f>+VLOOKUP($L366,Data_Validation!$A:$E,5,0)</f>
        <v>$</v>
      </c>
      <c r="X366" s="656">
        <f>+VLOOKUP($L366,Data_Validation!$A:$F,6,0)</f>
        <v>0</v>
      </c>
    </row>
    <row r="367" spans="1:24" ht="15" customHeight="1">
      <c r="A367" s="1252" t="s">
        <v>1264</v>
      </c>
      <c r="B367" s="1252" t="s">
        <v>3397</v>
      </c>
      <c r="C367" s="1254">
        <v>540.69000000000005</v>
      </c>
      <c r="D367" s="1254">
        <v>177.45</v>
      </c>
      <c r="E367" s="1254">
        <v>718.14</v>
      </c>
      <c r="F367" s="1252" t="s">
        <v>1154</v>
      </c>
      <c r="G367" s="1252" t="s">
        <v>1184</v>
      </c>
      <c r="H367" s="1252" t="s">
        <v>3955</v>
      </c>
      <c r="I367" s="1203"/>
      <c r="J367" s="1203"/>
      <c r="K367" s="1203"/>
      <c r="L367" s="653" t="str">
        <f t="shared" si="181"/>
        <v>6533</v>
      </c>
      <c r="M367" s="654" t="str">
        <f t="shared" si="182"/>
        <v>FOND PENSION - CARROSSERIE</v>
      </c>
      <c r="N367" s="655">
        <f>+IF(OR($Q367=Parametres!$G$2,$Q367=Parametres!$G$3),I367,C367)</f>
        <v>540.69000000000005</v>
      </c>
      <c r="O367" s="655">
        <f>+IF(OR($Q367=Parametres!$G$2,$Q367=Parametres!$G$3),J367,D367)</f>
        <v>177.45</v>
      </c>
      <c r="P367" s="655">
        <f>+IF(OR($Q367=Parametres!$G$2,$Q367=Parametres!$G$3),K367,E367)</f>
        <v>718.14</v>
      </c>
      <c r="Q367" s="654" t="str">
        <f t="shared" si="183"/>
        <v>7-Dépenses</v>
      </c>
      <c r="R367" s="653" t="str">
        <f t="shared" si="184"/>
        <v>6133</v>
      </c>
      <c r="S367" s="654" t="str">
        <f t="shared" si="185"/>
        <v>_</v>
      </c>
      <c r="T367" s="656" t="str">
        <f>+VLOOKUP($L367,Data_Validation!$A:$D,1,0)</f>
        <v>6533</v>
      </c>
      <c r="U367" s="656" t="str">
        <f>+VLOOKUP($L367,Data_Validation!$A:$D,3,0)</f>
        <v>Carrosserie</v>
      </c>
      <c r="V367" s="656" t="str">
        <f>+VLOOKUP($L367,Data_Validation!$A:$D,4,0)</f>
        <v>Bénéfices marginaux</v>
      </c>
      <c r="W367" s="656" t="str">
        <f>+VLOOKUP($L367,Data_Validation!$A:$E,5,0)</f>
        <v>$</v>
      </c>
      <c r="X367" s="656">
        <f>+VLOOKUP($L367,Data_Validation!$A:$F,6,0)</f>
        <v>0</v>
      </c>
    </row>
    <row r="368" spans="1:24" ht="15" customHeight="1">
      <c r="A368" s="1252" t="s">
        <v>1231</v>
      </c>
      <c r="B368" s="1252" t="s">
        <v>2571</v>
      </c>
      <c r="C368" s="1254">
        <v>735.88</v>
      </c>
      <c r="D368" s="1254">
        <v>204.97</v>
      </c>
      <c r="E368" s="1254">
        <v>940.85</v>
      </c>
      <c r="F368" s="1252" t="s">
        <v>1154</v>
      </c>
      <c r="G368" s="1252" t="s">
        <v>1186</v>
      </c>
      <c r="H368" s="1252" t="s">
        <v>3955</v>
      </c>
      <c r="I368" s="1203"/>
      <c r="J368" s="1203"/>
      <c r="K368" s="1203"/>
      <c r="L368" s="653" t="str">
        <f t="shared" si="181"/>
        <v>6539</v>
      </c>
      <c r="M368" s="654" t="str">
        <f t="shared" si="182"/>
        <v>ASSURANCE GROUPE</v>
      </c>
      <c r="N368" s="655">
        <f>+IF(OR($Q368=Parametres!$G$2,$Q368=Parametres!$G$3),I368,C368)</f>
        <v>735.88</v>
      </c>
      <c r="O368" s="655">
        <f>+IF(OR($Q368=Parametres!$G$2,$Q368=Parametres!$G$3),J368,D368)</f>
        <v>204.97</v>
      </c>
      <c r="P368" s="655">
        <f>+IF(OR($Q368=Parametres!$G$2,$Q368=Parametres!$G$3),K368,E368)</f>
        <v>940.85</v>
      </c>
      <c r="Q368" s="654" t="str">
        <f t="shared" si="183"/>
        <v>7-Dépenses</v>
      </c>
      <c r="R368" s="653" t="str">
        <f t="shared" si="184"/>
        <v>6139</v>
      </c>
      <c r="S368" s="654" t="str">
        <f t="shared" si="185"/>
        <v>_</v>
      </c>
      <c r="T368" s="656" t="str">
        <f>+VLOOKUP($L368,Data_Validation!$A:$D,1,0)</f>
        <v>6539</v>
      </c>
      <c r="U368" s="656" t="str">
        <f>+VLOOKUP($L368,Data_Validation!$A:$D,3,0)</f>
        <v>Carrosserie</v>
      </c>
      <c r="V368" s="656" t="str">
        <f>+VLOOKUP($L368,Data_Validation!$A:$D,4,0)</f>
        <v>Bénéfices marginaux</v>
      </c>
      <c r="W368" s="656" t="str">
        <f>+VLOOKUP($L368,Data_Validation!$A:$E,5,0)</f>
        <v>$</v>
      </c>
      <c r="X368" s="656">
        <f>+VLOOKUP($L368,Data_Validation!$A:$F,6,0)</f>
        <v>0</v>
      </c>
    </row>
    <row r="369" spans="1:24" ht="15.75" customHeight="1">
      <c r="A369" s="1252" t="s">
        <v>1191</v>
      </c>
      <c r="B369" s="1252" t="s">
        <v>2583</v>
      </c>
      <c r="C369" s="1254">
        <v>237.66</v>
      </c>
      <c r="D369" s="1254">
        <v>22.33</v>
      </c>
      <c r="E369" s="1254">
        <v>259.99</v>
      </c>
      <c r="F369" s="1252" t="s">
        <v>1154</v>
      </c>
      <c r="G369" s="1252" t="s">
        <v>1192</v>
      </c>
      <c r="H369" s="1252" t="s">
        <v>3955</v>
      </c>
      <c r="I369" s="1203"/>
      <c r="J369" s="1203"/>
      <c r="K369" s="1203"/>
      <c r="L369" s="653" t="str">
        <f t="shared" si="181"/>
        <v>6544</v>
      </c>
      <c r="M369" s="654" t="str">
        <f t="shared" si="182"/>
        <v>FORMATION</v>
      </c>
      <c r="N369" s="655">
        <f>+IF(OR($Q369=Parametres!$G$2,$Q369=Parametres!$G$3),I369,C369)</f>
        <v>237.66</v>
      </c>
      <c r="O369" s="655">
        <f>+IF(OR($Q369=Parametres!$G$2,$Q369=Parametres!$G$3),J369,D369)</f>
        <v>22.33</v>
      </c>
      <c r="P369" s="655">
        <f>+IF(OR($Q369=Parametres!$G$2,$Q369=Parametres!$G$3),K369,E369)</f>
        <v>259.99</v>
      </c>
      <c r="Q369" s="654" t="str">
        <f t="shared" si="183"/>
        <v>7-Dépenses</v>
      </c>
      <c r="R369" s="653" t="str">
        <f t="shared" si="184"/>
        <v>6144</v>
      </c>
      <c r="S369" s="654" t="str">
        <f t="shared" si="185"/>
        <v>_</v>
      </c>
      <c r="T369" s="656" t="str">
        <f>+VLOOKUP($L369,Data_Validation!$A:$D,1,0)</f>
        <v>6544</v>
      </c>
      <c r="U369" s="656" t="str">
        <f>+VLOOKUP($L369,Data_Validation!$A:$D,3,0)</f>
        <v>Carrosserie</v>
      </c>
      <c r="V369" s="656" t="str">
        <f>+VLOOKUP($L369,Data_Validation!$A:$D,4,0)</f>
        <v>Formation</v>
      </c>
      <c r="W369" s="656" t="str">
        <f>+VLOOKUP($L369,Data_Validation!$A:$E,5,0)</f>
        <v>$</v>
      </c>
      <c r="X369" s="656">
        <f>+VLOOKUP($L369,Data_Validation!$A:$F,6,0)</f>
        <v>0</v>
      </c>
    </row>
    <row r="370" spans="1:24" ht="15" customHeight="1">
      <c r="A370" s="1252" t="s">
        <v>1193</v>
      </c>
      <c r="B370" s="1252" t="s">
        <v>2586</v>
      </c>
      <c r="C370" s="1254">
        <v>493.45</v>
      </c>
      <c r="D370" s="1254">
        <v>157.77000000000001</v>
      </c>
      <c r="E370" s="1254">
        <v>651.22</v>
      </c>
      <c r="F370" s="1252" t="s">
        <v>1154</v>
      </c>
      <c r="G370" s="1252" t="s">
        <v>1194</v>
      </c>
      <c r="H370" s="1252" t="s">
        <v>3955</v>
      </c>
      <c r="I370" s="1203"/>
      <c r="J370" s="1203"/>
      <c r="K370" s="1203"/>
      <c r="L370" s="653" t="str">
        <f t="shared" si="181"/>
        <v>6545</v>
      </c>
      <c r="M370" s="654" t="str">
        <f t="shared" si="182"/>
        <v>VEHICULE DE COMPAGNIE - DEPENS</v>
      </c>
      <c r="N370" s="655">
        <f>+IF(OR($Q370=Parametres!$G$2,$Q370=Parametres!$G$3),I370,C370)</f>
        <v>493.45</v>
      </c>
      <c r="O370" s="655">
        <f>+IF(OR($Q370=Parametres!$G$2,$Q370=Parametres!$G$3),J370,D370)</f>
        <v>157.77000000000001</v>
      </c>
      <c r="P370" s="655">
        <f>+IF(OR($Q370=Parametres!$G$2,$Q370=Parametres!$G$3),K370,E370)</f>
        <v>651.22</v>
      </c>
      <c r="Q370" s="654" t="str">
        <f t="shared" si="183"/>
        <v>7-Dépenses</v>
      </c>
      <c r="R370" s="653" t="str">
        <f t="shared" si="184"/>
        <v>6145</v>
      </c>
      <c r="S370" s="654" t="str">
        <f t="shared" si="185"/>
        <v>_</v>
      </c>
      <c r="T370" s="656" t="str">
        <f>+VLOOKUP($L370,Data_Validation!$A:$D,1,0)</f>
        <v>6545</v>
      </c>
      <c r="U370" s="656" t="str">
        <f>+VLOOKUP($L370,Data_Validation!$A:$D,3,0)</f>
        <v>Carrosserie</v>
      </c>
      <c r="V370" s="656" t="str">
        <f>+VLOOKUP($L370,Data_Validation!$A:$D,4,0)</f>
        <v>Frais véhicules de cie</v>
      </c>
      <c r="W370" s="656" t="str">
        <f>+VLOOKUP($L370,Data_Validation!$A:$E,5,0)</f>
        <v>$</v>
      </c>
      <c r="X370" s="656">
        <f>+VLOOKUP($L370,Data_Validation!$A:$F,6,0)</f>
        <v>0</v>
      </c>
    </row>
    <row r="371" spans="1:24" ht="15" customHeight="1">
      <c r="A371" s="1252" t="s">
        <v>1195</v>
      </c>
      <c r="B371" s="1252" t="s">
        <v>2589</v>
      </c>
      <c r="C371" s="1254">
        <v>345.51</v>
      </c>
      <c r="D371" s="1254">
        <v>28.72</v>
      </c>
      <c r="E371" s="1254">
        <v>374.23</v>
      </c>
      <c r="F371" s="1252" t="s">
        <v>1154</v>
      </c>
      <c r="G371" s="1252" t="s">
        <v>1196</v>
      </c>
      <c r="H371" s="1252" t="s">
        <v>3955</v>
      </c>
      <c r="I371" s="1203"/>
      <c r="J371" s="1203"/>
      <c r="K371" s="1203"/>
      <c r="L371" s="653" t="str">
        <f t="shared" si="181"/>
        <v>6547</v>
      </c>
      <c r="M371" s="654" t="str">
        <f t="shared" si="182"/>
        <v>FRET/EXPRESS/TRANS. PAR CAMION</v>
      </c>
      <c r="N371" s="655">
        <f>+IF(OR($Q371=Parametres!$G$2,$Q371=Parametres!$G$3),I371,C371)</f>
        <v>345.51</v>
      </c>
      <c r="O371" s="655">
        <f>+IF(OR($Q371=Parametres!$G$2,$Q371=Parametres!$G$3),J371,D371)</f>
        <v>28.72</v>
      </c>
      <c r="P371" s="655">
        <f>+IF(OR($Q371=Parametres!$G$2,$Q371=Parametres!$G$3),K371,E371)</f>
        <v>374.23</v>
      </c>
      <c r="Q371" s="654" t="str">
        <f t="shared" si="183"/>
        <v>7-Dépenses</v>
      </c>
      <c r="R371" s="653" t="str">
        <f t="shared" si="184"/>
        <v>6147</v>
      </c>
      <c r="S371" s="654" t="str">
        <f t="shared" si="185"/>
        <v>_</v>
      </c>
      <c r="T371" s="656" t="str">
        <f>+VLOOKUP($L371,Data_Validation!$A:$D,1,0)</f>
        <v>6547</v>
      </c>
      <c r="U371" s="656" t="str">
        <f>+VLOOKUP($L371,Data_Validation!$A:$D,3,0)</f>
        <v>Carrosserie</v>
      </c>
      <c r="V371" s="656" t="str">
        <f>+VLOOKUP($L371,Data_Validation!$A:$D,4,0)</f>
        <v>Frais postaux</v>
      </c>
      <c r="W371" s="656" t="str">
        <f>+VLOOKUP($L371,Data_Validation!$A:$E,5,0)</f>
        <v>$</v>
      </c>
      <c r="X371" s="656">
        <f>+VLOOKUP($L371,Data_Validation!$A:$F,6,0)</f>
        <v>0</v>
      </c>
    </row>
    <row r="372" spans="1:24" ht="15" customHeight="1">
      <c r="A372" s="1252" t="s">
        <v>1197</v>
      </c>
      <c r="B372" s="1252" t="s">
        <v>2594</v>
      </c>
      <c r="C372" s="1254">
        <v>4999.82</v>
      </c>
      <c r="D372" s="1254">
        <v>1441.37</v>
      </c>
      <c r="E372" s="1254">
        <v>6441.19</v>
      </c>
      <c r="F372" s="1252" t="s">
        <v>1154</v>
      </c>
      <c r="G372" s="1252" t="s">
        <v>1198</v>
      </c>
      <c r="H372" s="1252" t="s">
        <v>3955</v>
      </c>
      <c r="I372" s="1203"/>
      <c r="J372" s="1203"/>
      <c r="K372" s="1203"/>
      <c r="L372" s="653" t="str">
        <f t="shared" ref="L372:L388" si="186">TEXT(B372,0)</f>
        <v>6551</v>
      </c>
      <c r="M372" s="654" t="str">
        <f t="shared" ref="M372:M388" si="187">+A372</f>
        <v>DEP. DU TRAITEMENT DES DONNEES</v>
      </c>
      <c r="N372" s="655">
        <f>+IF(OR($Q372=Parametres!$G$2,$Q372=Parametres!$G$3),I372,C372)</f>
        <v>4999.82</v>
      </c>
      <c r="O372" s="655">
        <f>+IF(OR($Q372=Parametres!$G$2,$Q372=Parametres!$G$3),J372,D372)</f>
        <v>1441.37</v>
      </c>
      <c r="P372" s="655">
        <f>+IF(OR($Q372=Parametres!$G$2,$Q372=Parametres!$G$3),K372,E372)</f>
        <v>6441.19</v>
      </c>
      <c r="Q372" s="654" t="str">
        <f t="shared" ref="Q372:Q388" si="188">+F372</f>
        <v>7-Dépenses</v>
      </c>
      <c r="R372" s="653" t="str">
        <f t="shared" ref="R372:R388" si="189">+G372</f>
        <v>6151</v>
      </c>
      <c r="S372" s="654" t="str">
        <f t="shared" ref="S372:S388" si="190">+H372</f>
        <v>_</v>
      </c>
      <c r="T372" s="656" t="str">
        <f>+VLOOKUP($L372,Data_Validation!$A:$D,1,0)</f>
        <v>6551</v>
      </c>
      <c r="U372" s="656" t="str">
        <f>+VLOOKUP($L372,Data_Validation!$A:$D,3,0)</f>
        <v>Carrosserie</v>
      </c>
      <c r="V372" s="656" t="str">
        <f>+VLOOKUP($L372,Data_Validation!$A:$D,4,0)</f>
        <v>Informatique</v>
      </c>
      <c r="W372" s="656" t="str">
        <f>+VLOOKUP($L372,Data_Validation!$A:$E,5,0)</f>
        <v>$</v>
      </c>
      <c r="X372" s="656">
        <f>+VLOOKUP($L372,Data_Validation!$A:$F,6,0)</f>
        <v>0</v>
      </c>
    </row>
    <row r="373" spans="1:24" ht="15" customHeight="1">
      <c r="A373" s="1252" t="s">
        <v>1199</v>
      </c>
      <c r="B373" s="1252" t="s">
        <v>2597</v>
      </c>
      <c r="C373" s="1254">
        <v>382.12</v>
      </c>
      <c r="D373" s="1254">
        <v>12.72</v>
      </c>
      <c r="E373" s="1254">
        <v>394.84</v>
      </c>
      <c r="F373" s="1252" t="s">
        <v>1154</v>
      </c>
      <c r="G373" s="1252" t="s">
        <v>1200</v>
      </c>
      <c r="H373" s="1252" t="s">
        <v>3955</v>
      </c>
      <c r="I373" s="1203"/>
      <c r="J373" s="1203"/>
      <c r="K373" s="1203"/>
      <c r="L373" s="653" t="str">
        <f t="shared" si="186"/>
        <v>6552</v>
      </c>
      <c r="M373" s="654" t="str">
        <f t="shared" si="187"/>
        <v>PAPETERIE</v>
      </c>
      <c r="N373" s="655">
        <f>+IF(OR($Q373=Parametres!$G$2,$Q373=Parametres!$G$3),I373,C373)</f>
        <v>382.12</v>
      </c>
      <c r="O373" s="655">
        <f>+IF(OR($Q373=Parametres!$G$2,$Q373=Parametres!$G$3),J373,D373)</f>
        <v>12.72</v>
      </c>
      <c r="P373" s="655">
        <f>+IF(OR($Q373=Parametres!$G$2,$Q373=Parametres!$G$3),K373,E373)</f>
        <v>394.84</v>
      </c>
      <c r="Q373" s="654" t="str">
        <f t="shared" si="188"/>
        <v>7-Dépenses</v>
      </c>
      <c r="R373" s="653" t="str">
        <f t="shared" si="189"/>
        <v>6152</v>
      </c>
      <c r="S373" s="654" t="str">
        <f t="shared" si="190"/>
        <v>_</v>
      </c>
      <c r="T373" s="656" t="str">
        <f>+VLOOKUP($L373,Data_Validation!$A:$D,1,0)</f>
        <v>6552</v>
      </c>
      <c r="U373" s="656" t="str">
        <f>+VLOOKUP($L373,Data_Validation!$A:$D,3,0)</f>
        <v>Carrosserie</v>
      </c>
      <c r="V373" s="656" t="str">
        <f>+VLOOKUP($L373,Data_Validation!$A:$D,4,0)</f>
        <v>Papeterie</v>
      </c>
      <c r="W373" s="656" t="str">
        <f>+VLOOKUP($L373,Data_Validation!$A:$E,5,0)</f>
        <v>$</v>
      </c>
      <c r="X373" s="656">
        <f>+VLOOKUP($L373,Data_Validation!$A:$F,6,0)</f>
        <v>0</v>
      </c>
    </row>
    <row r="374" spans="1:24" ht="15.75" customHeight="1">
      <c r="A374" s="1252" t="s">
        <v>1201</v>
      </c>
      <c r="B374" s="1252" t="s">
        <v>2600</v>
      </c>
      <c r="C374" s="1254">
        <v>94.84</v>
      </c>
      <c r="D374" s="1254">
        <v>26.51</v>
      </c>
      <c r="E374" s="1254">
        <v>121.35</v>
      </c>
      <c r="F374" s="1252" t="s">
        <v>1154</v>
      </c>
      <c r="G374" s="1252" t="s">
        <v>1202</v>
      </c>
      <c r="H374" s="1252" t="s">
        <v>3955</v>
      </c>
      <c r="I374" s="1203"/>
      <c r="J374" s="1203"/>
      <c r="K374" s="1203"/>
      <c r="L374" s="653" t="str">
        <f t="shared" si="186"/>
        <v>6553</v>
      </c>
      <c r="M374" s="654" t="str">
        <f t="shared" si="187"/>
        <v>TELEPHONE ET TELEX</v>
      </c>
      <c r="N374" s="655">
        <f>+IF(OR($Q374=Parametres!$G$2,$Q374=Parametres!$G$3),I374,C374)</f>
        <v>94.84</v>
      </c>
      <c r="O374" s="655">
        <f>+IF(OR($Q374=Parametres!$G$2,$Q374=Parametres!$G$3),J374,D374)</f>
        <v>26.51</v>
      </c>
      <c r="P374" s="655">
        <f>+IF(OR($Q374=Parametres!$G$2,$Q374=Parametres!$G$3),K374,E374)</f>
        <v>121.35</v>
      </c>
      <c r="Q374" s="654" t="str">
        <f t="shared" si="188"/>
        <v>7-Dépenses</v>
      </c>
      <c r="R374" s="653" t="str">
        <f t="shared" si="189"/>
        <v>6153</v>
      </c>
      <c r="S374" s="654" t="str">
        <f t="shared" si="190"/>
        <v>_</v>
      </c>
      <c r="T374" s="656" t="str">
        <f>+VLOOKUP($L374,Data_Validation!$A:$D,1,0)</f>
        <v>6553</v>
      </c>
      <c r="U374" s="656" t="str">
        <f>+VLOOKUP($L374,Data_Validation!$A:$D,3,0)</f>
        <v>Carrosserie</v>
      </c>
      <c r="V374" s="656" t="str">
        <f>+VLOOKUP($L374,Data_Validation!$A:$D,4,0)</f>
        <v>Téléphone</v>
      </c>
      <c r="W374" s="656" t="str">
        <f>+VLOOKUP($L374,Data_Validation!$A:$E,5,0)</f>
        <v>$</v>
      </c>
      <c r="X374" s="656">
        <f>+VLOOKUP($L374,Data_Validation!$A:$F,6,0)</f>
        <v>0</v>
      </c>
    </row>
    <row r="375" spans="1:24" ht="15" customHeight="1">
      <c r="A375" s="1252" t="s">
        <v>1203</v>
      </c>
      <c r="B375" s="1252" t="s">
        <v>2603</v>
      </c>
      <c r="C375" s="1254">
        <v>50.73</v>
      </c>
      <c r="D375" s="1254">
        <v>26.49</v>
      </c>
      <c r="E375" s="1254">
        <v>77.22</v>
      </c>
      <c r="F375" s="1252" t="s">
        <v>1154</v>
      </c>
      <c r="G375" s="1252" t="s">
        <v>1204</v>
      </c>
      <c r="H375" s="1252" t="s">
        <v>3955</v>
      </c>
      <c r="I375" s="1203"/>
      <c r="J375" s="1203"/>
      <c r="K375" s="1203"/>
      <c r="L375" s="653" t="str">
        <f t="shared" si="186"/>
        <v>6555</v>
      </c>
      <c r="M375" s="654" t="str">
        <f t="shared" si="187"/>
        <v>DEPENSES DIVERS</v>
      </c>
      <c r="N375" s="655">
        <f>+IF(OR($Q375=Parametres!$G$2,$Q375=Parametres!$G$3),I375,C375)</f>
        <v>50.73</v>
      </c>
      <c r="O375" s="655">
        <f>+IF(OR($Q375=Parametres!$G$2,$Q375=Parametres!$G$3),J375,D375)</f>
        <v>26.49</v>
      </c>
      <c r="P375" s="655">
        <f>+IF(OR($Q375=Parametres!$G$2,$Q375=Parametres!$G$3),K375,E375)</f>
        <v>77.22</v>
      </c>
      <c r="Q375" s="654" t="str">
        <f t="shared" si="188"/>
        <v>7-Dépenses</v>
      </c>
      <c r="R375" s="653" t="str">
        <f t="shared" si="189"/>
        <v>6155</v>
      </c>
      <c r="S375" s="654" t="str">
        <f t="shared" si="190"/>
        <v>_</v>
      </c>
      <c r="T375" s="656" t="str">
        <f>+VLOOKUP($L375,Data_Validation!$A:$D,1,0)</f>
        <v>6555</v>
      </c>
      <c r="U375" s="656" t="str">
        <f>+VLOOKUP($L375,Data_Validation!$A:$D,3,0)</f>
        <v>Carrosserie</v>
      </c>
      <c r="V375" s="656" t="str">
        <f>+VLOOKUP($L375,Data_Validation!$A:$D,4,0)</f>
        <v>Divers</v>
      </c>
      <c r="W375" s="656" t="str">
        <f>+VLOOKUP($L375,Data_Validation!$A:$E,5,0)</f>
        <v>$</v>
      </c>
      <c r="X375" s="656">
        <f>+VLOOKUP($L375,Data_Validation!$A:$F,6,0)</f>
        <v>0</v>
      </c>
    </row>
    <row r="376" spans="1:24" ht="15" customHeight="1">
      <c r="A376" s="1252" t="s">
        <v>1265</v>
      </c>
      <c r="B376" s="1252" t="s">
        <v>2606</v>
      </c>
      <c r="C376" s="1254">
        <v>687.86</v>
      </c>
      <c r="D376" s="1254">
        <v>285.75</v>
      </c>
      <c r="E376" s="1254">
        <v>973.61</v>
      </c>
      <c r="F376" s="1252" t="s">
        <v>1154</v>
      </c>
      <c r="G376" s="1252" t="s">
        <v>1206</v>
      </c>
      <c r="H376" s="1252" t="s">
        <v>3955</v>
      </c>
      <c r="I376" s="1203"/>
      <c r="J376" s="1203"/>
      <c r="K376" s="1203"/>
      <c r="L376" s="653" t="str">
        <f t="shared" si="186"/>
        <v>6556</v>
      </c>
      <c r="M376" s="654" t="str">
        <f t="shared" si="187"/>
        <v>FRAIS REPRESENTATION</v>
      </c>
      <c r="N376" s="655">
        <f>+IF(OR($Q376=Parametres!$G$2,$Q376=Parametres!$G$3),I376,C376)</f>
        <v>687.86</v>
      </c>
      <c r="O376" s="655">
        <f>+IF(OR($Q376=Parametres!$G$2,$Q376=Parametres!$G$3),J376,D376)</f>
        <v>285.75</v>
      </c>
      <c r="P376" s="655">
        <f>+IF(OR($Q376=Parametres!$G$2,$Q376=Parametres!$G$3),K376,E376)</f>
        <v>973.61</v>
      </c>
      <c r="Q376" s="654" t="str">
        <f t="shared" si="188"/>
        <v>7-Dépenses</v>
      </c>
      <c r="R376" s="653" t="str">
        <f t="shared" si="189"/>
        <v>6156</v>
      </c>
      <c r="S376" s="654" t="str">
        <f t="shared" si="190"/>
        <v>_</v>
      </c>
      <c r="T376" s="656" t="str">
        <f>+VLOOKUP($L376,Data_Validation!$A:$D,1,0)</f>
        <v>6556</v>
      </c>
      <c r="U376" s="656" t="str">
        <f>+VLOOKUP($L376,Data_Validation!$A:$D,3,0)</f>
        <v>Carrosserie</v>
      </c>
      <c r="V376" s="656" t="str">
        <f>+VLOOKUP($L376,Data_Validation!$A:$D,4,0)</f>
        <v>Frais de déplacement</v>
      </c>
      <c r="W376" s="656" t="str">
        <f>+VLOOKUP($L376,Data_Validation!$A:$E,5,0)</f>
        <v>$</v>
      </c>
      <c r="X376" s="656">
        <f>+VLOOKUP($L376,Data_Validation!$A:$F,6,0)</f>
        <v>0</v>
      </c>
    </row>
    <row r="377" spans="1:24" ht="15" customHeight="1">
      <c r="A377" s="1252" t="s">
        <v>1266</v>
      </c>
      <c r="B377" s="1252" t="s">
        <v>3398</v>
      </c>
      <c r="C377" s="1254">
        <v>482.68</v>
      </c>
      <c r="D377" s="1254">
        <v>256.04000000000002</v>
      </c>
      <c r="E377" s="1254">
        <v>738.72</v>
      </c>
      <c r="F377" s="1252" t="s">
        <v>1154</v>
      </c>
      <c r="G377" s="1252" t="s">
        <v>1267</v>
      </c>
      <c r="H377" s="1252" t="s">
        <v>3955</v>
      </c>
      <c r="I377" s="1203"/>
      <c r="J377" s="1203"/>
      <c r="K377" s="1203"/>
      <c r="L377" s="653" t="str">
        <f t="shared" si="186"/>
        <v>6557</v>
      </c>
      <c r="M377" s="654" t="str">
        <f t="shared" si="187"/>
        <v>FRAIS BANCAIRES - CARROSSERIE</v>
      </c>
      <c r="N377" s="655">
        <f>+IF(OR($Q377=Parametres!$G$2,$Q377=Parametres!$G$3),I377,C377)</f>
        <v>482.68</v>
      </c>
      <c r="O377" s="655">
        <f>+IF(OR($Q377=Parametres!$G$2,$Q377=Parametres!$G$3),J377,D377)</f>
        <v>256.04000000000002</v>
      </c>
      <c r="P377" s="655">
        <f>+IF(OR($Q377=Parametres!$G$2,$Q377=Parametres!$G$3),K377,E377)</f>
        <v>738.72</v>
      </c>
      <c r="Q377" s="654" t="str">
        <f t="shared" si="188"/>
        <v>7-Dépenses</v>
      </c>
      <c r="R377" s="653" t="str">
        <f t="shared" si="189"/>
        <v>655</v>
      </c>
      <c r="S377" s="654" t="str">
        <f t="shared" si="190"/>
        <v>_</v>
      </c>
      <c r="T377" s="656" t="str">
        <f>+VLOOKUP($L377,Data_Validation!$A:$D,1,0)</f>
        <v>6557</v>
      </c>
      <c r="U377" s="656" t="str">
        <f>+VLOOKUP($L377,Data_Validation!$A:$D,3,0)</f>
        <v>Carrosserie</v>
      </c>
      <c r="V377" s="656" t="str">
        <f>+VLOOKUP($L377,Data_Validation!$A:$D,4,0)</f>
        <v>Frais bancaires</v>
      </c>
      <c r="W377" s="656" t="str">
        <f>+VLOOKUP($L377,Data_Validation!$A:$E,5,0)</f>
        <v>$</v>
      </c>
      <c r="X377" s="656">
        <f>+VLOOKUP($L377,Data_Validation!$A:$F,6,0)</f>
        <v>0</v>
      </c>
    </row>
    <row r="378" spans="1:24" ht="15" customHeight="1">
      <c r="A378" s="1252" t="s">
        <v>1209</v>
      </c>
      <c r="B378" s="1252" t="s">
        <v>2609</v>
      </c>
      <c r="C378" s="1254">
        <v>3090.34</v>
      </c>
      <c r="D378" s="1254">
        <v>726.05</v>
      </c>
      <c r="E378" s="1254">
        <v>3816.39</v>
      </c>
      <c r="F378" s="1252" t="s">
        <v>1154</v>
      </c>
      <c r="G378" s="1252" t="s">
        <v>1210</v>
      </c>
      <c r="H378" s="1252" t="s">
        <v>3955</v>
      </c>
      <c r="I378" s="1203"/>
      <c r="J378" s="1203"/>
      <c r="K378" s="1203"/>
      <c r="L378" s="653" t="str">
        <f t="shared" si="186"/>
        <v>6559</v>
      </c>
      <c r="M378" s="654" t="str">
        <f t="shared" si="187"/>
        <v>SERVICE EXTERIEUR</v>
      </c>
      <c r="N378" s="655">
        <f>+IF(OR($Q378=Parametres!$G$2,$Q378=Parametres!$G$3),I378,C378)</f>
        <v>3090.34</v>
      </c>
      <c r="O378" s="655">
        <f>+IF(OR($Q378=Parametres!$G$2,$Q378=Parametres!$G$3),J378,D378)</f>
        <v>726.05</v>
      </c>
      <c r="P378" s="655">
        <f>+IF(OR($Q378=Parametres!$G$2,$Q378=Parametres!$G$3),K378,E378)</f>
        <v>3816.39</v>
      </c>
      <c r="Q378" s="654" t="str">
        <f t="shared" si="188"/>
        <v>7-Dépenses</v>
      </c>
      <c r="R378" s="653" t="str">
        <f t="shared" si="189"/>
        <v>6159</v>
      </c>
      <c r="S378" s="654" t="str">
        <f t="shared" si="190"/>
        <v>_</v>
      </c>
      <c r="T378" s="656" t="str">
        <f>+VLOOKUP($L378,Data_Validation!$A:$D,1,0)</f>
        <v>6559</v>
      </c>
      <c r="U378" s="656" t="str">
        <f>+VLOOKUP($L378,Data_Validation!$A:$D,3,0)</f>
        <v>Carrosserie</v>
      </c>
      <c r="V378" s="656" t="str">
        <f>+VLOOKUP($L378,Data_Validation!$A:$D,4,0)</f>
        <v>Services extérieurs</v>
      </c>
      <c r="W378" s="656" t="str">
        <f>+VLOOKUP($L378,Data_Validation!$A:$E,5,0)</f>
        <v>$</v>
      </c>
      <c r="X378" s="656">
        <f>+VLOOKUP($L378,Data_Validation!$A:$F,6,0)</f>
        <v>0</v>
      </c>
    </row>
    <row r="379" spans="1:24" ht="15.75" customHeight="1">
      <c r="A379" s="1252" t="s">
        <v>1211</v>
      </c>
      <c r="B379" s="1252" t="s">
        <v>2611</v>
      </c>
      <c r="C379" s="1254">
        <v>8956.08</v>
      </c>
      <c r="D379" s="1254">
        <v>2985.36</v>
      </c>
      <c r="E379" s="1254">
        <v>11941.44</v>
      </c>
      <c r="F379" s="1252" t="s">
        <v>1154</v>
      </c>
      <c r="G379" s="1252" t="s">
        <v>1212</v>
      </c>
      <c r="H379" s="1252" t="s">
        <v>3955</v>
      </c>
      <c r="I379" s="1203"/>
      <c r="J379" s="1203"/>
      <c r="K379" s="1203"/>
      <c r="L379" s="653" t="str">
        <f t="shared" si="186"/>
        <v>6561</v>
      </c>
      <c r="M379" s="654" t="str">
        <f t="shared" si="187"/>
        <v>DEPRECIATION EQUIP. &amp; FIXTURES</v>
      </c>
      <c r="N379" s="655">
        <f>+IF(OR($Q379=Parametres!$G$2,$Q379=Parametres!$G$3),I379,C379)</f>
        <v>8956.08</v>
      </c>
      <c r="O379" s="655">
        <f>+IF(OR($Q379=Parametres!$G$2,$Q379=Parametres!$G$3),J379,D379)</f>
        <v>2985.36</v>
      </c>
      <c r="P379" s="655">
        <f>+IF(OR($Q379=Parametres!$G$2,$Q379=Parametres!$G$3),K379,E379)</f>
        <v>11941.44</v>
      </c>
      <c r="Q379" s="654" t="str">
        <f t="shared" si="188"/>
        <v>7-Dépenses</v>
      </c>
      <c r="R379" s="653" t="str">
        <f t="shared" si="189"/>
        <v>6161</v>
      </c>
      <c r="S379" s="654" t="str">
        <f t="shared" si="190"/>
        <v>_</v>
      </c>
      <c r="T379" s="656" t="str">
        <f>+VLOOKUP($L379,Data_Validation!$A:$D,1,0)</f>
        <v>6561</v>
      </c>
      <c r="U379" s="656" t="str">
        <f>+VLOOKUP($L379,Data_Validation!$A:$D,3,0)</f>
        <v>Carrosserie</v>
      </c>
      <c r="V379" s="656" t="str">
        <f>+VLOOKUP($L379,Data_Validation!$A:$D,4,0)</f>
        <v>Amortissement</v>
      </c>
      <c r="W379" s="656" t="str">
        <f>+VLOOKUP($L379,Data_Validation!$A:$E,5,0)</f>
        <v>$</v>
      </c>
      <c r="X379" s="656">
        <f>+VLOOKUP($L379,Data_Validation!$A:$F,6,0)</f>
        <v>0</v>
      </c>
    </row>
    <row r="380" spans="1:24" ht="15" customHeight="1">
      <c r="A380" s="1252" t="s">
        <v>1268</v>
      </c>
      <c r="B380" s="1252" t="s">
        <v>2620</v>
      </c>
      <c r="C380" s="1254">
        <v>1866.48</v>
      </c>
      <c r="D380" s="1254">
        <v>400.4</v>
      </c>
      <c r="E380" s="1254">
        <v>2266.88</v>
      </c>
      <c r="F380" s="1252" t="s">
        <v>1154</v>
      </c>
      <c r="G380" s="1252" t="s">
        <v>1214</v>
      </c>
      <c r="H380" s="1252" t="s">
        <v>3955</v>
      </c>
      <c r="I380" s="1203"/>
      <c r="J380" s="1203"/>
      <c r="K380" s="1203"/>
      <c r="L380" s="653" t="str">
        <f t="shared" si="186"/>
        <v>6581</v>
      </c>
      <c r="M380" s="654" t="str">
        <f t="shared" si="187"/>
        <v>CHAUFFAGE,ELECTRICITE,EAU-CARROS.</v>
      </c>
      <c r="N380" s="655">
        <f>+IF(OR($Q380=Parametres!$G$2,$Q380=Parametres!$G$3),I380,C380)</f>
        <v>1866.48</v>
      </c>
      <c r="O380" s="659">
        <f>+IF(OR($Q380=Parametres!$G$2,$Q380=Parametres!$G$3),J380,D380)</f>
        <v>400.4</v>
      </c>
      <c r="P380" s="655">
        <f>+IF(OR($Q380=Parametres!$G$2,$Q380=Parametres!$G$3),K380,E380)</f>
        <v>2266.88</v>
      </c>
      <c r="Q380" s="654" t="str">
        <f t="shared" si="188"/>
        <v>7-Dépenses</v>
      </c>
      <c r="R380" s="653" t="str">
        <f t="shared" si="189"/>
        <v>6181</v>
      </c>
      <c r="S380" s="654" t="str">
        <f t="shared" si="190"/>
        <v>_</v>
      </c>
      <c r="T380" s="656" t="str">
        <f>+VLOOKUP($L380,Data_Validation!$A:$D,1,0)</f>
        <v>6581</v>
      </c>
      <c r="U380" s="656" t="str">
        <f>+VLOOKUP($L380,Data_Validation!$A:$D,3,0)</f>
        <v>Carrosserie</v>
      </c>
      <c r="V380" s="656" t="str">
        <f>+VLOOKUP($L380,Data_Validation!$A:$D,4,0)</f>
        <v>Chauffage, éclairage</v>
      </c>
      <c r="W380" s="656" t="str">
        <f>+VLOOKUP($L380,Data_Validation!$A:$E,5,0)</f>
        <v>$</v>
      </c>
      <c r="X380" s="656">
        <f>+VLOOKUP($L380,Data_Validation!$A:$F,6,0)</f>
        <v>0</v>
      </c>
    </row>
    <row r="381" spans="1:24" ht="15" customHeight="1">
      <c r="A381" s="1252" t="s">
        <v>1269</v>
      </c>
      <c r="B381" s="1252" t="s">
        <v>2623</v>
      </c>
      <c r="C381" s="1254">
        <v>7560</v>
      </c>
      <c r="D381" s="1254">
        <v>2520</v>
      </c>
      <c r="E381" s="1254">
        <v>10080</v>
      </c>
      <c r="F381" s="1252" t="s">
        <v>1154</v>
      </c>
      <c r="G381" s="1252" t="s">
        <v>1216</v>
      </c>
      <c r="H381" s="1252" t="s">
        <v>3955</v>
      </c>
      <c r="I381" s="1203"/>
      <c r="J381" s="1203"/>
      <c r="K381" s="1203"/>
      <c r="L381" s="653" t="str">
        <f t="shared" si="186"/>
        <v>6582</v>
      </c>
      <c r="M381" s="654" t="str">
        <f t="shared" si="187"/>
        <v>LOYER - CARROSSERIE</v>
      </c>
      <c r="N381" s="655">
        <f>+IF(OR($Q381=Parametres!$G$2,$Q381=Parametres!$G$3),I381,C381)</f>
        <v>7560</v>
      </c>
      <c r="O381" s="655">
        <f>+IF(OR($Q381=Parametres!$G$2,$Q381=Parametres!$G$3),J381,D381)</f>
        <v>2520</v>
      </c>
      <c r="P381" s="655">
        <f>+IF(OR($Q381=Parametres!$G$2,$Q381=Parametres!$G$3),K381,E381)</f>
        <v>10080</v>
      </c>
      <c r="Q381" s="654" t="str">
        <f t="shared" si="188"/>
        <v>7-Dépenses</v>
      </c>
      <c r="R381" s="653" t="str">
        <f t="shared" si="189"/>
        <v>6182</v>
      </c>
      <c r="S381" s="654" t="str">
        <f t="shared" si="190"/>
        <v>_</v>
      </c>
      <c r="T381" s="656" t="str">
        <f>+VLOOKUP($L381,Data_Validation!$A:$D,1,0)</f>
        <v>6582</v>
      </c>
      <c r="U381" s="656" t="str">
        <f>+VLOOKUP($L381,Data_Validation!$A:$D,3,0)</f>
        <v>Carrosserie</v>
      </c>
      <c r="V381" s="656" t="str">
        <f>+VLOOKUP($L381,Data_Validation!$A:$D,4,0)</f>
        <v>Loyer</v>
      </c>
      <c r="W381" s="656" t="str">
        <f>+VLOOKUP($L381,Data_Validation!$A:$E,5,0)</f>
        <v>$</v>
      </c>
      <c r="X381" s="656">
        <f>+VLOOKUP($L381,Data_Validation!$A:$F,6,0)</f>
        <v>0</v>
      </c>
    </row>
    <row r="382" spans="1:24" ht="15" customHeight="1">
      <c r="A382" s="1252" t="s">
        <v>1270</v>
      </c>
      <c r="B382" s="1252" t="s">
        <v>2625</v>
      </c>
      <c r="C382" s="1254">
        <v>912.3</v>
      </c>
      <c r="D382" s="1254">
        <v>304.10000000000002</v>
      </c>
      <c r="E382" s="1254">
        <v>1216.4000000000001</v>
      </c>
      <c r="F382" s="1252" t="s">
        <v>1154</v>
      </c>
      <c r="G382" s="1252" t="s">
        <v>1218</v>
      </c>
      <c r="H382" s="1252" t="s">
        <v>3955</v>
      </c>
      <c r="I382" s="1203"/>
      <c r="J382" s="1203"/>
      <c r="K382" s="1203"/>
      <c r="L382" s="653" t="str">
        <f t="shared" si="186"/>
        <v>6586</v>
      </c>
      <c r="M382" s="654" t="str">
        <f t="shared" si="187"/>
        <v>ASSURANCE BATISSE &amp; AMEL.-CARROS.</v>
      </c>
      <c r="N382" s="655">
        <f>+IF(OR($Q382=Parametres!$G$2,$Q382=Parametres!$G$3),I382,C382)</f>
        <v>912.3</v>
      </c>
      <c r="O382" s="655">
        <f>+IF(OR($Q382=Parametres!$G$2,$Q382=Parametres!$G$3),J382,D382)</f>
        <v>304.10000000000002</v>
      </c>
      <c r="P382" s="655">
        <f>+IF(OR($Q382=Parametres!$G$2,$Q382=Parametres!$G$3),K382,E382)</f>
        <v>1216.4000000000001</v>
      </c>
      <c r="Q382" s="654" t="str">
        <f t="shared" si="188"/>
        <v>7-Dépenses</v>
      </c>
      <c r="R382" s="653" t="str">
        <f t="shared" si="189"/>
        <v>6186</v>
      </c>
      <c r="S382" s="654" t="str">
        <f t="shared" si="190"/>
        <v>_</v>
      </c>
      <c r="T382" s="656" t="str">
        <f>+VLOOKUP($L382,Data_Validation!$A:$D,1,0)</f>
        <v>6586</v>
      </c>
      <c r="U382" s="656" t="str">
        <f>+VLOOKUP($L382,Data_Validation!$A:$D,3,0)</f>
        <v>Carrosserie</v>
      </c>
      <c r="V382" s="656" t="str">
        <f>+VLOOKUP($L382,Data_Validation!$A:$D,4,0)</f>
        <v>Assurances</v>
      </c>
      <c r="W382" s="656" t="str">
        <f>+VLOOKUP($L382,Data_Validation!$A:$E,5,0)</f>
        <v>$</v>
      </c>
      <c r="X382" s="656">
        <f>+VLOOKUP($L382,Data_Validation!$A:$F,6,0)</f>
        <v>0</v>
      </c>
    </row>
    <row r="383" spans="1:24" ht="15.75" customHeight="1">
      <c r="A383" s="1252" t="s">
        <v>1271</v>
      </c>
      <c r="B383" s="1252" t="s">
        <v>2627</v>
      </c>
      <c r="C383" s="1254">
        <v>1138.83</v>
      </c>
      <c r="D383" s="1254">
        <v>379.61</v>
      </c>
      <c r="E383" s="1254">
        <v>1518.44</v>
      </c>
      <c r="F383" s="1252" t="s">
        <v>1154</v>
      </c>
      <c r="G383" s="1252" t="s">
        <v>1220</v>
      </c>
      <c r="H383" s="1252" t="s">
        <v>3955</v>
      </c>
      <c r="I383" s="1203"/>
      <c r="J383" s="1203"/>
      <c r="K383" s="1203"/>
      <c r="L383" s="653" t="str">
        <f t="shared" si="186"/>
        <v>6587</v>
      </c>
      <c r="M383" s="654" t="str">
        <f t="shared" si="187"/>
        <v>TAXES FONCIERES - CAROSSERIE</v>
      </c>
      <c r="N383" s="655">
        <f>+IF(OR($Q383=Parametres!$G$2,$Q383=Parametres!$G$3),I383,C383)</f>
        <v>1138.83</v>
      </c>
      <c r="O383" s="655">
        <f>+IF(OR($Q383=Parametres!$G$2,$Q383=Parametres!$G$3),J383,D383)</f>
        <v>379.61</v>
      </c>
      <c r="P383" s="655">
        <f>+IF(OR($Q383=Parametres!$G$2,$Q383=Parametres!$G$3),K383,E383)</f>
        <v>1518.44</v>
      </c>
      <c r="Q383" s="654" t="str">
        <f t="shared" si="188"/>
        <v>7-Dépenses</v>
      </c>
      <c r="R383" s="653" t="str">
        <f t="shared" si="189"/>
        <v>6187</v>
      </c>
      <c r="S383" s="654" t="str">
        <f t="shared" si="190"/>
        <v>_</v>
      </c>
      <c r="T383" s="656" t="str">
        <f>+VLOOKUP($L383,Data_Validation!$A:$D,1,0)</f>
        <v>6587</v>
      </c>
      <c r="U383" s="656" t="str">
        <f>+VLOOKUP($L383,Data_Validation!$A:$D,3,0)</f>
        <v>Carrosserie</v>
      </c>
      <c r="V383" s="656" t="str">
        <f>+VLOOKUP($L383,Data_Validation!$A:$D,4,0)</f>
        <v>Taxes foncières</v>
      </c>
      <c r="W383" s="656" t="str">
        <f>+VLOOKUP($L383,Data_Validation!$A:$E,5,0)</f>
        <v>$</v>
      </c>
      <c r="X383" s="656">
        <f>+VLOOKUP($L383,Data_Validation!$A:$F,6,0)</f>
        <v>0</v>
      </c>
    </row>
    <row r="384" spans="1:24" ht="15" customHeight="1">
      <c r="A384" s="1252" t="s">
        <v>1272</v>
      </c>
      <c r="B384" s="1252" t="s">
        <v>2630</v>
      </c>
      <c r="C384" s="1254">
        <v>939.89</v>
      </c>
      <c r="D384" s="1254">
        <v>252.63</v>
      </c>
      <c r="E384" s="1254">
        <v>1192.52</v>
      </c>
      <c r="F384" s="1252" t="s">
        <v>1154</v>
      </c>
      <c r="G384" s="1252" t="s">
        <v>1222</v>
      </c>
      <c r="H384" s="1252" t="s">
        <v>3955</v>
      </c>
      <c r="I384" s="1203"/>
      <c r="J384" s="1203"/>
      <c r="K384" s="1203"/>
      <c r="L384" s="653" t="str">
        <f t="shared" si="186"/>
        <v>6593</v>
      </c>
      <c r="M384" s="654" t="str">
        <f t="shared" si="187"/>
        <v>AUTRES TAXES -CARROSSERIE</v>
      </c>
      <c r="N384" s="655">
        <f>+IF(OR($Q384=Parametres!$G$2,$Q384=Parametres!$G$3),I384,C384)</f>
        <v>939.89</v>
      </c>
      <c r="O384" s="655">
        <f>+IF(OR($Q384=Parametres!$G$2,$Q384=Parametres!$G$3),J384,D384)</f>
        <v>252.63</v>
      </c>
      <c r="P384" s="655">
        <f>+IF(OR($Q384=Parametres!$G$2,$Q384=Parametres!$G$3),K384,E384)</f>
        <v>1192.52</v>
      </c>
      <c r="Q384" s="654" t="str">
        <f t="shared" si="188"/>
        <v>7-Dépenses</v>
      </c>
      <c r="R384" s="653" t="str">
        <f t="shared" si="189"/>
        <v>6193</v>
      </c>
      <c r="S384" s="654" t="str">
        <f t="shared" si="190"/>
        <v>_</v>
      </c>
      <c r="T384" s="656" t="str">
        <f>+VLOOKUP($L384,Data_Validation!$A:$D,1,0)</f>
        <v>6593</v>
      </c>
      <c r="U384" s="656" t="str">
        <f>+VLOOKUP($L384,Data_Validation!$A:$D,3,0)</f>
        <v>Carrosserie</v>
      </c>
      <c r="V384" s="656" t="str">
        <f>+VLOOKUP($L384,Data_Validation!$A:$D,4,0)</f>
        <v>Taxes d`affaires</v>
      </c>
      <c r="W384" s="656" t="str">
        <f>+VLOOKUP($L384,Data_Validation!$A:$E,5,0)</f>
        <v>$</v>
      </c>
      <c r="X384" s="656">
        <f>+VLOOKUP($L384,Data_Validation!$A:$F,6,0)</f>
        <v>0</v>
      </c>
    </row>
    <row r="385" spans="1:24" ht="15" customHeight="1">
      <c r="A385" s="1252" t="s">
        <v>1273</v>
      </c>
      <c r="B385" s="1252" t="s">
        <v>2632</v>
      </c>
      <c r="C385" s="1254">
        <v>1448.14</v>
      </c>
      <c r="D385" s="1254">
        <v>449.63</v>
      </c>
      <c r="E385" s="1254">
        <v>1897.77</v>
      </c>
      <c r="F385" s="1252" t="s">
        <v>1154</v>
      </c>
      <c r="G385" s="1252" t="s">
        <v>1224</v>
      </c>
      <c r="H385" s="1252" t="s">
        <v>3955</v>
      </c>
      <c r="I385" s="1203"/>
      <c r="J385" s="1203"/>
      <c r="K385" s="1203"/>
      <c r="L385" s="653" t="str">
        <f t="shared" si="186"/>
        <v>6594</v>
      </c>
      <c r="M385" s="654" t="str">
        <f t="shared" si="187"/>
        <v>FRAIS PROFESSIONNEL-CARROS.</v>
      </c>
      <c r="N385" s="655">
        <f>+IF(OR($Q385=Parametres!$G$2,$Q385=Parametres!$G$3),I385,C385)</f>
        <v>1448.14</v>
      </c>
      <c r="O385" s="655">
        <f>+IF(OR($Q385=Parametres!$G$2,$Q385=Parametres!$G$3),J385,D385)</f>
        <v>449.63</v>
      </c>
      <c r="P385" s="655">
        <f>+IF(OR($Q385=Parametres!$G$2,$Q385=Parametres!$G$3),K385,E385)</f>
        <v>1897.77</v>
      </c>
      <c r="Q385" s="654" t="str">
        <f t="shared" si="188"/>
        <v>7-Dépenses</v>
      </c>
      <c r="R385" s="653" t="str">
        <f t="shared" si="189"/>
        <v>6194</v>
      </c>
      <c r="S385" s="654" t="str">
        <f t="shared" si="190"/>
        <v>_</v>
      </c>
      <c r="T385" s="656" t="str">
        <f>+VLOOKUP($L385,Data_Validation!$A:$D,1,0)</f>
        <v>6594</v>
      </c>
      <c r="U385" s="656" t="str">
        <f>+VLOOKUP($L385,Data_Validation!$A:$D,3,0)</f>
        <v>Carrosserie</v>
      </c>
      <c r="V385" s="656" t="str">
        <f>+VLOOKUP($L385,Data_Validation!$A:$D,4,0)</f>
        <v>Honoraires</v>
      </c>
      <c r="W385" s="656" t="str">
        <f>+VLOOKUP($L385,Data_Validation!$A:$E,5,0)</f>
        <v>$</v>
      </c>
      <c r="X385" s="656">
        <f>+VLOOKUP($L385,Data_Validation!$A:$F,6,0)</f>
        <v>0</v>
      </c>
    </row>
    <row r="386" spans="1:24" ht="15" customHeight="1">
      <c r="A386" s="1252" t="s">
        <v>1158</v>
      </c>
      <c r="B386" s="1252" t="s">
        <v>2647</v>
      </c>
      <c r="C386" s="1254">
        <v>6590.06</v>
      </c>
      <c r="D386" s="1254">
        <v>669.47</v>
      </c>
      <c r="E386" s="1254">
        <v>7259.53</v>
      </c>
      <c r="F386" s="1252" t="s">
        <v>1154</v>
      </c>
      <c r="G386" s="1252" t="s">
        <v>1242</v>
      </c>
      <c r="H386" s="1252" t="s">
        <v>3955</v>
      </c>
      <c r="I386" s="1203"/>
      <c r="J386" s="1203"/>
      <c r="K386" s="1203"/>
      <c r="L386" s="653" t="str">
        <f t="shared" si="186"/>
        <v>6703</v>
      </c>
      <c r="M386" s="654" t="str">
        <f t="shared" si="187"/>
        <v>RELAT. A LA CLIENTELE &amp; AJUST.</v>
      </c>
      <c r="N386" s="655">
        <f>+IF(OR($Q386=Parametres!$G$2,$Q386=Parametres!$G$3),I386,C386)</f>
        <v>6590.06</v>
      </c>
      <c r="O386" s="655">
        <f>+IF(OR($Q386=Parametres!$G$2,$Q386=Parametres!$G$3),J386,D386)</f>
        <v>669.47</v>
      </c>
      <c r="P386" s="655">
        <f>+IF(OR($Q386=Parametres!$G$2,$Q386=Parametres!$G$3),K386,E386)</f>
        <v>7259.53</v>
      </c>
      <c r="Q386" s="654" t="str">
        <f t="shared" si="188"/>
        <v>7-Dépenses</v>
      </c>
      <c r="R386" s="653" t="str">
        <f t="shared" si="189"/>
        <v>6112</v>
      </c>
      <c r="S386" s="654" t="str">
        <f t="shared" si="190"/>
        <v>_</v>
      </c>
      <c r="T386" s="656" t="str">
        <f>+VLOOKUP($L386,Data_Validation!$A:$D,1,0)</f>
        <v>6703</v>
      </c>
      <c r="U386" s="656" t="str">
        <f>+VLOOKUP($L386,Data_Validation!$A:$D,3,0)</f>
        <v>Pièces</v>
      </c>
      <c r="V386" s="656" t="str">
        <f>+VLOOKUP($L386,Data_Validation!$A:$D,4,0)</f>
        <v>Service gratuit 2</v>
      </c>
      <c r="W386" s="656" t="str">
        <f>+VLOOKUP($L386,Data_Validation!$A:$E,5,0)</f>
        <v>$</v>
      </c>
      <c r="X386" s="656">
        <f>+VLOOKUP($L386,Data_Validation!$A:$F,6,0)</f>
        <v>0</v>
      </c>
    </row>
    <row r="387" spans="1:24" ht="15.75" customHeight="1">
      <c r="A387" s="1252" t="s">
        <v>1166</v>
      </c>
      <c r="B387" s="1252" t="s">
        <v>2653</v>
      </c>
      <c r="C387" s="1254">
        <v>15249.53</v>
      </c>
      <c r="D387" s="1254">
        <v>12743.83</v>
      </c>
      <c r="E387" s="1254">
        <v>27993.360000000001</v>
      </c>
      <c r="F387" s="1252" t="s">
        <v>1154</v>
      </c>
      <c r="G387" s="1252" t="s">
        <v>1167</v>
      </c>
      <c r="H387" s="1252" t="s">
        <v>3955</v>
      </c>
      <c r="I387" s="1203"/>
      <c r="J387" s="1203"/>
      <c r="K387" s="1203"/>
      <c r="L387" s="653" t="str">
        <f t="shared" si="186"/>
        <v>6714</v>
      </c>
      <c r="M387" s="654" t="str">
        <f t="shared" si="187"/>
        <v>PUBLICITE</v>
      </c>
      <c r="N387" s="655">
        <f>+IF(OR($Q387=Parametres!$G$2,$Q387=Parametres!$G$3),I387,C387)</f>
        <v>15249.53</v>
      </c>
      <c r="O387" s="655">
        <f>+IF(OR($Q387=Parametres!$G$2,$Q387=Parametres!$G$3),J387,D387)</f>
        <v>12743.83</v>
      </c>
      <c r="P387" s="655">
        <f>+IF(OR($Q387=Parametres!$G$2,$Q387=Parametres!$G$3),K387,E387)</f>
        <v>27993.360000000001</v>
      </c>
      <c r="Q387" s="654" t="str">
        <f t="shared" si="188"/>
        <v>7-Dépenses</v>
      </c>
      <c r="R387" s="653" t="str">
        <f t="shared" si="189"/>
        <v>6114</v>
      </c>
      <c r="S387" s="654" t="str">
        <f t="shared" si="190"/>
        <v>_</v>
      </c>
      <c r="T387" s="656" t="str">
        <f>+VLOOKUP($L387,Data_Validation!$A:$D,1,0)</f>
        <v>6714</v>
      </c>
      <c r="U387" s="656" t="str">
        <f>+VLOOKUP($L387,Data_Validation!$A:$D,3,0)</f>
        <v>Pièces</v>
      </c>
      <c r="V387" s="656" t="str">
        <f>+VLOOKUP($L387,Data_Validation!$A:$D,4,0)</f>
        <v>Publicité 2</v>
      </c>
      <c r="W387" s="656" t="str">
        <f>+VLOOKUP($L387,Data_Validation!$A:$E,5,0)</f>
        <v>$</v>
      </c>
      <c r="X387" s="656">
        <f>+VLOOKUP($L387,Data_Validation!$A:$F,6,0)</f>
        <v>0</v>
      </c>
    </row>
    <row r="388" spans="1:24" ht="15.75" customHeight="1">
      <c r="A388" s="1252" t="s">
        <v>1274</v>
      </c>
      <c r="B388" s="1252" t="s">
        <v>2656</v>
      </c>
      <c r="C388" s="1254">
        <v>8622</v>
      </c>
      <c r="D388" s="1254">
        <v>2614.92</v>
      </c>
      <c r="E388" s="1254">
        <v>11236.92</v>
      </c>
      <c r="F388" s="1252" t="s">
        <v>1154</v>
      </c>
      <c r="G388" s="1252" t="s">
        <v>1170</v>
      </c>
      <c r="H388" s="1252" t="s">
        <v>3955</v>
      </c>
      <c r="I388" s="1203"/>
      <c r="J388" s="1203"/>
      <c r="K388" s="1203"/>
      <c r="L388" s="653" t="str">
        <f t="shared" si="186"/>
        <v>6721</v>
      </c>
      <c r="M388" s="654" t="str">
        <f t="shared" si="187"/>
        <v>SALAIRES - PROPRIEATIRES</v>
      </c>
      <c r="N388" s="655">
        <f>+IF(OR($Q388=Parametres!$G$2,$Q388=Parametres!$G$3),I388,C388)</f>
        <v>8622</v>
      </c>
      <c r="O388" s="655">
        <f>+IF(OR($Q388=Parametres!$G$2,$Q388=Parametres!$G$3),J388,D388)</f>
        <v>2614.92</v>
      </c>
      <c r="P388" s="655">
        <f>+IF(OR($Q388=Parametres!$G$2,$Q388=Parametres!$G$3),K388,E388)</f>
        <v>11236.92</v>
      </c>
      <c r="Q388" s="654" t="str">
        <f t="shared" si="188"/>
        <v>7-Dépenses</v>
      </c>
      <c r="R388" s="653" t="str">
        <f t="shared" si="189"/>
        <v>6121</v>
      </c>
      <c r="S388" s="654" t="str">
        <f t="shared" si="190"/>
        <v>_</v>
      </c>
      <c r="T388" s="656" t="str">
        <f>+VLOOKUP($L388,Data_Validation!$A:$D,1,0)</f>
        <v>6721</v>
      </c>
      <c r="U388" s="656" t="str">
        <f>+VLOOKUP($L388,Data_Validation!$A:$D,3,0)</f>
        <v>Pièces</v>
      </c>
      <c r="V388" s="656" t="str">
        <f>+VLOOKUP($L388,Data_Validation!$A:$D,4,0)</f>
        <v>Salaires propriétaire</v>
      </c>
      <c r="W388" s="656" t="str">
        <f>+VLOOKUP($L388,Data_Validation!$A:$E,5,0)</f>
        <v>$</v>
      </c>
      <c r="X388" s="656">
        <f>+VLOOKUP($L388,Data_Validation!$A:$F,6,0)</f>
        <v>0</v>
      </c>
    </row>
    <row r="389" spans="1:24" ht="15.75" customHeight="1">
      <c r="A389" s="1252" t="s">
        <v>1171</v>
      </c>
      <c r="B389" s="1252" t="s">
        <v>2659</v>
      </c>
      <c r="C389" s="1254">
        <v>28657.89</v>
      </c>
      <c r="D389" s="1254">
        <v>5906.18</v>
      </c>
      <c r="E389" s="1254">
        <v>34564.07</v>
      </c>
      <c r="F389" s="1252" t="s">
        <v>1154</v>
      </c>
      <c r="G389" s="1252" t="s">
        <v>1172</v>
      </c>
      <c r="H389" s="1252" t="s">
        <v>3955</v>
      </c>
      <c r="I389" s="1203"/>
      <c r="J389" s="1203"/>
      <c r="K389" s="1203"/>
      <c r="L389" s="653" t="str">
        <f t="shared" ref="L389:L399" si="191">TEXT(B389,0)</f>
        <v>6722</v>
      </c>
      <c r="M389" s="654" t="str">
        <f t="shared" ref="M389:M399" si="192">+A389</f>
        <v>SAL SUPERVISION / GERANT</v>
      </c>
      <c r="N389" s="655">
        <f>+IF(OR($Q389=Parametres!$G$2,$Q389=Parametres!$G$3),I389,C389)</f>
        <v>28657.89</v>
      </c>
      <c r="O389" s="655">
        <f>+IF(OR($Q389=Parametres!$G$2,$Q389=Parametres!$G$3),J389,D389)</f>
        <v>5906.18</v>
      </c>
      <c r="P389" s="655">
        <f>+IF(OR($Q389=Parametres!$G$2,$Q389=Parametres!$G$3),K389,E389)</f>
        <v>34564.07</v>
      </c>
      <c r="Q389" s="654" t="str">
        <f t="shared" ref="Q389:Q399" si="193">+F389</f>
        <v>7-Dépenses</v>
      </c>
      <c r="R389" s="653" t="str">
        <f t="shared" ref="R389:R399" si="194">+G389</f>
        <v>6122</v>
      </c>
      <c r="S389" s="654" t="str">
        <f t="shared" ref="S389:S399" si="195">+H389</f>
        <v>_</v>
      </c>
      <c r="T389" s="656" t="str">
        <f>+VLOOKUP($L389,Data_Validation!$A:$D,1,0)</f>
        <v>6722</v>
      </c>
      <c r="U389" s="656" t="str">
        <f>+VLOOKUP($L389,Data_Validation!$A:$D,3,0)</f>
        <v>Pièces</v>
      </c>
      <c r="V389" s="656" t="str">
        <f>+VLOOKUP($L389,Data_Validation!$A:$D,4,0)</f>
        <v>Salaires cadres</v>
      </c>
      <c r="W389" s="656" t="str">
        <f>+VLOOKUP($L389,Data_Validation!$A:$E,5,0)</f>
        <v>$</v>
      </c>
      <c r="X389" s="656">
        <f>+VLOOKUP($L389,Data_Validation!$A:$F,6,0)</f>
        <v>0</v>
      </c>
    </row>
    <row r="390" spans="1:24" ht="15.75" customHeight="1">
      <c r="A390" s="1252" t="s">
        <v>1173</v>
      </c>
      <c r="B390" s="1252" t="s">
        <v>2662</v>
      </c>
      <c r="C390" s="1254">
        <v>78530.34</v>
      </c>
      <c r="D390" s="1254">
        <v>24736.400000000001</v>
      </c>
      <c r="E390" s="1254">
        <v>103266.74</v>
      </c>
      <c r="F390" s="1252" t="s">
        <v>1154</v>
      </c>
      <c r="G390" s="1252" t="s">
        <v>1174</v>
      </c>
      <c r="H390" s="1252" t="s">
        <v>3955</v>
      </c>
      <c r="I390" s="1203"/>
      <c r="J390" s="1203"/>
      <c r="K390" s="1203"/>
      <c r="L390" s="653" t="str">
        <f t="shared" si="191"/>
        <v>6723</v>
      </c>
      <c r="M390" s="654" t="str">
        <f t="shared" si="192"/>
        <v>SAL. &amp; RENUM. - CLERICAL</v>
      </c>
      <c r="N390" s="655">
        <f>+IF(OR($Q390=Parametres!$G$2,$Q390=Parametres!$G$3),I390,C390)</f>
        <v>78530.34</v>
      </c>
      <c r="O390" s="655">
        <f>+IF(OR($Q390=Parametres!$G$2,$Q390=Parametres!$G$3),J390,D390)</f>
        <v>24736.400000000001</v>
      </c>
      <c r="P390" s="655">
        <f>+IF(OR($Q390=Parametres!$G$2,$Q390=Parametres!$G$3),K390,E390)</f>
        <v>103266.74</v>
      </c>
      <c r="Q390" s="654" t="str">
        <f t="shared" si="193"/>
        <v>7-Dépenses</v>
      </c>
      <c r="R390" s="653" t="str">
        <f t="shared" si="194"/>
        <v>6123</v>
      </c>
      <c r="S390" s="654" t="str">
        <f t="shared" si="195"/>
        <v>_</v>
      </c>
      <c r="T390" s="656" t="str">
        <f>+VLOOKUP($L390,Data_Validation!$A:$D,1,0)</f>
        <v>6723</v>
      </c>
      <c r="U390" s="656" t="str">
        <f>+VLOOKUP($L390,Data_Validation!$A:$D,3,0)</f>
        <v>Pièces</v>
      </c>
      <c r="V390" s="656" t="str">
        <f>+VLOOKUP($L390,Data_Validation!$A:$D,4,0)</f>
        <v>Salaires commis</v>
      </c>
      <c r="W390" s="656" t="str">
        <f>+VLOOKUP($L390,Data_Validation!$A:$E,5,0)</f>
        <v>$</v>
      </c>
      <c r="X390" s="656">
        <f>+VLOOKUP($L390,Data_Validation!$A:$F,6,0)</f>
        <v>0</v>
      </c>
    </row>
    <row r="391" spans="1:24" ht="15.75" customHeight="1">
      <c r="A391" s="1252" t="s">
        <v>1175</v>
      </c>
      <c r="B391" s="1252" t="s">
        <v>2665</v>
      </c>
      <c r="C391" s="1254">
        <v>341.76</v>
      </c>
      <c r="D391" s="1254">
        <v>113.92</v>
      </c>
      <c r="E391" s="1254">
        <v>455.68</v>
      </c>
      <c r="F391" s="1252" t="s">
        <v>1154</v>
      </c>
      <c r="G391" s="1252" t="s">
        <v>1176</v>
      </c>
      <c r="H391" s="1252" t="s">
        <v>3955</v>
      </c>
      <c r="I391" s="1203"/>
      <c r="J391" s="1203"/>
      <c r="K391" s="1203"/>
      <c r="L391" s="653" t="str">
        <f t="shared" si="191"/>
        <v>6724</v>
      </c>
      <c r="M391" s="654" t="str">
        <f t="shared" si="192"/>
        <v>SALAIRES &amp; RENUM. - AUTRES</v>
      </c>
      <c r="N391" s="655">
        <f>+IF(OR($Q391=Parametres!$G$2,$Q391=Parametres!$G$3),I391,C391)</f>
        <v>341.76</v>
      </c>
      <c r="O391" s="655">
        <f>+IF(OR($Q391=Parametres!$G$2,$Q391=Parametres!$G$3),J391,D391)</f>
        <v>113.92</v>
      </c>
      <c r="P391" s="655">
        <f>+IF(OR($Q391=Parametres!$G$2,$Q391=Parametres!$G$3),K391,E391)</f>
        <v>455.68</v>
      </c>
      <c r="Q391" s="654" t="str">
        <f t="shared" si="193"/>
        <v>7-Dépenses</v>
      </c>
      <c r="R391" s="653" t="str">
        <f t="shared" si="194"/>
        <v>6124</v>
      </c>
      <c r="S391" s="654" t="str">
        <f t="shared" si="195"/>
        <v>_</v>
      </c>
      <c r="T391" s="656" t="str">
        <f>+VLOOKUP($L391,Data_Validation!$A:$D,1,0)</f>
        <v>6724</v>
      </c>
      <c r="U391" s="656" t="str">
        <f>+VLOOKUP($L391,Data_Validation!$A:$D,3,0)</f>
        <v>Pièces</v>
      </c>
      <c r="V391" s="656" t="str">
        <f>+VLOOKUP($L391,Data_Validation!$A:$D,4,0)</f>
        <v>Salaires autres</v>
      </c>
      <c r="W391" s="656" t="str">
        <f>+VLOOKUP($L391,Data_Validation!$A:$E,5,0)</f>
        <v>$</v>
      </c>
      <c r="X391" s="656">
        <f>+VLOOKUP($L391,Data_Validation!$A:$F,6,0)</f>
        <v>0</v>
      </c>
    </row>
    <row r="392" spans="1:24" ht="15.75" customHeight="1">
      <c r="A392" s="1252" t="s">
        <v>1275</v>
      </c>
      <c r="B392" s="1252" t="s">
        <v>2668</v>
      </c>
      <c r="C392" s="1254">
        <v>12121.24</v>
      </c>
      <c r="D392" s="1254">
        <v>4453.74</v>
      </c>
      <c r="E392" s="1254">
        <v>16574.98</v>
      </c>
      <c r="F392" s="1252" t="s">
        <v>1154</v>
      </c>
      <c r="G392" s="1252" t="s">
        <v>1178</v>
      </c>
      <c r="H392" s="1252" t="s">
        <v>3955</v>
      </c>
      <c r="I392" s="1203"/>
      <c r="J392" s="1203"/>
      <c r="K392" s="1203"/>
      <c r="L392" s="653" t="str">
        <f t="shared" si="191"/>
        <v>6729</v>
      </c>
      <c r="M392" s="654" t="str">
        <f t="shared" si="192"/>
        <v>ABSENCES, VACANCES, ETC</v>
      </c>
      <c r="N392" s="655">
        <f>+IF(OR($Q392=Parametres!$G$2,$Q392=Parametres!$G$3),I392,C392)</f>
        <v>12121.24</v>
      </c>
      <c r="O392" s="655">
        <f>+IF(OR($Q392=Parametres!$G$2,$Q392=Parametres!$G$3),J392,D392)</f>
        <v>4453.74</v>
      </c>
      <c r="P392" s="655">
        <f>+IF(OR($Q392=Parametres!$G$2,$Q392=Parametres!$G$3),K392,E392)</f>
        <v>16574.98</v>
      </c>
      <c r="Q392" s="654" t="str">
        <f t="shared" si="193"/>
        <v>7-Dépenses</v>
      </c>
      <c r="R392" s="653" t="str">
        <f t="shared" si="194"/>
        <v>6129</v>
      </c>
      <c r="S392" s="654" t="str">
        <f t="shared" si="195"/>
        <v>_</v>
      </c>
      <c r="T392" s="656" t="str">
        <f>+VLOOKUP($L392,Data_Validation!$A:$D,1,0)</f>
        <v>6729</v>
      </c>
      <c r="U392" s="656" t="str">
        <f>+VLOOKUP($L392,Data_Validation!$A:$D,3,0)</f>
        <v>Pièces</v>
      </c>
      <c r="V392" s="656" t="str">
        <f>+VLOOKUP($L392,Data_Validation!$A:$D,4,0)</f>
        <v>Salaires en absences</v>
      </c>
      <c r="W392" s="656" t="str">
        <f>+VLOOKUP($L392,Data_Validation!$A:$E,5,0)</f>
        <v>$</v>
      </c>
      <c r="X392" s="656">
        <f>+VLOOKUP($L392,Data_Validation!$A:$F,6,0)</f>
        <v>0</v>
      </c>
    </row>
    <row r="393" spans="1:24" ht="15.75" customHeight="1">
      <c r="A393" s="1252" t="s">
        <v>1179</v>
      </c>
      <c r="B393" s="1252" t="s">
        <v>2671</v>
      </c>
      <c r="C393" s="1254">
        <v>3910.88</v>
      </c>
      <c r="D393" s="1254">
        <v>1626.85</v>
      </c>
      <c r="E393" s="1254">
        <v>5537.73</v>
      </c>
      <c r="F393" s="1252" t="s">
        <v>1154</v>
      </c>
      <c r="G393" s="1252" t="s">
        <v>1180</v>
      </c>
      <c r="H393" s="1252" t="s">
        <v>3955</v>
      </c>
      <c r="I393" s="1203"/>
      <c r="J393" s="1203"/>
      <c r="K393" s="1203"/>
      <c r="L393" s="653" t="str">
        <f t="shared" si="191"/>
        <v>6731</v>
      </c>
      <c r="M393" s="654" t="str">
        <f t="shared" si="192"/>
        <v>CSST</v>
      </c>
      <c r="N393" s="655">
        <f>+IF(OR($Q393=Parametres!$G$2,$Q393=Parametres!$G$3),I393,C393)</f>
        <v>3910.88</v>
      </c>
      <c r="O393" s="655">
        <f>+IF(OR($Q393=Parametres!$G$2,$Q393=Parametres!$G$3),J393,D393)</f>
        <v>1626.85</v>
      </c>
      <c r="P393" s="655">
        <f>+IF(OR($Q393=Parametres!$G$2,$Q393=Parametres!$G$3),K393,E393)</f>
        <v>5537.73</v>
      </c>
      <c r="Q393" s="654" t="str">
        <f t="shared" si="193"/>
        <v>7-Dépenses</v>
      </c>
      <c r="R393" s="653" t="str">
        <f t="shared" si="194"/>
        <v>6131</v>
      </c>
      <c r="S393" s="654" t="str">
        <f t="shared" si="195"/>
        <v>_</v>
      </c>
      <c r="T393" s="656" t="str">
        <f>+VLOOKUP($L393,Data_Validation!$A:$D,1,0)</f>
        <v>6731</v>
      </c>
      <c r="U393" s="656" t="str">
        <f>+VLOOKUP($L393,Data_Validation!$A:$D,3,0)</f>
        <v>Pièces</v>
      </c>
      <c r="V393" s="656" t="str">
        <f>+VLOOKUP($L393,Data_Validation!$A:$D,4,0)</f>
        <v>Csst</v>
      </c>
      <c r="W393" s="656" t="str">
        <f>+VLOOKUP($L393,Data_Validation!$A:$E,5,0)</f>
        <v>$</v>
      </c>
      <c r="X393" s="656">
        <f>+VLOOKUP($L393,Data_Validation!$A:$F,6,0)</f>
        <v>0</v>
      </c>
    </row>
    <row r="394" spans="1:24" ht="15.75" customHeight="1">
      <c r="A394" s="1252" t="s">
        <v>1181</v>
      </c>
      <c r="B394" s="1252" t="s">
        <v>2674</v>
      </c>
      <c r="C394" s="1254">
        <v>19851.900000000001</v>
      </c>
      <c r="D394" s="1254">
        <v>4179.87</v>
      </c>
      <c r="E394" s="1254">
        <v>24031.77</v>
      </c>
      <c r="F394" s="1252" t="s">
        <v>1154</v>
      </c>
      <c r="G394" s="1252" t="s">
        <v>1182</v>
      </c>
      <c r="H394" s="1252" t="s">
        <v>3955</v>
      </c>
      <c r="I394" s="1203"/>
      <c r="J394" s="1203"/>
      <c r="K394" s="1203"/>
      <c r="L394" s="653" t="str">
        <f t="shared" si="191"/>
        <v>6732</v>
      </c>
      <c r="M394" s="654" t="str">
        <f t="shared" si="192"/>
        <v>RRQ RAMQ AC</v>
      </c>
      <c r="N394" s="655">
        <f>+IF(OR($Q394=Parametres!$G$2,$Q394=Parametres!$G$3),I394,C394)</f>
        <v>19851.900000000001</v>
      </c>
      <c r="O394" s="655">
        <f>+IF(OR($Q394=Parametres!$G$2,$Q394=Parametres!$G$3),J394,D394)</f>
        <v>4179.87</v>
      </c>
      <c r="P394" s="655">
        <f>+IF(OR($Q394=Parametres!$G$2,$Q394=Parametres!$G$3),K394,E394)</f>
        <v>24031.77</v>
      </c>
      <c r="Q394" s="654" t="str">
        <f t="shared" si="193"/>
        <v>7-Dépenses</v>
      </c>
      <c r="R394" s="653" t="str">
        <f t="shared" si="194"/>
        <v>6132</v>
      </c>
      <c r="S394" s="654" t="str">
        <f t="shared" si="195"/>
        <v>_</v>
      </c>
      <c r="T394" s="656" t="str">
        <f>+VLOOKUP($L394,Data_Validation!$A:$D,1,0)</f>
        <v>6732</v>
      </c>
      <c r="U394" s="656" t="str">
        <f>+VLOOKUP($L394,Data_Validation!$A:$D,3,0)</f>
        <v>Pièces</v>
      </c>
      <c r="V394" s="656" t="str">
        <f>+VLOOKUP($L394,Data_Validation!$A:$D,4,0)</f>
        <v>Déduction à la source</v>
      </c>
      <c r="W394" s="656" t="str">
        <f>+VLOOKUP($L394,Data_Validation!$A:$E,5,0)</f>
        <v>$</v>
      </c>
      <c r="X394" s="656">
        <f>+VLOOKUP($L394,Data_Validation!$A:$F,6,0)</f>
        <v>0</v>
      </c>
    </row>
    <row r="395" spans="1:24" ht="15.75" customHeight="1">
      <c r="A395" s="1252" t="s">
        <v>1276</v>
      </c>
      <c r="B395" s="1252" t="s">
        <v>2677</v>
      </c>
      <c r="C395" s="1254">
        <v>2468.12</v>
      </c>
      <c r="D395" s="1254">
        <v>774.61</v>
      </c>
      <c r="E395" s="1254">
        <v>3242.73</v>
      </c>
      <c r="F395" s="1252" t="s">
        <v>1154</v>
      </c>
      <c r="G395" s="1252" t="s">
        <v>1184</v>
      </c>
      <c r="H395" s="1252" t="s">
        <v>3955</v>
      </c>
      <c r="I395" s="1203"/>
      <c r="J395" s="1203"/>
      <c r="K395" s="1203"/>
      <c r="L395" s="653" t="str">
        <f t="shared" si="191"/>
        <v>6733</v>
      </c>
      <c r="M395" s="654" t="str">
        <f t="shared" si="192"/>
        <v>FOND PENSION - PIECES</v>
      </c>
      <c r="N395" s="655">
        <f>+IF(OR($Q395=Parametres!$G$2,$Q395=Parametres!$G$3),I395,C395)</f>
        <v>2468.12</v>
      </c>
      <c r="O395" s="655">
        <f>+IF(OR($Q395=Parametres!$G$2,$Q395=Parametres!$G$3),J395,D395)</f>
        <v>774.61</v>
      </c>
      <c r="P395" s="655">
        <f>+IF(OR($Q395=Parametres!$G$2,$Q395=Parametres!$G$3),K395,E395)</f>
        <v>3242.73</v>
      </c>
      <c r="Q395" s="654" t="str">
        <f t="shared" si="193"/>
        <v>7-Dépenses</v>
      </c>
      <c r="R395" s="653" t="str">
        <f t="shared" si="194"/>
        <v>6133</v>
      </c>
      <c r="S395" s="654" t="str">
        <f t="shared" si="195"/>
        <v>_</v>
      </c>
      <c r="T395" s="656" t="str">
        <f>+VLOOKUP($L395,Data_Validation!$A:$D,1,0)</f>
        <v>6733</v>
      </c>
      <c r="U395" s="656" t="str">
        <f>+VLOOKUP($L395,Data_Validation!$A:$D,3,0)</f>
        <v>Pièces</v>
      </c>
      <c r="V395" s="656" t="str">
        <f>+VLOOKUP($L395,Data_Validation!$A:$D,4,0)</f>
        <v>Déduction à la source</v>
      </c>
      <c r="W395" s="656" t="str">
        <f>+VLOOKUP($L395,Data_Validation!$A:$E,5,0)</f>
        <v>$</v>
      </c>
      <c r="X395" s="656">
        <f>+VLOOKUP($L395,Data_Validation!$A:$F,6,0)</f>
        <v>0</v>
      </c>
    </row>
    <row r="396" spans="1:24" ht="15.75" customHeight="1">
      <c r="A396" s="1252" t="s">
        <v>1231</v>
      </c>
      <c r="B396" s="1252" t="s">
        <v>2680</v>
      </c>
      <c r="C396" s="1254">
        <v>5317.29</v>
      </c>
      <c r="D396" s="1254">
        <v>1601.67</v>
      </c>
      <c r="E396" s="1254">
        <v>6918.96</v>
      </c>
      <c r="F396" s="1252" t="s">
        <v>1154</v>
      </c>
      <c r="G396" s="1252" t="s">
        <v>1186</v>
      </c>
      <c r="H396" s="1252" t="s">
        <v>3955</v>
      </c>
      <c r="I396" s="1203"/>
      <c r="J396" s="1203"/>
      <c r="K396" s="1203"/>
      <c r="L396" s="653" t="str">
        <f t="shared" si="191"/>
        <v>6739</v>
      </c>
      <c r="M396" s="654" t="str">
        <f t="shared" si="192"/>
        <v>ASSURANCE GROUPE</v>
      </c>
      <c r="N396" s="655">
        <f>+IF(OR($Q396=Parametres!$G$2,$Q396=Parametres!$G$3),I396,C396)</f>
        <v>5317.29</v>
      </c>
      <c r="O396" s="655">
        <f>+IF(OR($Q396=Parametres!$G$2,$Q396=Parametres!$G$3),J396,D396)</f>
        <v>1601.67</v>
      </c>
      <c r="P396" s="655">
        <f>+IF(OR($Q396=Parametres!$G$2,$Q396=Parametres!$G$3),K396,E396)</f>
        <v>6918.96</v>
      </c>
      <c r="Q396" s="654" t="str">
        <f t="shared" si="193"/>
        <v>7-Dépenses</v>
      </c>
      <c r="R396" s="653" t="str">
        <f t="shared" si="194"/>
        <v>6139</v>
      </c>
      <c r="S396" s="654" t="str">
        <f t="shared" si="195"/>
        <v>_</v>
      </c>
      <c r="T396" s="656" t="str">
        <f>+VLOOKUP($L396,Data_Validation!$A:$D,1,0)</f>
        <v>6739</v>
      </c>
      <c r="U396" s="656" t="str">
        <f>+VLOOKUP($L396,Data_Validation!$A:$D,3,0)</f>
        <v>Pièces</v>
      </c>
      <c r="V396" s="656" t="str">
        <f>+VLOOKUP($L396,Data_Validation!$A:$D,4,0)</f>
        <v>Bénéfices marginaux</v>
      </c>
      <c r="W396" s="656" t="str">
        <f>+VLOOKUP($L396,Data_Validation!$A:$E,5,0)</f>
        <v>$</v>
      </c>
      <c r="X396" s="656">
        <f>+VLOOKUP($L396,Data_Validation!$A:$F,6,0)</f>
        <v>0</v>
      </c>
    </row>
    <row r="397" spans="1:24" ht="15.75" customHeight="1">
      <c r="A397" s="1252" t="s">
        <v>1189</v>
      </c>
      <c r="B397" s="1252" t="s">
        <v>2687</v>
      </c>
      <c r="C397" s="1254">
        <v>361.45</v>
      </c>
      <c r="D397" s="1254">
        <v>0</v>
      </c>
      <c r="E397" s="1254">
        <v>361.45</v>
      </c>
      <c r="F397" s="1252" t="s">
        <v>1154</v>
      </c>
      <c r="G397" s="1252" t="s">
        <v>1190</v>
      </c>
      <c r="H397" s="1252" t="s">
        <v>3955</v>
      </c>
      <c r="I397" s="1203"/>
      <c r="J397" s="1203"/>
      <c r="K397" s="1203"/>
      <c r="L397" s="653" t="str">
        <f t="shared" si="191"/>
        <v>6743</v>
      </c>
      <c r="M397" s="654" t="str">
        <f t="shared" si="192"/>
        <v>UNIFORMES &amp; LESSIVE</v>
      </c>
      <c r="N397" s="655">
        <f>+IF(OR($Q397=Parametres!$G$2,$Q397=Parametres!$G$3),I397,C397)</f>
        <v>361.45</v>
      </c>
      <c r="O397" s="655">
        <f>+IF(OR($Q397=Parametres!$G$2,$Q397=Parametres!$G$3),J397,D397)</f>
        <v>0</v>
      </c>
      <c r="P397" s="655">
        <f>+IF(OR($Q397=Parametres!$G$2,$Q397=Parametres!$G$3),K397,E397)</f>
        <v>361.45</v>
      </c>
      <c r="Q397" s="654" t="str">
        <f t="shared" si="193"/>
        <v>7-Dépenses</v>
      </c>
      <c r="R397" s="653" t="str">
        <f t="shared" si="194"/>
        <v>6143</v>
      </c>
      <c r="S397" s="654" t="str">
        <f t="shared" si="195"/>
        <v>_</v>
      </c>
      <c r="T397" s="656" t="str">
        <f>+VLOOKUP($L397,Data_Validation!$A:$D,1,0)</f>
        <v>6743</v>
      </c>
      <c r="U397" s="656" t="str">
        <f>+VLOOKUP($L397,Data_Validation!$A:$D,3,0)</f>
        <v>Pièces</v>
      </c>
      <c r="V397" s="656" t="str">
        <f>+VLOOKUP($L397,Data_Validation!$A:$D,4,0)</f>
        <v>Uniformes</v>
      </c>
      <c r="W397" s="656" t="str">
        <f>+VLOOKUP($L397,Data_Validation!$A:$E,5,0)</f>
        <v>$</v>
      </c>
      <c r="X397" s="656">
        <f>+VLOOKUP($L397,Data_Validation!$A:$F,6,0)</f>
        <v>0</v>
      </c>
    </row>
    <row r="398" spans="1:24" ht="15.75" customHeight="1">
      <c r="A398" s="1252" t="s">
        <v>1191</v>
      </c>
      <c r="B398" s="1252" t="s">
        <v>2690</v>
      </c>
      <c r="C398" s="1254">
        <v>848.79</v>
      </c>
      <c r="D398" s="1254">
        <v>79.75</v>
      </c>
      <c r="E398" s="1254">
        <v>928.54</v>
      </c>
      <c r="F398" s="1252" t="s">
        <v>1154</v>
      </c>
      <c r="G398" s="1252" t="s">
        <v>1192</v>
      </c>
      <c r="H398" s="1252" t="s">
        <v>3955</v>
      </c>
      <c r="I398" s="1203"/>
      <c r="J398" s="1203"/>
      <c r="K398" s="1203"/>
      <c r="L398" s="653" t="str">
        <f t="shared" si="191"/>
        <v>6744</v>
      </c>
      <c r="M398" s="654" t="str">
        <f t="shared" si="192"/>
        <v>FORMATION</v>
      </c>
      <c r="N398" s="655">
        <f>+IF(OR($Q398=Parametres!$G$2,$Q398=Parametres!$G$3),I398,C398)</f>
        <v>848.79</v>
      </c>
      <c r="O398" s="655">
        <f>+IF(OR($Q398=Parametres!$G$2,$Q398=Parametres!$G$3),J398,D398)</f>
        <v>79.75</v>
      </c>
      <c r="P398" s="655">
        <f>+IF(OR($Q398=Parametres!$G$2,$Q398=Parametres!$G$3),K398,E398)</f>
        <v>928.54</v>
      </c>
      <c r="Q398" s="654" t="str">
        <f t="shared" si="193"/>
        <v>7-Dépenses</v>
      </c>
      <c r="R398" s="653" t="str">
        <f t="shared" si="194"/>
        <v>6144</v>
      </c>
      <c r="S398" s="654" t="str">
        <f t="shared" si="195"/>
        <v>_</v>
      </c>
      <c r="T398" s="656" t="str">
        <f>+VLOOKUP($L398,Data_Validation!$A:$D,1,0)</f>
        <v>6744</v>
      </c>
      <c r="U398" s="656" t="str">
        <f>+VLOOKUP($L398,Data_Validation!$A:$D,3,0)</f>
        <v>Pièces</v>
      </c>
      <c r="V398" s="656" t="str">
        <f>+VLOOKUP($L398,Data_Validation!$A:$D,4,0)</f>
        <v>Formation</v>
      </c>
      <c r="W398" s="656" t="str">
        <f>+VLOOKUP($L398,Data_Validation!$A:$E,5,0)</f>
        <v>$</v>
      </c>
      <c r="X398" s="656">
        <f>+VLOOKUP($L398,Data_Validation!$A:$F,6,0)</f>
        <v>0</v>
      </c>
    </row>
    <row r="399" spans="1:24" ht="15.75" customHeight="1">
      <c r="A399" s="1252" t="s">
        <v>1193</v>
      </c>
      <c r="B399" s="1252" t="s">
        <v>2693</v>
      </c>
      <c r="C399" s="1254">
        <v>3695.31</v>
      </c>
      <c r="D399" s="1254">
        <v>1170.8399999999999</v>
      </c>
      <c r="E399" s="1254">
        <v>4866.1499999999996</v>
      </c>
      <c r="F399" s="1252" t="s">
        <v>1154</v>
      </c>
      <c r="G399" s="1252" t="s">
        <v>1194</v>
      </c>
      <c r="H399" s="1252" t="s">
        <v>3955</v>
      </c>
      <c r="I399" s="1203"/>
      <c r="J399" s="1203"/>
      <c r="K399" s="1203"/>
      <c r="L399" s="653" t="str">
        <f t="shared" si="191"/>
        <v>6745</v>
      </c>
      <c r="M399" s="654" t="str">
        <f t="shared" si="192"/>
        <v>VEHICULE DE COMPAGNIE - DEPENS</v>
      </c>
      <c r="N399" s="655">
        <f>+IF(OR($Q399=Parametres!$G$2,$Q399=Parametres!$G$3),I399,C399)</f>
        <v>3695.31</v>
      </c>
      <c r="O399" s="655">
        <f>+IF(OR($Q399=Parametres!$G$2,$Q399=Parametres!$G$3),J399,D399)</f>
        <v>1170.8399999999999</v>
      </c>
      <c r="P399" s="655">
        <f>+IF(OR($Q399=Parametres!$G$2,$Q399=Parametres!$G$3),K399,E399)</f>
        <v>4866.1499999999996</v>
      </c>
      <c r="Q399" s="654" t="str">
        <f t="shared" si="193"/>
        <v>7-Dépenses</v>
      </c>
      <c r="R399" s="653" t="str">
        <f t="shared" si="194"/>
        <v>6145</v>
      </c>
      <c r="S399" s="654" t="str">
        <f t="shared" si="195"/>
        <v>_</v>
      </c>
      <c r="T399" s="656" t="str">
        <f>+VLOOKUP($L399,Data_Validation!$A:$D,1,0)</f>
        <v>6745</v>
      </c>
      <c r="U399" s="656" t="str">
        <f>+VLOOKUP($L399,Data_Validation!$A:$D,3,0)</f>
        <v>Pièces</v>
      </c>
      <c r="V399" s="656" t="str">
        <f>+VLOOKUP($L399,Data_Validation!$A:$D,4,0)</f>
        <v>Frais véhicules de cie</v>
      </c>
      <c r="W399" s="656" t="str">
        <f>+VLOOKUP($L399,Data_Validation!$A:$E,5,0)</f>
        <v>$</v>
      </c>
      <c r="X399" s="656">
        <f>+VLOOKUP($L399,Data_Validation!$A:$F,6,0)</f>
        <v>0</v>
      </c>
    </row>
    <row r="400" spans="1:24" ht="15.75" customHeight="1">
      <c r="A400" s="1252" t="s">
        <v>1195</v>
      </c>
      <c r="B400" s="1252" t="s">
        <v>2696</v>
      </c>
      <c r="C400" s="1254">
        <v>-405.75</v>
      </c>
      <c r="D400" s="1254">
        <v>-558.02</v>
      </c>
      <c r="E400" s="1254">
        <v>-963.77</v>
      </c>
      <c r="F400" s="1252" t="s">
        <v>1154</v>
      </c>
      <c r="G400" s="1252" t="s">
        <v>1196</v>
      </c>
      <c r="H400" s="1252" t="s">
        <v>3955</v>
      </c>
      <c r="I400" s="1024"/>
      <c r="J400" s="1024"/>
      <c r="K400" s="1024"/>
      <c r="L400" s="653" t="str">
        <f t="shared" ref="L400:L463" si="196">TEXT(B400,0)</f>
        <v>6747</v>
      </c>
      <c r="M400" s="654" t="str">
        <f t="shared" ref="M400:M463" si="197">+A400</f>
        <v>FRET/EXPRESS/TRANS. PAR CAMION</v>
      </c>
      <c r="N400" s="655">
        <f>+IF(OR($Q400=Parametres!$G$2,$Q400=Parametres!$G$3),I400,C400)</f>
        <v>-405.75</v>
      </c>
      <c r="O400" s="655">
        <f>+IF(OR($Q400=Parametres!$G$2,$Q400=Parametres!$G$3),J400,D400)</f>
        <v>-558.02</v>
      </c>
      <c r="P400" s="655">
        <f>+IF(OR($Q400=Parametres!$G$2,$Q400=Parametres!$G$3),K400,E400)</f>
        <v>-963.77</v>
      </c>
      <c r="Q400" s="654" t="str">
        <f t="shared" ref="Q400:Q463" si="198">+F400</f>
        <v>7-Dépenses</v>
      </c>
      <c r="R400" s="653" t="str">
        <f t="shared" ref="R400:R463" si="199">+G400</f>
        <v>6147</v>
      </c>
      <c r="S400" s="654" t="str">
        <f t="shared" ref="S400:S463" si="200">+H400</f>
        <v>_</v>
      </c>
      <c r="T400" s="656" t="str">
        <f>+VLOOKUP($L400,Data_Validation!$A:$D,1,0)</f>
        <v>6747</v>
      </c>
      <c r="U400" s="656" t="str">
        <f>+VLOOKUP($L400,Data_Validation!$A:$D,3,0)</f>
        <v>Pièces</v>
      </c>
      <c r="V400" s="656" t="str">
        <f>+VLOOKUP($L400,Data_Validation!$A:$D,4,0)</f>
        <v>Frais postaux</v>
      </c>
      <c r="W400" s="656" t="str">
        <f>+VLOOKUP($L400,Data_Validation!$A:$E,5,0)</f>
        <v>$</v>
      </c>
      <c r="X400" s="656">
        <f>+VLOOKUP($L400,Data_Validation!$A:$F,6,0)</f>
        <v>0</v>
      </c>
    </row>
    <row r="401" spans="1:24" ht="15.75" customHeight="1">
      <c r="A401" s="1252" t="s">
        <v>1197</v>
      </c>
      <c r="B401" s="1252" t="s">
        <v>2698</v>
      </c>
      <c r="C401" s="1254">
        <v>20565.95</v>
      </c>
      <c r="D401" s="1254">
        <v>5543.45</v>
      </c>
      <c r="E401" s="1254">
        <v>26109.4</v>
      </c>
      <c r="F401" s="1252" t="s">
        <v>1154</v>
      </c>
      <c r="G401" s="1252" t="s">
        <v>1198</v>
      </c>
      <c r="H401" s="1252" t="s">
        <v>3955</v>
      </c>
      <c r="I401" s="1024"/>
      <c r="J401" s="1024"/>
      <c r="K401" s="1024"/>
      <c r="L401" s="653" t="str">
        <f t="shared" si="196"/>
        <v>6751</v>
      </c>
      <c r="M401" s="654" t="str">
        <f t="shared" si="197"/>
        <v>DEP. DU TRAITEMENT DES DONNEES</v>
      </c>
      <c r="N401" s="655">
        <f>+IF(OR($Q401=Parametres!$G$2,$Q401=Parametres!$G$3),I401,C401)</f>
        <v>20565.95</v>
      </c>
      <c r="O401" s="655">
        <f>+IF(OR($Q401=Parametres!$G$2,$Q401=Parametres!$G$3),J401,D401)</f>
        <v>5543.45</v>
      </c>
      <c r="P401" s="655">
        <f>+IF(OR($Q401=Parametres!$G$2,$Q401=Parametres!$G$3),K401,E401)</f>
        <v>26109.4</v>
      </c>
      <c r="Q401" s="654" t="str">
        <f t="shared" si="198"/>
        <v>7-Dépenses</v>
      </c>
      <c r="R401" s="653" t="str">
        <f t="shared" si="199"/>
        <v>6151</v>
      </c>
      <c r="S401" s="654" t="str">
        <f t="shared" si="200"/>
        <v>_</v>
      </c>
      <c r="T401" s="656" t="str">
        <f>+VLOOKUP($L401,Data_Validation!$A:$D,1,0)</f>
        <v>6751</v>
      </c>
      <c r="U401" s="656" t="str">
        <f>+VLOOKUP($L401,Data_Validation!$A:$D,3,0)</f>
        <v>Pièces</v>
      </c>
      <c r="V401" s="656" t="str">
        <f>+VLOOKUP($L401,Data_Validation!$A:$D,4,0)</f>
        <v>Informatique</v>
      </c>
      <c r="W401" s="656" t="str">
        <f>+VLOOKUP($L401,Data_Validation!$A:$E,5,0)</f>
        <v>$</v>
      </c>
      <c r="X401" s="656">
        <f>+VLOOKUP($L401,Data_Validation!$A:$F,6,0)</f>
        <v>0</v>
      </c>
    </row>
    <row r="402" spans="1:24" ht="15.75" customHeight="1">
      <c r="A402" s="1252" t="s">
        <v>1199</v>
      </c>
      <c r="B402" s="1252" t="s">
        <v>2701</v>
      </c>
      <c r="C402" s="1254">
        <v>1364.55</v>
      </c>
      <c r="D402" s="1254">
        <v>45.41</v>
      </c>
      <c r="E402" s="1254">
        <v>1409.96</v>
      </c>
      <c r="F402" s="1252" t="s">
        <v>1154</v>
      </c>
      <c r="G402" s="1252" t="s">
        <v>1200</v>
      </c>
      <c r="H402" s="1252" t="s">
        <v>3955</v>
      </c>
      <c r="I402" s="1024"/>
      <c r="J402" s="1024"/>
      <c r="K402" s="1024"/>
      <c r="L402" s="653" t="str">
        <f t="shared" si="196"/>
        <v>6752</v>
      </c>
      <c r="M402" s="654" t="str">
        <f t="shared" si="197"/>
        <v>PAPETERIE</v>
      </c>
      <c r="N402" s="655">
        <f>+IF(OR($Q402=Parametres!$G$2,$Q402=Parametres!$G$3),I402,C402)</f>
        <v>1364.55</v>
      </c>
      <c r="O402" s="655">
        <f>+IF(OR($Q402=Parametres!$G$2,$Q402=Parametres!$G$3),J402,D402)</f>
        <v>45.41</v>
      </c>
      <c r="P402" s="655">
        <f>+IF(OR($Q402=Parametres!$G$2,$Q402=Parametres!$G$3),K402,E402)</f>
        <v>1409.96</v>
      </c>
      <c r="Q402" s="654" t="str">
        <f t="shared" si="198"/>
        <v>7-Dépenses</v>
      </c>
      <c r="R402" s="653" t="str">
        <f t="shared" si="199"/>
        <v>6152</v>
      </c>
      <c r="S402" s="654" t="str">
        <f t="shared" si="200"/>
        <v>_</v>
      </c>
      <c r="T402" s="656" t="str">
        <f>+VLOOKUP($L402,Data_Validation!$A:$D,1,0)</f>
        <v>6752</v>
      </c>
      <c r="U402" s="656" t="str">
        <f>+VLOOKUP($L402,Data_Validation!$A:$D,3,0)</f>
        <v>Pièces</v>
      </c>
      <c r="V402" s="656" t="str">
        <f>+VLOOKUP($L402,Data_Validation!$A:$D,4,0)</f>
        <v>Papeterie</v>
      </c>
      <c r="W402" s="656" t="str">
        <f>+VLOOKUP($L402,Data_Validation!$A:$E,5,0)</f>
        <v>$</v>
      </c>
      <c r="X402" s="656">
        <f>+VLOOKUP($L402,Data_Validation!$A:$F,6,0)</f>
        <v>0</v>
      </c>
    </row>
    <row r="403" spans="1:24" ht="15.75" customHeight="1">
      <c r="A403" s="1252" t="s">
        <v>1201</v>
      </c>
      <c r="B403" s="1252" t="s">
        <v>2704</v>
      </c>
      <c r="C403" s="1254">
        <v>338.74</v>
      </c>
      <c r="D403" s="1254">
        <v>94.67</v>
      </c>
      <c r="E403" s="1254">
        <v>433.41</v>
      </c>
      <c r="F403" s="1252" t="s">
        <v>1154</v>
      </c>
      <c r="G403" s="1252" t="s">
        <v>1202</v>
      </c>
      <c r="H403" s="1252" t="s">
        <v>3955</v>
      </c>
      <c r="I403" s="1024"/>
      <c r="J403" s="1024"/>
      <c r="K403" s="1024"/>
      <c r="L403" s="653" t="str">
        <f t="shared" si="196"/>
        <v>6753</v>
      </c>
      <c r="M403" s="654" t="str">
        <f t="shared" si="197"/>
        <v>TELEPHONE ET TELEX</v>
      </c>
      <c r="N403" s="655">
        <f>+IF(OR($Q403=Parametres!$G$2,$Q403=Parametres!$G$3),I403,C403)</f>
        <v>338.74</v>
      </c>
      <c r="O403" s="655">
        <f>+IF(OR($Q403=Parametres!$G$2,$Q403=Parametres!$G$3),J403,D403)</f>
        <v>94.67</v>
      </c>
      <c r="P403" s="655">
        <f>+IF(OR($Q403=Parametres!$G$2,$Q403=Parametres!$G$3),K403,E403)</f>
        <v>433.41</v>
      </c>
      <c r="Q403" s="654" t="str">
        <f t="shared" si="198"/>
        <v>7-Dépenses</v>
      </c>
      <c r="R403" s="653" t="str">
        <f t="shared" si="199"/>
        <v>6153</v>
      </c>
      <c r="S403" s="654" t="str">
        <f t="shared" si="200"/>
        <v>_</v>
      </c>
      <c r="T403" s="656" t="str">
        <f>+VLOOKUP($L403,Data_Validation!$A:$D,1,0)</f>
        <v>6753</v>
      </c>
      <c r="U403" s="656" t="str">
        <f>+VLOOKUP($L403,Data_Validation!$A:$D,3,0)</f>
        <v>Pièces</v>
      </c>
      <c r="V403" s="656" t="str">
        <f>+VLOOKUP($L403,Data_Validation!$A:$D,4,0)</f>
        <v>Téléphone</v>
      </c>
      <c r="W403" s="656" t="str">
        <f>+VLOOKUP($L403,Data_Validation!$A:$E,5,0)</f>
        <v>$</v>
      </c>
      <c r="X403" s="656">
        <f>+VLOOKUP($L403,Data_Validation!$A:$F,6,0)</f>
        <v>0</v>
      </c>
    </row>
    <row r="404" spans="1:24" ht="15.75" customHeight="1">
      <c r="A404" s="1252" t="s">
        <v>1203</v>
      </c>
      <c r="B404" s="1252" t="s">
        <v>2707</v>
      </c>
      <c r="C404" s="1254">
        <v>181.12</v>
      </c>
      <c r="D404" s="1254">
        <v>94.59</v>
      </c>
      <c r="E404" s="1254">
        <v>275.70999999999998</v>
      </c>
      <c r="F404" s="1252" t="s">
        <v>1154</v>
      </c>
      <c r="G404" s="1252" t="s">
        <v>1204</v>
      </c>
      <c r="H404" s="1252" t="s">
        <v>3955</v>
      </c>
      <c r="I404" s="1024"/>
      <c r="J404" s="1024"/>
      <c r="K404" s="1024"/>
      <c r="L404" s="653" t="str">
        <f t="shared" si="196"/>
        <v>6755</v>
      </c>
      <c r="M404" s="654" t="str">
        <f t="shared" si="197"/>
        <v>DEPENSES DIVERS</v>
      </c>
      <c r="N404" s="655">
        <f>+IF(OR($Q404=Parametres!$G$2,$Q404=Parametres!$G$3),I404,C404)</f>
        <v>181.12</v>
      </c>
      <c r="O404" s="655">
        <f>+IF(OR($Q404=Parametres!$G$2,$Q404=Parametres!$G$3),J404,D404)</f>
        <v>94.59</v>
      </c>
      <c r="P404" s="655">
        <f>+IF(OR($Q404=Parametres!$G$2,$Q404=Parametres!$G$3),K404,E404)</f>
        <v>275.70999999999998</v>
      </c>
      <c r="Q404" s="654" t="str">
        <f t="shared" si="198"/>
        <v>7-Dépenses</v>
      </c>
      <c r="R404" s="653" t="str">
        <f t="shared" si="199"/>
        <v>6155</v>
      </c>
      <c r="S404" s="654" t="str">
        <f t="shared" si="200"/>
        <v>_</v>
      </c>
      <c r="T404" s="656" t="str">
        <f>+VLOOKUP($L404,Data_Validation!$A:$D,1,0)</f>
        <v>6755</v>
      </c>
      <c r="U404" s="656" t="str">
        <f>+VLOOKUP($L404,Data_Validation!$A:$D,3,0)</f>
        <v>Pièces</v>
      </c>
      <c r="V404" s="656" t="str">
        <f>+VLOOKUP($L404,Data_Validation!$A:$D,4,0)</f>
        <v>Divers</v>
      </c>
      <c r="W404" s="656" t="str">
        <f>+VLOOKUP($L404,Data_Validation!$A:$E,5,0)</f>
        <v>$</v>
      </c>
      <c r="X404" s="656">
        <f>+VLOOKUP($L404,Data_Validation!$A:$F,6,0)</f>
        <v>0</v>
      </c>
    </row>
    <row r="405" spans="1:24" ht="15.75" customHeight="1">
      <c r="A405" s="1252" t="s">
        <v>1277</v>
      </c>
      <c r="B405" s="1252" t="s">
        <v>2710</v>
      </c>
      <c r="C405" s="1254">
        <v>2456.69</v>
      </c>
      <c r="D405" s="1254">
        <v>1020.62</v>
      </c>
      <c r="E405" s="1254">
        <v>3477.31</v>
      </c>
      <c r="F405" s="1252" t="s">
        <v>1154</v>
      </c>
      <c r="G405" s="1252" t="s">
        <v>1206</v>
      </c>
      <c r="H405" s="1252" t="s">
        <v>3955</v>
      </c>
      <c r="I405" s="1024"/>
      <c r="J405" s="1024"/>
      <c r="K405" s="1024"/>
      <c r="L405" s="653" t="str">
        <f t="shared" si="196"/>
        <v>6756</v>
      </c>
      <c r="M405" s="654" t="str">
        <f t="shared" si="197"/>
        <v>FRAIS REPRESENTATION - PIECES</v>
      </c>
      <c r="N405" s="655">
        <f>+IF(OR($Q405=Parametres!$G$2,$Q405=Parametres!$G$3),I405,C405)</f>
        <v>2456.69</v>
      </c>
      <c r="O405" s="655">
        <f>+IF(OR($Q405=Parametres!$G$2,$Q405=Parametres!$G$3),J405,D405)</f>
        <v>1020.62</v>
      </c>
      <c r="P405" s="655">
        <f>+IF(OR($Q405=Parametres!$G$2,$Q405=Parametres!$G$3),K405,E405)</f>
        <v>3477.31</v>
      </c>
      <c r="Q405" s="654" t="str">
        <f t="shared" si="198"/>
        <v>7-Dépenses</v>
      </c>
      <c r="R405" s="653" t="str">
        <f t="shared" si="199"/>
        <v>6156</v>
      </c>
      <c r="S405" s="654" t="str">
        <f t="shared" si="200"/>
        <v>_</v>
      </c>
      <c r="T405" s="656" t="str">
        <f>+VLOOKUP($L405,Data_Validation!$A:$D,1,0)</f>
        <v>6756</v>
      </c>
      <c r="U405" s="656" t="str">
        <f>+VLOOKUP($L405,Data_Validation!$A:$D,3,0)</f>
        <v>Pièces</v>
      </c>
      <c r="V405" s="656" t="str">
        <f>+VLOOKUP($L405,Data_Validation!$A:$D,4,0)</f>
        <v>Frais de déplacement</v>
      </c>
      <c r="W405" s="656" t="str">
        <f>+VLOOKUP($L405,Data_Validation!$A:$E,5,0)</f>
        <v>$</v>
      </c>
      <c r="X405" s="656">
        <f>+VLOOKUP($L405,Data_Validation!$A:$F,6,0)</f>
        <v>0</v>
      </c>
    </row>
    <row r="406" spans="1:24" ht="15.75" customHeight="1">
      <c r="A406" s="1252" t="s">
        <v>1278</v>
      </c>
      <c r="B406" s="1252" t="s">
        <v>3401</v>
      </c>
      <c r="C406" s="1254">
        <v>3871.72</v>
      </c>
      <c r="D406" s="1254">
        <v>2048.8200000000002</v>
      </c>
      <c r="E406" s="1254">
        <v>5920.54</v>
      </c>
      <c r="F406" s="1252" t="s">
        <v>1154</v>
      </c>
      <c r="G406" s="1252" t="s">
        <v>3339</v>
      </c>
      <c r="H406" s="1252" t="s">
        <v>3955</v>
      </c>
      <c r="I406" s="1024"/>
      <c r="J406" s="1024"/>
      <c r="K406" s="1024"/>
      <c r="L406" s="653" t="str">
        <f t="shared" si="196"/>
        <v>6757</v>
      </c>
      <c r="M406" s="654" t="str">
        <f t="shared" si="197"/>
        <v>FRAIS BANCAIRES - PIECES</v>
      </c>
      <c r="N406" s="655">
        <f>+IF(OR($Q406=Parametres!$G$2,$Q406=Parametres!$G$3),I406,C406)</f>
        <v>3871.72</v>
      </c>
      <c r="O406" s="655">
        <f>+IF(OR($Q406=Parametres!$G$2,$Q406=Parametres!$G$3),J406,D406)</f>
        <v>2048.8200000000002</v>
      </c>
      <c r="P406" s="655">
        <f>+IF(OR($Q406=Parametres!$G$2,$Q406=Parametres!$G$3),K406,E406)</f>
        <v>5920.54</v>
      </c>
      <c r="Q406" s="654" t="str">
        <f t="shared" si="198"/>
        <v>7-Dépenses</v>
      </c>
      <c r="R406" s="653" t="str">
        <f t="shared" si="199"/>
        <v>675</v>
      </c>
      <c r="S406" s="654" t="str">
        <f t="shared" si="200"/>
        <v>_</v>
      </c>
      <c r="T406" s="656" t="str">
        <f>+VLOOKUP($L406,Data_Validation!$A:$D,1,0)</f>
        <v>6757</v>
      </c>
      <c r="U406" s="656" t="str">
        <f>+VLOOKUP($L406,Data_Validation!$A:$D,3,0)</f>
        <v>Pièces</v>
      </c>
      <c r="V406" s="656" t="str">
        <f>+VLOOKUP($L406,Data_Validation!$A:$D,4,0)</f>
        <v>Frais bancaires</v>
      </c>
      <c r="W406" s="656" t="str">
        <f>+VLOOKUP($L406,Data_Validation!$A:$E,5,0)</f>
        <v>$</v>
      </c>
      <c r="X406" s="656">
        <f>+VLOOKUP($L406,Data_Validation!$A:$F,6,0)</f>
        <v>0</v>
      </c>
    </row>
    <row r="407" spans="1:24" ht="15.75" customHeight="1">
      <c r="A407" s="1252" t="s">
        <v>3889</v>
      </c>
      <c r="B407" s="1252" t="s">
        <v>3890</v>
      </c>
      <c r="C407" s="1254">
        <v>31700</v>
      </c>
      <c r="D407" s="1254">
        <v>10740</v>
      </c>
      <c r="E407" s="1254">
        <v>42440</v>
      </c>
      <c r="F407" s="1252" t="s">
        <v>1154</v>
      </c>
      <c r="G407" s="1252" t="s">
        <v>1210</v>
      </c>
      <c r="H407" s="1252" t="s">
        <v>3955</v>
      </c>
      <c r="I407" s="1024"/>
      <c r="J407" s="1024"/>
      <c r="K407" s="1024"/>
      <c r="L407" s="653" t="str">
        <f t="shared" si="196"/>
        <v>6758</v>
      </c>
      <c r="M407" s="654" t="str">
        <f t="shared" si="197"/>
        <v>FRAIS DE LIVRAISON PIECES</v>
      </c>
      <c r="N407" s="655">
        <f>+IF(OR($Q407=Parametres!$G$2,$Q407=Parametres!$G$3),I407,C407)</f>
        <v>31700</v>
      </c>
      <c r="O407" s="655">
        <f>+IF(OR($Q407=Parametres!$G$2,$Q407=Parametres!$G$3),J407,D407)</f>
        <v>10740</v>
      </c>
      <c r="P407" s="655">
        <f>+IF(OR($Q407=Parametres!$G$2,$Q407=Parametres!$G$3),K407,E407)</f>
        <v>42440</v>
      </c>
      <c r="Q407" s="654" t="str">
        <f t="shared" si="198"/>
        <v>7-Dépenses</v>
      </c>
      <c r="R407" s="653" t="str">
        <f t="shared" si="199"/>
        <v>6159</v>
      </c>
      <c r="S407" s="654" t="str">
        <f t="shared" si="200"/>
        <v>_</v>
      </c>
      <c r="T407" s="656" t="str">
        <f>+VLOOKUP($L407,Data_Validation!$A:$D,1,0)</f>
        <v>6758</v>
      </c>
      <c r="U407" s="656" t="str">
        <f>+VLOOKUP($L407,Data_Validation!$A:$D,3,0)</f>
        <v>Pièces</v>
      </c>
      <c r="V407" s="656" t="str">
        <f>+VLOOKUP($L407,Data_Validation!$A:$D,4,0)</f>
        <v>Services extérieurs</v>
      </c>
      <c r="W407" s="656" t="str">
        <f>+VLOOKUP($L407,Data_Validation!$A:$E,5,0)</f>
        <v>$</v>
      </c>
      <c r="X407" s="656">
        <f>+VLOOKUP($L407,Data_Validation!$A:$F,6,0)</f>
        <v>0</v>
      </c>
    </row>
    <row r="408" spans="1:24" ht="15.75" customHeight="1">
      <c r="A408" s="1252" t="s">
        <v>1209</v>
      </c>
      <c r="B408" s="1252" t="s">
        <v>2713</v>
      </c>
      <c r="C408" s="1254">
        <v>11370.75</v>
      </c>
      <c r="D408" s="1254">
        <v>2807.66</v>
      </c>
      <c r="E408" s="1254">
        <v>14178.41</v>
      </c>
      <c r="F408" s="1252" t="s">
        <v>1154</v>
      </c>
      <c r="G408" s="1252" t="s">
        <v>1210</v>
      </c>
      <c r="H408" s="1252" t="s">
        <v>3955</v>
      </c>
      <c r="I408" s="1024"/>
      <c r="J408" s="1024"/>
      <c r="K408" s="1024"/>
      <c r="L408" s="653" t="str">
        <f t="shared" si="196"/>
        <v>6759</v>
      </c>
      <c r="M408" s="654" t="str">
        <f t="shared" si="197"/>
        <v>SERVICE EXTERIEUR</v>
      </c>
      <c r="N408" s="655">
        <f>+IF(OR($Q408=Parametres!$G$2,$Q408=Parametres!$G$3),I408,C408)</f>
        <v>11370.75</v>
      </c>
      <c r="O408" s="655">
        <f>+IF(OR($Q408=Parametres!$G$2,$Q408=Parametres!$G$3),J408,D408)</f>
        <v>2807.66</v>
      </c>
      <c r="P408" s="655">
        <f>+IF(OR($Q408=Parametres!$G$2,$Q408=Parametres!$G$3),K408,E408)</f>
        <v>14178.41</v>
      </c>
      <c r="Q408" s="654" t="str">
        <f t="shared" si="198"/>
        <v>7-Dépenses</v>
      </c>
      <c r="R408" s="653" t="str">
        <f t="shared" si="199"/>
        <v>6159</v>
      </c>
      <c r="S408" s="654" t="str">
        <f t="shared" si="200"/>
        <v>_</v>
      </c>
      <c r="T408" s="656" t="str">
        <f>+VLOOKUP($L408,Data_Validation!$A:$D,1,0)</f>
        <v>6759</v>
      </c>
      <c r="U408" s="656" t="str">
        <f>+VLOOKUP($L408,Data_Validation!$A:$D,3,0)</f>
        <v>Pièces</v>
      </c>
      <c r="V408" s="656" t="str">
        <f>+VLOOKUP($L408,Data_Validation!$A:$D,4,0)</f>
        <v>Services extérieurs</v>
      </c>
      <c r="W408" s="656" t="str">
        <f>+VLOOKUP($L408,Data_Validation!$A:$E,5,0)</f>
        <v>$</v>
      </c>
      <c r="X408" s="656">
        <f>+VLOOKUP($L408,Data_Validation!$A:$F,6,0)</f>
        <v>0</v>
      </c>
    </row>
    <row r="409" spans="1:24" ht="15.75" customHeight="1">
      <c r="A409" s="1252" t="s">
        <v>1211</v>
      </c>
      <c r="B409" s="1252" t="s">
        <v>2716</v>
      </c>
      <c r="C409" s="1254">
        <v>31986</v>
      </c>
      <c r="D409" s="1254">
        <v>10662</v>
      </c>
      <c r="E409" s="1254">
        <v>42648</v>
      </c>
      <c r="F409" s="1252" t="s">
        <v>1154</v>
      </c>
      <c r="G409" s="1252" t="s">
        <v>1212</v>
      </c>
      <c r="H409" s="1252" t="s">
        <v>3955</v>
      </c>
      <c r="I409" s="1024"/>
      <c r="J409" s="1024"/>
      <c r="K409" s="1024"/>
      <c r="L409" s="653" t="str">
        <f t="shared" si="196"/>
        <v>6761</v>
      </c>
      <c r="M409" s="654" t="str">
        <f t="shared" si="197"/>
        <v>DEPRECIATION EQUIP. &amp; FIXTURES</v>
      </c>
      <c r="N409" s="655">
        <f>+IF(OR($Q409=Parametres!$G$2,$Q409=Parametres!$G$3),I409,C409)</f>
        <v>31986</v>
      </c>
      <c r="O409" s="655">
        <f>+IF(OR($Q409=Parametres!$G$2,$Q409=Parametres!$G$3),J409,D409)</f>
        <v>10662</v>
      </c>
      <c r="P409" s="655">
        <f>+IF(OR($Q409=Parametres!$G$2,$Q409=Parametres!$G$3),K409,E409)</f>
        <v>42648</v>
      </c>
      <c r="Q409" s="654" t="str">
        <f t="shared" si="198"/>
        <v>7-Dépenses</v>
      </c>
      <c r="R409" s="653" t="str">
        <f t="shared" si="199"/>
        <v>6161</v>
      </c>
      <c r="S409" s="654" t="str">
        <f t="shared" si="200"/>
        <v>_</v>
      </c>
      <c r="T409" s="656" t="str">
        <f>+VLOOKUP($L409,Data_Validation!$A:$D,1,0)</f>
        <v>6761</v>
      </c>
      <c r="U409" s="656" t="str">
        <f>+VLOOKUP($L409,Data_Validation!$A:$D,3,0)</f>
        <v>Pièces</v>
      </c>
      <c r="V409" s="656" t="str">
        <f>+VLOOKUP($L409,Data_Validation!$A:$D,4,0)</f>
        <v>Amortissement</v>
      </c>
      <c r="W409" s="656" t="str">
        <f>+VLOOKUP($L409,Data_Validation!$A:$E,5,0)</f>
        <v>$</v>
      </c>
      <c r="X409" s="656">
        <f>+VLOOKUP($L409,Data_Validation!$A:$F,6,0)</f>
        <v>0</v>
      </c>
    </row>
    <row r="410" spans="1:24" ht="15.75" customHeight="1">
      <c r="A410" s="1252" t="s">
        <v>1279</v>
      </c>
      <c r="B410" s="1252" t="s">
        <v>2725</v>
      </c>
      <c r="C410" s="1254">
        <v>6666</v>
      </c>
      <c r="D410" s="1254">
        <v>1429.99</v>
      </c>
      <c r="E410" s="1254">
        <v>8095.99</v>
      </c>
      <c r="F410" s="1252" t="s">
        <v>1154</v>
      </c>
      <c r="G410" s="1252" t="s">
        <v>1214</v>
      </c>
      <c r="H410" s="1252" t="s">
        <v>3955</v>
      </c>
      <c r="I410" s="1024"/>
      <c r="J410" s="1024"/>
      <c r="K410" s="1024"/>
      <c r="L410" s="653" t="str">
        <f t="shared" si="196"/>
        <v>6781</v>
      </c>
      <c r="M410" s="654" t="str">
        <f t="shared" si="197"/>
        <v>CHAUFFAGE,ELECTRICITE,EAU-PIECES</v>
      </c>
      <c r="N410" s="655">
        <f>+IF(OR($Q410=Parametres!$G$2,$Q410=Parametres!$G$3),I410,C410)</f>
        <v>6666</v>
      </c>
      <c r="O410" s="655">
        <f>+IF(OR($Q410=Parametres!$G$2,$Q410=Parametres!$G$3),J410,D410)</f>
        <v>1429.99</v>
      </c>
      <c r="P410" s="655">
        <f>+IF(OR($Q410=Parametres!$G$2,$Q410=Parametres!$G$3),K410,E410)</f>
        <v>8095.99</v>
      </c>
      <c r="Q410" s="654" t="str">
        <f t="shared" si="198"/>
        <v>7-Dépenses</v>
      </c>
      <c r="R410" s="653" t="str">
        <f t="shared" si="199"/>
        <v>6181</v>
      </c>
      <c r="S410" s="654" t="str">
        <f t="shared" si="200"/>
        <v>_</v>
      </c>
      <c r="T410" s="656" t="str">
        <f>+VLOOKUP($L410,Data_Validation!$A:$D,1,0)</f>
        <v>6781</v>
      </c>
      <c r="U410" s="656" t="str">
        <f>+VLOOKUP($L410,Data_Validation!$A:$D,3,0)</f>
        <v>Pièces</v>
      </c>
      <c r="V410" s="656" t="str">
        <f>+VLOOKUP($L410,Data_Validation!$A:$D,4,0)</f>
        <v>Chauffage, éclairage</v>
      </c>
      <c r="W410" s="656" t="str">
        <f>+VLOOKUP($L410,Data_Validation!$A:$E,5,0)</f>
        <v>$</v>
      </c>
      <c r="X410" s="656">
        <f>+VLOOKUP($L410,Data_Validation!$A:$F,6,0)</f>
        <v>0</v>
      </c>
    </row>
    <row r="411" spans="1:24" ht="15.75" customHeight="1">
      <c r="A411" s="1252" t="s">
        <v>1280</v>
      </c>
      <c r="B411" s="1252" t="s">
        <v>2728</v>
      </c>
      <c r="C411" s="1254">
        <v>27000</v>
      </c>
      <c r="D411" s="1254">
        <v>9000</v>
      </c>
      <c r="E411" s="1254">
        <v>36000</v>
      </c>
      <c r="F411" s="1252" t="s">
        <v>1154</v>
      </c>
      <c r="G411" s="1252" t="s">
        <v>1216</v>
      </c>
      <c r="H411" s="1252" t="s">
        <v>3955</v>
      </c>
      <c r="I411" s="1024"/>
      <c r="J411" s="1024"/>
      <c r="K411" s="1024"/>
      <c r="L411" s="653" t="str">
        <f t="shared" si="196"/>
        <v>6782</v>
      </c>
      <c r="M411" s="654" t="str">
        <f t="shared" si="197"/>
        <v>LOYER - PIECES</v>
      </c>
      <c r="N411" s="655">
        <f>+IF(OR($Q411=Parametres!$G$2,$Q411=Parametres!$G$3),I411,C411)</f>
        <v>27000</v>
      </c>
      <c r="O411" s="655">
        <f>+IF(OR($Q411=Parametres!$G$2,$Q411=Parametres!$G$3),J411,D411)</f>
        <v>9000</v>
      </c>
      <c r="P411" s="655">
        <f>+IF(OR($Q411=Parametres!$G$2,$Q411=Parametres!$G$3),K411,E411)</f>
        <v>36000</v>
      </c>
      <c r="Q411" s="654" t="str">
        <f t="shared" si="198"/>
        <v>7-Dépenses</v>
      </c>
      <c r="R411" s="653" t="str">
        <f t="shared" si="199"/>
        <v>6182</v>
      </c>
      <c r="S411" s="654" t="str">
        <f t="shared" si="200"/>
        <v>_</v>
      </c>
      <c r="T411" s="656" t="str">
        <f>+VLOOKUP($L411,Data_Validation!$A:$D,1,0)</f>
        <v>6782</v>
      </c>
      <c r="U411" s="656" t="str">
        <f>+VLOOKUP($L411,Data_Validation!$A:$D,3,0)</f>
        <v>Pièces</v>
      </c>
      <c r="V411" s="656" t="str">
        <f>+VLOOKUP($L411,Data_Validation!$A:$D,4,0)</f>
        <v>Loyer</v>
      </c>
      <c r="W411" s="656" t="str">
        <f>+VLOOKUP($L411,Data_Validation!$A:$E,5,0)</f>
        <v>$</v>
      </c>
      <c r="X411" s="656">
        <f>+VLOOKUP($L411,Data_Validation!$A:$F,6,0)</f>
        <v>0</v>
      </c>
    </row>
    <row r="412" spans="1:24" ht="15.75" customHeight="1">
      <c r="A412" s="1252" t="s">
        <v>1281</v>
      </c>
      <c r="B412" s="1252" t="s">
        <v>2731</v>
      </c>
      <c r="C412" s="1254">
        <v>3258.18</v>
      </c>
      <c r="D412" s="1254">
        <v>1086.06</v>
      </c>
      <c r="E412" s="1254">
        <v>4344.24</v>
      </c>
      <c r="F412" s="1252" t="s">
        <v>1154</v>
      </c>
      <c r="G412" s="1252" t="s">
        <v>1218</v>
      </c>
      <c r="H412" s="1252" t="s">
        <v>3955</v>
      </c>
      <c r="I412" s="1024"/>
      <c r="J412" s="1024"/>
      <c r="K412" s="1024"/>
      <c r="L412" s="653" t="str">
        <f t="shared" si="196"/>
        <v>6786</v>
      </c>
      <c r="M412" s="654" t="str">
        <f t="shared" si="197"/>
        <v>ASSURANCE BATISSE &amp; AMEL.-PIECES</v>
      </c>
      <c r="N412" s="655">
        <f>+IF(OR($Q412=Parametres!$G$2,$Q412=Parametres!$G$3),I412,C412)</f>
        <v>3258.18</v>
      </c>
      <c r="O412" s="655">
        <f>+IF(OR($Q412=Parametres!$G$2,$Q412=Parametres!$G$3),J412,D412)</f>
        <v>1086.06</v>
      </c>
      <c r="P412" s="655">
        <f>+IF(OR($Q412=Parametres!$G$2,$Q412=Parametres!$G$3),K412,E412)</f>
        <v>4344.24</v>
      </c>
      <c r="Q412" s="654" t="str">
        <f t="shared" si="198"/>
        <v>7-Dépenses</v>
      </c>
      <c r="R412" s="653" t="str">
        <f t="shared" si="199"/>
        <v>6186</v>
      </c>
      <c r="S412" s="654" t="str">
        <f t="shared" si="200"/>
        <v>_</v>
      </c>
      <c r="T412" s="656" t="str">
        <f>+VLOOKUP($L412,Data_Validation!$A:$D,1,0)</f>
        <v>6786</v>
      </c>
      <c r="U412" s="656" t="str">
        <f>+VLOOKUP($L412,Data_Validation!$A:$D,3,0)</f>
        <v>Pièces</v>
      </c>
      <c r="V412" s="656" t="str">
        <f>+VLOOKUP($L412,Data_Validation!$A:$D,4,0)</f>
        <v>Assurances</v>
      </c>
      <c r="W412" s="656" t="str">
        <f>+VLOOKUP($L412,Data_Validation!$A:$E,5,0)</f>
        <v>$</v>
      </c>
      <c r="X412" s="656">
        <f>+VLOOKUP($L412,Data_Validation!$A:$F,6,0)</f>
        <v>0</v>
      </c>
    </row>
    <row r="413" spans="1:24" ht="15.75" customHeight="1">
      <c r="A413" s="1252" t="s">
        <v>1282</v>
      </c>
      <c r="B413" s="1252" t="s">
        <v>2734</v>
      </c>
      <c r="C413" s="1254">
        <v>4067.25</v>
      </c>
      <c r="D413" s="1254">
        <v>1355.75</v>
      </c>
      <c r="E413" s="1254">
        <v>5423</v>
      </c>
      <c r="F413" s="1252" t="s">
        <v>1154</v>
      </c>
      <c r="G413" s="1252" t="s">
        <v>1220</v>
      </c>
      <c r="H413" s="1252" t="s">
        <v>3955</v>
      </c>
      <c r="I413" s="1024"/>
      <c r="J413" s="1024"/>
      <c r="K413" s="1024"/>
      <c r="L413" s="653" t="str">
        <f t="shared" si="196"/>
        <v>6787</v>
      </c>
      <c r="M413" s="654" t="str">
        <f t="shared" si="197"/>
        <v>TAXES FONCIERES - PIECES</v>
      </c>
      <c r="N413" s="655">
        <f>+IF(OR($Q413=Parametres!$G$2,$Q413=Parametres!$G$3),I413,C413)</f>
        <v>4067.25</v>
      </c>
      <c r="O413" s="655">
        <f>+IF(OR($Q413=Parametres!$G$2,$Q413=Parametres!$G$3),J413,D413)</f>
        <v>1355.75</v>
      </c>
      <c r="P413" s="655">
        <f>+IF(OR($Q413=Parametres!$G$2,$Q413=Parametres!$G$3),K413,E413)</f>
        <v>5423</v>
      </c>
      <c r="Q413" s="654" t="str">
        <f t="shared" si="198"/>
        <v>7-Dépenses</v>
      </c>
      <c r="R413" s="653" t="str">
        <f t="shared" si="199"/>
        <v>6187</v>
      </c>
      <c r="S413" s="654" t="str">
        <f t="shared" si="200"/>
        <v>_</v>
      </c>
      <c r="T413" s="656" t="str">
        <f>+VLOOKUP($L413,Data_Validation!$A:$D,1,0)</f>
        <v>6787</v>
      </c>
      <c r="U413" s="656" t="str">
        <f>+VLOOKUP($L413,Data_Validation!$A:$D,3,0)</f>
        <v>Pièces</v>
      </c>
      <c r="V413" s="656" t="str">
        <f>+VLOOKUP($L413,Data_Validation!$A:$D,4,0)</f>
        <v>Taxes foncières</v>
      </c>
      <c r="W413" s="656" t="str">
        <f>+VLOOKUP($L413,Data_Validation!$A:$E,5,0)</f>
        <v>$</v>
      </c>
      <c r="X413" s="656">
        <f>+VLOOKUP($L413,Data_Validation!$A:$F,6,0)</f>
        <v>0</v>
      </c>
    </row>
    <row r="414" spans="1:24" ht="15.75" customHeight="1">
      <c r="A414" s="1252" t="s">
        <v>1283</v>
      </c>
      <c r="B414" s="1252" t="s">
        <v>2737</v>
      </c>
      <c r="C414" s="1254">
        <v>3356.75</v>
      </c>
      <c r="D414" s="1254">
        <v>902.25</v>
      </c>
      <c r="E414" s="1254">
        <v>4259</v>
      </c>
      <c r="F414" s="1252" t="s">
        <v>1154</v>
      </c>
      <c r="G414" s="1252" t="s">
        <v>1222</v>
      </c>
      <c r="H414" s="1252" t="s">
        <v>3955</v>
      </c>
      <c r="I414" s="1024"/>
      <c r="J414" s="1024"/>
      <c r="K414" s="1024"/>
      <c r="L414" s="653" t="str">
        <f t="shared" si="196"/>
        <v>6793</v>
      </c>
      <c r="M414" s="654" t="str">
        <f t="shared" si="197"/>
        <v>AUTRES TAXES - PIECES</v>
      </c>
      <c r="N414" s="655">
        <f>+IF(OR($Q414=Parametres!$G$2,$Q414=Parametres!$G$3),I414,C414)</f>
        <v>3356.75</v>
      </c>
      <c r="O414" s="655">
        <f>+IF(OR($Q414=Parametres!$G$2,$Q414=Parametres!$G$3),J414,D414)</f>
        <v>902.25</v>
      </c>
      <c r="P414" s="655">
        <f>+IF(OR($Q414=Parametres!$G$2,$Q414=Parametres!$G$3),K414,E414)</f>
        <v>4259</v>
      </c>
      <c r="Q414" s="654" t="str">
        <f t="shared" si="198"/>
        <v>7-Dépenses</v>
      </c>
      <c r="R414" s="653" t="str">
        <f t="shared" si="199"/>
        <v>6193</v>
      </c>
      <c r="S414" s="654" t="str">
        <f t="shared" si="200"/>
        <v>_</v>
      </c>
      <c r="T414" s="656" t="str">
        <f>+VLOOKUP($L414,Data_Validation!$A:$D,1,0)</f>
        <v>6793</v>
      </c>
      <c r="U414" s="656" t="str">
        <f>+VLOOKUP($L414,Data_Validation!$A:$D,3,0)</f>
        <v>Pièces</v>
      </c>
      <c r="V414" s="656" t="str">
        <f>+VLOOKUP($L414,Data_Validation!$A:$D,4,0)</f>
        <v>Taxes d`affaires</v>
      </c>
      <c r="W414" s="656" t="str">
        <f>+VLOOKUP($L414,Data_Validation!$A:$E,5,0)</f>
        <v>$</v>
      </c>
      <c r="X414" s="656">
        <f>+VLOOKUP($L414,Data_Validation!$A:$F,6,0)</f>
        <v>0</v>
      </c>
    </row>
    <row r="415" spans="1:24" ht="15.75" customHeight="1">
      <c r="A415" s="1252" t="s">
        <v>1284</v>
      </c>
      <c r="B415" s="1252" t="s">
        <v>2740</v>
      </c>
      <c r="C415" s="1254">
        <v>5171.99</v>
      </c>
      <c r="D415" s="1254">
        <v>1605.83</v>
      </c>
      <c r="E415" s="1254">
        <v>6777.82</v>
      </c>
      <c r="F415" s="1252" t="s">
        <v>1154</v>
      </c>
      <c r="G415" s="1252" t="s">
        <v>1224</v>
      </c>
      <c r="H415" s="1252" t="s">
        <v>3955</v>
      </c>
      <c r="I415" s="1024"/>
      <c r="J415" s="1024"/>
      <c r="K415" s="1024"/>
      <c r="L415" s="653" t="str">
        <f t="shared" si="196"/>
        <v>6794</v>
      </c>
      <c r="M415" s="654" t="str">
        <f t="shared" si="197"/>
        <v>FRAIS PROFESSIONNEL-PIECES</v>
      </c>
      <c r="N415" s="655">
        <f>+IF(OR($Q415=Parametres!$G$2,$Q415=Parametres!$G$3),I415,C415)</f>
        <v>5171.99</v>
      </c>
      <c r="O415" s="655">
        <f>+IF(OR($Q415=Parametres!$G$2,$Q415=Parametres!$G$3),J415,D415)</f>
        <v>1605.83</v>
      </c>
      <c r="P415" s="655">
        <f>+IF(OR($Q415=Parametres!$G$2,$Q415=Parametres!$G$3),K415,E415)</f>
        <v>6777.82</v>
      </c>
      <c r="Q415" s="654" t="str">
        <f t="shared" si="198"/>
        <v>7-Dépenses</v>
      </c>
      <c r="R415" s="653" t="str">
        <f t="shared" si="199"/>
        <v>6194</v>
      </c>
      <c r="S415" s="654" t="str">
        <f t="shared" si="200"/>
        <v>_</v>
      </c>
      <c r="T415" s="656" t="str">
        <f>+VLOOKUP($L415,Data_Validation!$A:$D,1,0)</f>
        <v>6794</v>
      </c>
      <c r="U415" s="656" t="str">
        <f>+VLOOKUP($L415,Data_Validation!$A:$D,3,0)</f>
        <v>Pièces</v>
      </c>
      <c r="V415" s="656" t="str">
        <f>+VLOOKUP($L415,Data_Validation!$A:$D,4,0)</f>
        <v>Honoraires</v>
      </c>
      <c r="W415" s="656" t="str">
        <f>+VLOOKUP($L415,Data_Validation!$A:$E,5,0)</f>
        <v>$</v>
      </c>
      <c r="X415" s="656">
        <f>+VLOOKUP($L415,Data_Validation!$A:$F,6,0)</f>
        <v>0</v>
      </c>
    </row>
    <row r="416" spans="1:24" ht="15.75" customHeight="1">
      <c r="A416" s="1252" t="s">
        <v>1287</v>
      </c>
      <c r="B416" s="1252" t="s">
        <v>2751</v>
      </c>
      <c r="C416" s="1254">
        <v>-199994</v>
      </c>
      <c r="D416" s="1254">
        <v>-77555</v>
      </c>
      <c r="E416" s="1254">
        <v>-277549</v>
      </c>
      <c r="F416" s="1252" t="s">
        <v>1285</v>
      </c>
      <c r="G416" s="1252" t="s">
        <v>1286</v>
      </c>
      <c r="H416" s="1252" t="s">
        <v>3955</v>
      </c>
      <c r="I416" s="1024"/>
      <c r="J416" s="1024"/>
      <c r="K416" s="1024"/>
      <c r="L416" s="653" t="str">
        <f t="shared" si="196"/>
        <v>9149</v>
      </c>
      <c r="M416" s="654" t="str">
        <f t="shared" si="197"/>
        <v>REVENU RESERVE VOLKS</v>
      </c>
      <c r="N416" s="655">
        <f>+IF(OR($Q416=Parametres!$G$2,$Q416=Parametres!$G$3),I416,C416)</f>
        <v>-199994</v>
      </c>
      <c r="O416" s="655">
        <f>+IF(OR($Q416=Parametres!$G$2,$Q416=Parametres!$G$3),J416,D416)</f>
        <v>-77555</v>
      </c>
      <c r="P416" s="655">
        <f>+IF(OR($Q416=Parametres!$G$2,$Q416=Parametres!$G$3),K416,E416)</f>
        <v>-277549</v>
      </c>
      <c r="Q416" s="654" t="str">
        <f t="shared" si="198"/>
        <v>8-Autres revenus</v>
      </c>
      <c r="R416" s="653" t="str">
        <f t="shared" si="199"/>
        <v>9101</v>
      </c>
      <c r="S416" s="654" t="str">
        <f t="shared" si="200"/>
        <v>_</v>
      </c>
      <c r="T416" s="656" t="str">
        <f>+VLOOKUP($L416,Data_Validation!$A:$D,1,0)</f>
        <v>9149</v>
      </c>
      <c r="U416" s="656" t="str">
        <f>+VLOOKUP($L416,Data_Validation!$A:$D,3,0)</f>
        <v>Véhicules neufs</v>
      </c>
      <c r="V416" s="656" t="str">
        <f>+VLOOKUP($L416,Data_Validation!$A:$D,4,0)</f>
        <v>Holdbacks</v>
      </c>
      <c r="W416" s="656" t="str">
        <f>+VLOOKUP($L416,Data_Validation!$A:$E,5,0)</f>
        <v>$</v>
      </c>
      <c r="X416" s="656">
        <f>+VLOOKUP($L416,Data_Validation!$A:$F,6,0)</f>
        <v>0</v>
      </c>
    </row>
    <row r="417" spans="1:24" ht="15.75" customHeight="1">
      <c r="A417" s="1252" t="s">
        <v>1288</v>
      </c>
      <c r="B417" s="1252" t="s">
        <v>1289</v>
      </c>
      <c r="C417" s="1254">
        <v>-27838.02</v>
      </c>
      <c r="D417" s="1254">
        <v>-11099.31</v>
      </c>
      <c r="E417" s="1254">
        <v>-38937.33</v>
      </c>
      <c r="F417" s="1252" t="s">
        <v>1285</v>
      </c>
      <c r="G417" s="1252" t="s">
        <v>1289</v>
      </c>
      <c r="H417" s="1252" t="s">
        <v>3955</v>
      </c>
      <c r="I417" s="1253"/>
      <c r="J417" s="1253"/>
      <c r="K417" s="1253"/>
      <c r="L417" s="653" t="str">
        <f t="shared" si="196"/>
        <v>9152</v>
      </c>
      <c r="M417" s="654" t="str">
        <f t="shared" si="197"/>
        <v>ESCOMPTES SUR ACHAT PIECES</v>
      </c>
      <c r="N417" s="655">
        <f>+IF(OR($Q417=Parametres!$G$2,$Q417=Parametres!$G$3),I417,C417)</f>
        <v>-27838.02</v>
      </c>
      <c r="O417" s="655">
        <f>+IF(OR($Q417=Parametres!$G$2,$Q417=Parametres!$G$3),J417,D417)</f>
        <v>-11099.31</v>
      </c>
      <c r="P417" s="655">
        <f>+IF(OR($Q417=Parametres!$G$2,$Q417=Parametres!$G$3),K417,E417)</f>
        <v>-38937.33</v>
      </c>
      <c r="Q417" s="654" t="str">
        <f t="shared" si="198"/>
        <v>8-Autres revenus</v>
      </c>
      <c r="R417" s="653" t="str">
        <f t="shared" si="199"/>
        <v>9152</v>
      </c>
      <c r="S417" s="654" t="str">
        <f t="shared" si="200"/>
        <v>_</v>
      </c>
      <c r="T417" s="656" t="str">
        <f>+VLOOKUP($L417,Data_Validation!$A:$D,1,0)</f>
        <v>9152</v>
      </c>
      <c r="U417" s="656" t="str">
        <f>+VLOOKUP($L417,Data_Validation!$A:$D,3,0)</f>
        <v>Pièces</v>
      </c>
      <c r="V417" s="656" t="str">
        <f>+VLOOKUP($L417,Data_Validation!$A:$D,4,0)</f>
        <v>Escomptes</v>
      </c>
      <c r="W417" s="656" t="str">
        <f>+VLOOKUP($L417,Data_Validation!$A:$E,5,0)</f>
        <v>$</v>
      </c>
      <c r="X417" s="656">
        <f>+VLOOKUP($L417,Data_Validation!$A:$F,6,0)</f>
        <v>0</v>
      </c>
    </row>
    <row r="418" spans="1:24" ht="15.75" customHeight="1">
      <c r="A418" s="1252" t="s">
        <v>1290</v>
      </c>
      <c r="B418" s="1252" t="s">
        <v>1291</v>
      </c>
      <c r="C418" s="1254">
        <v>-615.35</v>
      </c>
      <c r="D418" s="1254">
        <v>0</v>
      </c>
      <c r="E418" s="1254">
        <v>-615.35</v>
      </c>
      <c r="F418" s="1252" t="s">
        <v>1285</v>
      </c>
      <c r="G418" s="1252" t="s">
        <v>1291</v>
      </c>
      <c r="H418" s="1252" t="s">
        <v>3955</v>
      </c>
      <c r="I418" s="1253"/>
      <c r="J418" s="1253"/>
      <c r="K418" s="1253"/>
      <c r="L418" s="653" t="str">
        <f t="shared" si="196"/>
        <v>9161</v>
      </c>
      <c r="M418" s="654" t="str">
        <f t="shared" si="197"/>
        <v>REVENU FIN ET ASS NEUF</v>
      </c>
      <c r="N418" s="655">
        <f>+IF(OR($Q418=Parametres!$G$2,$Q418=Parametres!$G$3),I418,C418)</f>
        <v>-615.35</v>
      </c>
      <c r="O418" s="655">
        <f>+IF(OR($Q418=Parametres!$G$2,$Q418=Parametres!$G$3),J418,D418)</f>
        <v>0</v>
      </c>
      <c r="P418" s="655">
        <f>+IF(OR($Q418=Parametres!$G$2,$Q418=Parametres!$G$3),K418,E418)</f>
        <v>-615.35</v>
      </c>
      <c r="Q418" s="654" t="str">
        <f t="shared" si="198"/>
        <v>8-Autres revenus</v>
      </c>
      <c r="R418" s="653" t="str">
        <f t="shared" si="199"/>
        <v>9161</v>
      </c>
      <c r="S418" s="654" t="str">
        <f t="shared" si="200"/>
        <v>_</v>
      </c>
      <c r="T418" s="656" t="str">
        <f>+VLOOKUP($L418,Data_Validation!$A:$D,1,0)</f>
        <v>9161</v>
      </c>
      <c r="U418" s="656" t="str">
        <f>+VLOOKUP($L418,Data_Validation!$A:$D,3,0)</f>
        <v>Véhicules neufs</v>
      </c>
      <c r="V418" s="656" t="str">
        <f>+VLOOKUP($L418,Data_Validation!$A:$D,4,0)</f>
        <v>Rev. Finances</v>
      </c>
      <c r="W418" s="656" t="str">
        <f>+VLOOKUP($L418,Data_Validation!$A:$E,5,0)</f>
        <v>$</v>
      </c>
      <c r="X418" s="656" t="str">
        <f>+VLOOKUP($L418,Data_Validation!$A:$F,6,0)</f>
        <v>Oui</v>
      </c>
    </row>
    <row r="419" spans="1:24" ht="15.75" customHeight="1">
      <c r="A419" s="1252" t="s">
        <v>1294</v>
      </c>
      <c r="B419" s="1252" t="s">
        <v>1295</v>
      </c>
      <c r="C419" s="1254">
        <v>-24306.68</v>
      </c>
      <c r="D419" s="1254">
        <v>-9178.0300000000007</v>
      </c>
      <c r="E419" s="1254">
        <v>-33484.71</v>
      </c>
      <c r="F419" s="1252" t="s">
        <v>1285</v>
      </c>
      <c r="G419" s="1252" t="s">
        <v>1295</v>
      </c>
      <c r="H419" s="1252" t="s">
        <v>3955</v>
      </c>
      <c r="I419" s="1253"/>
      <c r="J419" s="1253"/>
      <c r="K419" s="1253"/>
      <c r="L419" s="653" t="str">
        <f t="shared" si="196"/>
        <v>9163</v>
      </c>
      <c r="M419" s="654" t="str">
        <f t="shared" si="197"/>
        <v>RESERVE FIN ET ASS VEH OCCASION</v>
      </c>
      <c r="N419" s="655">
        <f>+IF(OR($Q419=Parametres!$G$2,$Q419=Parametres!$G$3),I419,C419)</f>
        <v>-24306.68</v>
      </c>
      <c r="O419" s="655">
        <f>+IF(OR($Q419=Parametres!$G$2,$Q419=Parametres!$G$3),J419,D419)</f>
        <v>-9178.0300000000007</v>
      </c>
      <c r="P419" s="655">
        <f>+IF(OR($Q419=Parametres!$G$2,$Q419=Parametres!$G$3),K419,E419)</f>
        <v>-33484.71</v>
      </c>
      <c r="Q419" s="654" t="str">
        <f t="shared" si="198"/>
        <v>8-Autres revenus</v>
      </c>
      <c r="R419" s="653" t="str">
        <f t="shared" si="199"/>
        <v>9163</v>
      </c>
      <c r="S419" s="654" t="str">
        <f t="shared" si="200"/>
        <v>_</v>
      </c>
      <c r="T419" s="656" t="str">
        <f>+VLOOKUP($L419,Data_Validation!$A:$D,1,0)</f>
        <v>9163</v>
      </c>
      <c r="U419" s="656" t="str">
        <f>+VLOOKUP($L419,Data_Validation!$A:$D,3,0)</f>
        <v>Véhicules usagés</v>
      </c>
      <c r="V419" s="656" t="str">
        <f>+VLOOKUP($L419,Data_Validation!$A:$D,4,0)</f>
        <v>Rev. Finances</v>
      </c>
      <c r="W419" s="656" t="str">
        <f>+VLOOKUP($L419,Data_Validation!$A:$E,5,0)</f>
        <v>$</v>
      </c>
      <c r="X419" s="656" t="str">
        <f>+VLOOKUP($L419,Data_Validation!$A:$F,6,0)</f>
        <v>Oui</v>
      </c>
    </row>
    <row r="420" spans="1:24" ht="15.75" customHeight="1">
      <c r="A420" s="1252" t="s">
        <v>1297</v>
      </c>
      <c r="B420" s="1252" t="s">
        <v>2763</v>
      </c>
      <c r="C420" s="1254">
        <v>-760.01</v>
      </c>
      <c r="D420" s="1254">
        <v>0</v>
      </c>
      <c r="E420" s="1254">
        <v>-760.01</v>
      </c>
      <c r="F420" s="1252" t="s">
        <v>1285</v>
      </c>
      <c r="G420" s="1252" t="s">
        <v>1291</v>
      </c>
      <c r="H420" s="1252" t="s">
        <v>3955</v>
      </c>
      <c r="I420" s="1253"/>
      <c r="J420" s="1253"/>
      <c r="K420" s="1253"/>
      <c r="L420" s="653" t="str">
        <f t="shared" si="196"/>
        <v>9165</v>
      </c>
      <c r="M420" s="654" t="str">
        <f t="shared" si="197"/>
        <v>REV. ASSURANCES NEUF</v>
      </c>
      <c r="N420" s="655">
        <f>+IF(OR($Q420=Parametres!$G$2,$Q420=Parametres!$G$3),I420,C420)</f>
        <v>-760.01</v>
      </c>
      <c r="O420" s="655">
        <f>+IF(OR($Q420=Parametres!$G$2,$Q420=Parametres!$G$3),J420,D420)</f>
        <v>0</v>
      </c>
      <c r="P420" s="655">
        <f>+IF(OR($Q420=Parametres!$G$2,$Q420=Parametres!$G$3),K420,E420)</f>
        <v>-760.01</v>
      </c>
      <c r="Q420" s="654" t="str">
        <f t="shared" si="198"/>
        <v>8-Autres revenus</v>
      </c>
      <c r="R420" s="653" t="str">
        <f t="shared" si="199"/>
        <v>9161</v>
      </c>
      <c r="S420" s="654" t="str">
        <f t="shared" si="200"/>
        <v>_</v>
      </c>
      <c r="T420" s="656" t="str">
        <f>+VLOOKUP($L420,Data_Validation!$A:$D,1,0)</f>
        <v>9165</v>
      </c>
      <c r="U420" s="656" t="str">
        <f>+VLOOKUP($L420,Data_Validation!$A:$D,3,0)</f>
        <v>Véhicules neufs</v>
      </c>
      <c r="V420" s="656" t="str">
        <f>+VLOOKUP($L420,Data_Validation!$A:$D,4,0)</f>
        <v>Rev. Autres</v>
      </c>
      <c r="W420" s="656" t="str">
        <f>+VLOOKUP($L420,Data_Validation!$A:$E,5,0)</f>
        <v>$</v>
      </c>
      <c r="X420" s="656" t="str">
        <f>+VLOOKUP($L420,Data_Validation!$A:$F,6,0)</f>
        <v>Oui</v>
      </c>
    </row>
    <row r="421" spans="1:24" ht="15.75" customHeight="1">
      <c r="A421" s="1252" t="s">
        <v>1298</v>
      </c>
      <c r="B421" s="1252" t="s">
        <v>2766</v>
      </c>
      <c r="C421" s="1254">
        <v>-2607.61</v>
      </c>
      <c r="D421" s="1254">
        <v>-287.54000000000002</v>
      </c>
      <c r="E421" s="1254">
        <v>-2895.15</v>
      </c>
      <c r="F421" s="1252" t="s">
        <v>1285</v>
      </c>
      <c r="G421" s="1252" t="s">
        <v>1295</v>
      </c>
      <c r="H421" s="1252" t="s">
        <v>3955</v>
      </c>
      <c r="I421" s="1253"/>
      <c r="J421" s="1253"/>
      <c r="K421" s="1253"/>
      <c r="L421" s="653" t="str">
        <f t="shared" si="196"/>
        <v>9167</v>
      </c>
      <c r="M421" s="654" t="str">
        <f t="shared" si="197"/>
        <v>REV ASSURANCE USAGE</v>
      </c>
      <c r="N421" s="655">
        <f>+IF(OR($Q421=Parametres!$G$2,$Q421=Parametres!$G$3),I421,C421)</f>
        <v>-2607.61</v>
      </c>
      <c r="O421" s="655">
        <f>+IF(OR($Q421=Parametres!$G$2,$Q421=Parametres!$G$3),J421,D421)</f>
        <v>-287.54000000000002</v>
      </c>
      <c r="P421" s="655">
        <f>+IF(OR($Q421=Parametres!$G$2,$Q421=Parametres!$G$3),K421,E421)</f>
        <v>-2895.15</v>
      </c>
      <c r="Q421" s="654" t="str">
        <f t="shared" si="198"/>
        <v>8-Autres revenus</v>
      </c>
      <c r="R421" s="653" t="str">
        <f t="shared" si="199"/>
        <v>9163</v>
      </c>
      <c r="S421" s="654" t="str">
        <f t="shared" si="200"/>
        <v>_</v>
      </c>
      <c r="T421" s="656" t="str">
        <f>+VLOOKUP($L421,Data_Validation!$A:$D,1,0)</f>
        <v>9167</v>
      </c>
      <c r="U421" s="656" t="str">
        <f>+VLOOKUP($L421,Data_Validation!$A:$D,3,0)</f>
        <v>Véhicules usagés</v>
      </c>
      <c r="V421" s="656" t="str">
        <f>+VLOOKUP($L421,Data_Validation!$A:$D,4,0)</f>
        <v>Rev. Autres</v>
      </c>
      <c r="W421" s="656" t="str">
        <f>+VLOOKUP($L421,Data_Validation!$A:$E,5,0)</f>
        <v>$</v>
      </c>
      <c r="X421" s="656" t="str">
        <f>+VLOOKUP($L421,Data_Validation!$A:$F,6,0)</f>
        <v>Oui</v>
      </c>
    </row>
    <row r="422" spans="1:24" ht="15.75" customHeight="1">
      <c r="A422" s="1252" t="s">
        <v>1301</v>
      </c>
      <c r="B422" s="1252" t="s">
        <v>2769</v>
      </c>
      <c r="C422" s="1254">
        <v>-28881</v>
      </c>
      <c r="D422" s="1254">
        <v>-5500</v>
      </c>
      <c r="E422" s="1254">
        <v>-34381</v>
      </c>
      <c r="F422" s="1252" t="s">
        <v>1285</v>
      </c>
      <c r="G422" s="1252" t="s">
        <v>1291</v>
      </c>
      <c r="H422" s="1252" t="s">
        <v>3955</v>
      </c>
      <c r="I422" s="1253"/>
      <c r="J422" s="1253"/>
      <c r="K422" s="1253"/>
      <c r="L422" s="653" t="str">
        <f t="shared" si="196"/>
        <v>9169</v>
      </c>
      <c r="M422" s="654" t="str">
        <f t="shared" si="197"/>
        <v>REV GARANTIE PROLONGEE NEUF</v>
      </c>
      <c r="N422" s="655">
        <f>+IF(OR($Q422=Parametres!$G$2,$Q422=Parametres!$G$3),I422,C422)</f>
        <v>-28881</v>
      </c>
      <c r="O422" s="655">
        <f>+IF(OR($Q422=Parametres!$G$2,$Q422=Parametres!$G$3),J422,D422)</f>
        <v>-5500</v>
      </c>
      <c r="P422" s="655">
        <f>+IF(OR($Q422=Parametres!$G$2,$Q422=Parametres!$G$3),K422,E422)</f>
        <v>-34381</v>
      </c>
      <c r="Q422" s="654" t="str">
        <f t="shared" si="198"/>
        <v>8-Autres revenus</v>
      </c>
      <c r="R422" s="653" t="str">
        <f t="shared" si="199"/>
        <v>9161</v>
      </c>
      <c r="S422" s="654" t="str">
        <f t="shared" si="200"/>
        <v>_</v>
      </c>
      <c r="T422" s="656" t="str">
        <f>+VLOOKUP($L422,Data_Validation!$A:$D,1,0)</f>
        <v>9169</v>
      </c>
      <c r="U422" s="656" t="str">
        <f>+VLOOKUP($L422,Data_Validation!$A:$D,3,0)</f>
        <v>Véhicules neufs</v>
      </c>
      <c r="V422" s="656" t="str">
        <f>+VLOOKUP($L422,Data_Validation!$A:$D,4,0)</f>
        <v>Rev. Protections</v>
      </c>
      <c r="W422" s="656" t="str">
        <f>+VLOOKUP($L422,Data_Validation!$A:$E,5,0)</f>
        <v>$</v>
      </c>
      <c r="X422" s="656" t="str">
        <f>+VLOOKUP($L422,Data_Validation!$A:$F,6,0)</f>
        <v>Oui</v>
      </c>
    </row>
    <row r="423" spans="1:24" ht="15.75" customHeight="1">
      <c r="A423" s="1252" t="s">
        <v>1302</v>
      </c>
      <c r="B423" s="1252" t="s">
        <v>2772</v>
      </c>
      <c r="C423" s="1254">
        <v>-94916</v>
      </c>
      <c r="D423" s="1254">
        <v>-48547.9</v>
      </c>
      <c r="E423" s="1254">
        <v>-143463.9</v>
      </c>
      <c r="F423" s="1252" t="s">
        <v>1285</v>
      </c>
      <c r="G423" s="1252" t="s">
        <v>1291</v>
      </c>
      <c r="H423" s="1252" t="s">
        <v>3955</v>
      </c>
      <c r="I423" s="1253"/>
      <c r="J423" s="1253"/>
      <c r="K423" s="1253"/>
      <c r="L423" s="653" t="str">
        <f t="shared" si="196"/>
        <v>9170</v>
      </c>
      <c r="M423" s="654" t="str">
        <f t="shared" si="197"/>
        <v>PROFIT PROTECTIONS - NEUFS</v>
      </c>
      <c r="N423" s="655">
        <f>+IF(OR($Q423=Parametres!$G$2,$Q423=Parametres!$G$3),I423,C423)</f>
        <v>-94916</v>
      </c>
      <c r="O423" s="655">
        <f>+IF(OR($Q423=Parametres!$G$2,$Q423=Parametres!$G$3),J423,D423)</f>
        <v>-48547.9</v>
      </c>
      <c r="P423" s="655">
        <f>+IF(OR($Q423=Parametres!$G$2,$Q423=Parametres!$G$3),K423,E423)</f>
        <v>-143463.9</v>
      </c>
      <c r="Q423" s="654" t="str">
        <f t="shared" si="198"/>
        <v>8-Autres revenus</v>
      </c>
      <c r="R423" s="653" t="str">
        <f t="shared" si="199"/>
        <v>9161</v>
      </c>
      <c r="S423" s="654" t="str">
        <f t="shared" si="200"/>
        <v>_</v>
      </c>
      <c r="T423" s="656" t="str">
        <f>+VLOOKUP($L423,Data_Validation!$A:$D,1,0)</f>
        <v>9170</v>
      </c>
      <c r="U423" s="656" t="str">
        <f>+VLOOKUP($L423,Data_Validation!$A:$D,3,0)</f>
        <v>Véhicules neufs</v>
      </c>
      <c r="V423" s="656" t="str">
        <f>+VLOOKUP($L423,Data_Validation!$A:$D,4,0)</f>
        <v>Rev. Protections</v>
      </c>
      <c r="W423" s="656" t="str">
        <f>+VLOOKUP($L423,Data_Validation!$A:$E,5,0)</f>
        <v>$</v>
      </c>
      <c r="X423" s="656" t="str">
        <f>+VLOOKUP($L423,Data_Validation!$A:$F,6,0)</f>
        <v>Oui</v>
      </c>
    </row>
    <row r="424" spans="1:24" ht="15.75" customHeight="1">
      <c r="A424" s="1252" t="s">
        <v>1303</v>
      </c>
      <c r="B424" s="1252" t="s">
        <v>2775</v>
      </c>
      <c r="C424" s="1254">
        <v>-65290.05</v>
      </c>
      <c r="D424" s="1254">
        <v>-37414</v>
      </c>
      <c r="E424" s="1254">
        <v>-102704.05</v>
      </c>
      <c r="F424" s="1252" t="s">
        <v>1285</v>
      </c>
      <c r="G424" s="1252" t="s">
        <v>1295</v>
      </c>
      <c r="H424" s="1252" t="s">
        <v>3955</v>
      </c>
      <c r="I424" s="1253"/>
      <c r="J424" s="1253"/>
      <c r="K424" s="1253"/>
      <c r="L424" s="653" t="str">
        <f t="shared" si="196"/>
        <v>9171</v>
      </c>
      <c r="M424" s="654" t="str">
        <f t="shared" si="197"/>
        <v>REV GARANTIE PROLONGEE USAGE</v>
      </c>
      <c r="N424" s="655">
        <f>+IF(OR($Q424=Parametres!$G$2,$Q424=Parametres!$G$3),I424,C424)</f>
        <v>-65290.05</v>
      </c>
      <c r="O424" s="655">
        <f>+IF(OR($Q424=Parametres!$G$2,$Q424=Parametres!$G$3),J424,D424)</f>
        <v>-37414</v>
      </c>
      <c r="P424" s="655">
        <f>+IF(OR($Q424=Parametres!$G$2,$Q424=Parametres!$G$3),K424,E424)</f>
        <v>-102704.05</v>
      </c>
      <c r="Q424" s="654" t="str">
        <f t="shared" si="198"/>
        <v>8-Autres revenus</v>
      </c>
      <c r="R424" s="653" t="str">
        <f t="shared" si="199"/>
        <v>9163</v>
      </c>
      <c r="S424" s="654" t="str">
        <f t="shared" si="200"/>
        <v>_</v>
      </c>
      <c r="T424" s="656" t="str">
        <f>+VLOOKUP($L424,Data_Validation!$A:$D,1,0)</f>
        <v>9171</v>
      </c>
      <c r="U424" s="656" t="str">
        <f>+VLOOKUP($L424,Data_Validation!$A:$D,3,0)</f>
        <v>Véhicules usagés</v>
      </c>
      <c r="V424" s="656" t="str">
        <f>+VLOOKUP($L424,Data_Validation!$A:$D,4,0)</f>
        <v>Rev. Protections</v>
      </c>
      <c r="W424" s="656" t="str">
        <f>+VLOOKUP($L424,Data_Validation!$A:$E,5,0)</f>
        <v>$</v>
      </c>
      <c r="X424" s="656" t="str">
        <f>+VLOOKUP($L424,Data_Validation!$A:$F,6,0)</f>
        <v>Oui</v>
      </c>
    </row>
    <row r="425" spans="1:24" ht="15.75" customHeight="1">
      <c r="A425" s="1252" t="s">
        <v>1306</v>
      </c>
      <c r="B425" s="1252" t="s">
        <v>2778</v>
      </c>
      <c r="C425" s="1254">
        <v>-34808.53</v>
      </c>
      <c r="D425" s="1254">
        <v>-14490.1</v>
      </c>
      <c r="E425" s="1254">
        <v>-49298.63</v>
      </c>
      <c r="F425" s="1252" t="s">
        <v>1285</v>
      </c>
      <c r="G425" s="1252" t="s">
        <v>1295</v>
      </c>
      <c r="H425" s="1252" t="s">
        <v>3955</v>
      </c>
      <c r="I425" s="1253"/>
      <c r="J425" s="1253"/>
      <c r="K425" s="1253"/>
      <c r="L425" s="653" t="str">
        <f t="shared" si="196"/>
        <v>9172</v>
      </c>
      <c r="M425" s="654" t="str">
        <f t="shared" si="197"/>
        <v>PROFIT PROTECTIONS - USAGES</v>
      </c>
      <c r="N425" s="655">
        <f>+IF(OR($Q425=Parametres!$G$2,$Q425=Parametres!$G$3),I425,C425)</f>
        <v>-34808.53</v>
      </c>
      <c r="O425" s="655">
        <f>+IF(OR($Q425=Parametres!$G$2,$Q425=Parametres!$G$3),J425,D425)</f>
        <v>-14490.1</v>
      </c>
      <c r="P425" s="655">
        <f>+IF(OR($Q425=Parametres!$G$2,$Q425=Parametres!$G$3),K425,E425)</f>
        <v>-49298.63</v>
      </c>
      <c r="Q425" s="654" t="str">
        <f t="shared" si="198"/>
        <v>8-Autres revenus</v>
      </c>
      <c r="R425" s="653" t="str">
        <f t="shared" si="199"/>
        <v>9163</v>
      </c>
      <c r="S425" s="654" t="str">
        <f t="shared" si="200"/>
        <v>_</v>
      </c>
      <c r="T425" s="656" t="str">
        <f>+VLOOKUP($L425,Data_Validation!$A:$D,1,0)</f>
        <v>9172</v>
      </c>
      <c r="U425" s="656" t="str">
        <f>+VLOOKUP($L425,Data_Validation!$A:$D,3,0)</f>
        <v>Véhicules usagés</v>
      </c>
      <c r="V425" s="656" t="str">
        <f>+VLOOKUP($L425,Data_Validation!$A:$D,4,0)</f>
        <v>Rev. Protections</v>
      </c>
      <c r="W425" s="656" t="str">
        <f>+VLOOKUP($L425,Data_Validation!$A:$E,5,0)</f>
        <v>$</v>
      </c>
      <c r="X425" s="656" t="str">
        <f>+VLOOKUP($L425,Data_Validation!$A:$F,6,0)</f>
        <v>Oui</v>
      </c>
    </row>
    <row r="426" spans="1:24" ht="15.75" customHeight="1">
      <c r="A426" s="1252" t="s">
        <v>1309</v>
      </c>
      <c r="B426" s="1252" t="s">
        <v>2781</v>
      </c>
      <c r="C426" s="1254">
        <v>-64134</v>
      </c>
      <c r="D426" s="1254">
        <v>-24441</v>
      </c>
      <c r="E426" s="1254">
        <v>-88575</v>
      </c>
      <c r="F426" s="1252" t="s">
        <v>1285</v>
      </c>
      <c r="G426" s="1252" t="s">
        <v>1310</v>
      </c>
      <c r="H426" s="1252" t="s">
        <v>3955</v>
      </c>
      <c r="I426" s="1253"/>
      <c r="J426" s="1253"/>
      <c r="K426" s="1253"/>
      <c r="L426" s="653" t="str">
        <f t="shared" si="196"/>
        <v>9173</v>
      </c>
      <c r="M426" s="654" t="str">
        <f t="shared" si="197"/>
        <v>FRAIS ADMIN. VOLKS</v>
      </c>
      <c r="N426" s="655">
        <f>+IF(OR($Q426=Parametres!$G$2,$Q426=Parametres!$G$3),I426,C426)</f>
        <v>-64134</v>
      </c>
      <c r="O426" s="655">
        <f>+IF(OR($Q426=Parametres!$G$2,$Q426=Parametres!$G$3),J426,D426)</f>
        <v>-24441</v>
      </c>
      <c r="P426" s="655">
        <f>+IF(OR($Q426=Parametres!$G$2,$Q426=Parametres!$G$3),K426,E426)</f>
        <v>-88575</v>
      </c>
      <c r="Q426" s="654" t="str">
        <f t="shared" si="198"/>
        <v>8-Autres revenus</v>
      </c>
      <c r="R426" s="653" t="str">
        <f t="shared" si="199"/>
        <v>9191</v>
      </c>
      <c r="S426" s="654" t="str">
        <f t="shared" si="200"/>
        <v>_</v>
      </c>
      <c r="T426" s="656" t="str">
        <f>+VLOOKUP($L426,Data_Validation!$A:$D,1,0)</f>
        <v>9173</v>
      </c>
      <c r="U426" s="656" t="str">
        <f>+VLOOKUP($L426,Data_Validation!$A:$D,3,0)</f>
        <v>Véhicules neufs</v>
      </c>
      <c r="V426" s="656" t="str">
        <f>+VLOOKUP($L426,Data_Validation!$A:$D,4,0)</f>
        <v>Frais administration</v>
      </c>
      <c r="W426" s="656" t="str">
        <f>+VLOOKUP($L426,Data_Validation!$A:$E,5,0)</f>
        <v>$</v>
      </c>
      <c r="X426" s="656">
        <f>+VLOOKUP($L426,Data_Validation!$A:$F,6,0)</f>
        <v>0</v>
      </c>
    </row>
    <row r="427" spans="1:24" ht="15.75" customHeight="1">
      <c r="A427" s="1252" t="s">
        <v>1311</v>
      </c>
      <c r="B427" s="1252" t="s">
        <v>3404</v>
      </c>
      <c r="C427" s="1254">
        <v>-33471</v>
      </c>
      <c r="D427" s="1254">
        <v>-14505</v>
      </c>
      <c r="E427" s="1254">
        <v>-47976</v>
      </c>
      <c r="F427" s="1252" t="s">
        <v>1285</v>
      </c>
      <c r="G427" s="1252" t="s">
        <v>1310</v>
      </c>
      <c r="H427" s="1252" t="s">
        <v>3955</v>
      </c>
      <c r="I427" s="1253"/>
      <c r="J427" s="1253"/>
      <c r="K427" s="1253"/>
      <c r="L427" s="653" t="str">
        <f t="shared" si="196"/>
        <v>9174</v>
      </c>
      <c r="M427" s="654" t="str">
        <f t="shared" si="197"/>
        <v>FRAIS ADMIN. VW USAGE</v>
      </c>
      <c r="N427" s="655">
        <f>+IF(OR($Q427=Parametres!$G$2,$Q427=Parametres!$G$3),I427,C427)</f>
        <v>-33471</v>
      </c>
      <c r="O427" s="655">
        <f>+IF(OR($Q427=Parametres!$G$2,$Q427=Parametres!$G$3),J427,D427)</f>
        <v>-14505</v>
      </c>
      <c r="P427" s="655">
        <f>+IF(OR($Q427=Parametres!$G$2,$Q427=Parametres!$G$3),K427,E427)</f>
        <v>-47976</v>
      </c>
      <c r="Q427" s="654" t="str">
        <f t="shared" si="198"/>
        <v>8-Autres revenus</v>
      </c>
      <c r="R427" s="653" t="str">
        <f t="shared" si="199"/>
        <v>9191</v>
      </c>
      <c r="S427" s="654" t="str">
        <f t="shared" si="200"/>
        <v>_</v>
      </c>
      <c r="T427" s="656" t="str">
        <f>+VLOOKUP($L427,Data_Validation!$A:$D,1,0)</f>
        <v>9174</v>
      </c>
      <c r="U427" s="656" t="str">
        <f>+VLOOKUP($L427,Data_Validation!$A:$D,3,0)</f>
        <v>Véhicules usagés</v>
      </c>
      <c r="V427" s="656" t="str">
        <f>+VLOOKUP($L427,Data_Validation!$A:$D,4,0)</f>
        <v>Frais administration</v>
      </c>
      <c r="W427" s="656" t="str">
        <f>+VLOOKUP($L427,Data_Validation!$A:$E,5,0)</f>
        <v>$</v>
      </c>
      <c r="X427" s="656">
        <f>+VLOOKUP($L427,Data_Validation!$A:$F,6,0)</f>
        <v>0</v>
      </c>
    </row>
    <row r="428" spans="1:24" ht="15.75" customHeight="1">
      <c r="A428" s="1252" t="s">
        <v>1312</v>
      </c>
      <c r="B428" s="1252" t="s">
        <v>1310</v>
      </c>
      <c r="C428" s="1254">
        <v>-70792.08</v>
      </c>
      <c r="D428" s="1254">
        <v>-302.69</v>
      </c>
      <c r="E428" s="1254">
        <v>-71094.77</v>
      </c>
      <c r="F428" s="1252" t="s">
        <v>1285</v>
      </c>
      <c r="G428" s="1252" t="s">
        <v>1310</v>
      </c>
      <c r="H428" s="1252" t="s">
        <v>3955</v>
      </c>
      <c r="I428" s="1253"/>
      <c r="J428" s="1253"/>
      <c r="K428" s="1253"/>
      <c r="L428" s="653" t="str">
        <f t="shared" si="196"/>
        <v>9191</v>
      </c>
      <c r="M428" s="654" t="str">
        <f t="shared" si="197"/>
        <v>REVENUS DIVERS</v>
      </c>
      <c r="N428" s="655">
        <f>+IF(OR($Q428=Parametres!$G$2,$Q428=Parametres!$G$3),I428,C428)</f>
        <v>-70792.08</v>
      </c>
      <c r="O428" s="655">
        <f>+IF(OR($Q428=Parametres!$G$2,$Q428=Parametres!$G$3),J428,D428)</f>
        <v>-302.69</v>
      </c>
      <c r="P428" s="655">
        <f>+IF(OR($Q428=Parametres!$G$2,$Q428=Parametres!$G$3),K428,E428)</f>
        <v>-71094.77</v>
      </c>
      <c r="Q428" s="654" t="str">
        <f t="shared" si="198"/>
        <v>8-Autres revenus</v>
      </c>
      <c r="R428" s="653" t="str">
        <f t="shared" si="199"/>
        <v>9191</v>
      </c>
      <c r="S428" s="654" t="str">
        <f t="shared" si="200"/>
        <v>_</v>
      </c>
      <c r="T428" s="656" t="str">
        <f>+VLOOKUP($L428,Data_Validation!$A:$D,1,0)</f>
        <v>9191</v>
      </c>
      <c r="U428" s="656" t="str">
        <f>+VLOOKUP($L428,Data_Validation!$A:$D,3,0)</f>
        <v>TOTAL  DES  REVENUS  ET  DÉPENSES</v>
      </c>
      <c r="V428" s="656" t="str">
        <f>+VLOOKUP($L428,Data_Validation!$A:$D,4,0)</f>
        <v>Revenus autres</v>
      </c>
      <c r="W428" s="656" t="str">
        <f>+VLOOKUP($L428,Data_Validation!$A:$E,5,0)</f>
        <v>$</v>
      </c>
      <c r="X428" s="656">
        <f>+VLOOKUP($L428,Data_Validation!$A:$F,6,0)</f>
        <v>0</v>
      </c>
    </row>
    <row r="429" spans="1:24" ht="15.75" customHeight="1">
      <c r="A429" s="1252" t="s">
        <v>3891</v>
      </c>
      <c r="B429" s="1252" t="s">
        <v>3892</v>
      </c>
      <c r="C429" s="1254">
        <v>-3237</v>
      </c>
      <c r="D429" s="1254">
        <v>-1079</v>
      </c>
      <c r="E429" s="1254">
        <v>-4316</v>
      </c>
      <c r="F429" s="1252" t="s">
        <v>1314</v>
      </c>
      <c r="G429" s="1252" t="s">
        <v>3914</v>
      </c>
      <c r="H429" s="1252" t="s">
        <v>3955</v>
      </c>
      <c r="I429" s="1253"/>
      <c r="J429" s="1253"/>
      <c r="K429" s="1253"/>
      <c r="L429" s="653" t="str">
        <f t="shared" si="196"/>
        <v>9405</v>
      </c>
      <c r="M429" s="654" t="str">
        <f t="shared" si="197"/>
        <v>Revenus d'interets floor plan</v>
      </c>
      <c r="N429" s="655">
        <f>+IF(OR($Q429=Parametres!$G$2,$Q429=Parametres!$G$3),I429,C429)</f>
        <v>-3237</v>
      </c>
      <c r="O429" s="655">
        <f>+IF(OR($Q429=Parametres!$G$2,$Q429=Parametres!$G$3),J429,D429)</f>
        <v>-1079</v>
      </c>
      <c r="P429" s="655">
        <f>+IF(OR($Q429=Parametres!$G$2,$Q429=Parametres!$G$3),K429,E429)</f>
        <v>-4316</v>
      </c>
      <c r="Q429" s="654" t="str">
        <f t="shared" si="198"/>
        <v>9-Autres déductions</v>
      </c>
      <c r="R429" s="653" t="str">
        <f t="shared" si="199"/>
        <v>940</v>
      </c>
      <c r="S429" s="654" t="str">
        <f t="shared" si="200"/>
        <v>_</v>
      </c>
      <c r="T429" s="656" t="str">
        <f>+VLOOKUP($L429,Data_Validation!$A:$D,1,0)</f>
        <v>9405</v>
      </c>
      <c r="U429" s="656" t="str">
        <f>+VLOOKUP($L429,Data_Validation!$A:$D,3,0)</f>
        <v>Autres</v>
      </c>
      <c r="V429" s="656" t="str">
        <f>+VLOOKUP($L429,Data_Validation!$A:$D,4,0)</f>
        <v>Revenus d'intérêts floor plan</v>
      </c>
      <c r="W429" s="656" t="str">
        <f>+VLOOKUP($L429,Data_Validation!$A:$E,5,0)</f>
        <v>$</v>
      </c>
      <c r="X429" s="656">
        <f>+VLOOKUP($L429,Data_Validation!$A:$F,6,0)</f>
        <v>0</v>
      </c>
    </row>
    <row r="430" spans="1:24" ht="15.75" customHeight="1">
      <c r="A430" s="1252" t="s">
        <v>1299</v>
      </c>
      <c r="B430" s="1252" t="s">
        <v>1300</v>
      </c>
      <c r="C430" s="1253"/>
      <c r="D430" s="1253"/>
      <c r="E430" s="1253"/>
      <c r="F430" s="1252" t="s">
        <v>7</v>
      </c>
      <c r="G430" s="1252" t="s">
        <v>1295</v>
      </c>
      <c r="H430" s="1252" t="s">
        <v>3955</v>
      </c>
      <c r="I430" s="1254">
        <v>-7</v>
      </c>
      <c r="J430" s="1254">
        <v>-1</v>
      </c>
      <c r="K430" s="1254">
        <v>-8</v>
      </c>
      <c r="L430" s="653" t="str">
        <f t="shared" si="196"/>
        <v>9167@</v>
      </c>
      <c r="M430" s="654" t="str">
        <f t="shared" si="197"/>
        <v>ASSURANCE VIE USAGE</v>
      </c>
      <c r="N430" s="655">
        <f>+IF(OR($Q430=Parametres!$G$2,$Q430=Parametres!$G$3),I430,C430)</f>
        <v>-7</v>
      </c>
      <c r="O430" s="655">
        <f>+IF(OR($Q430=Parametres!$G$2,$Q430=Parametres!$G$3),J430,D430)</f>
        <v>-1</v>
      </c>
      <c r="P430" s="655">
        <f>+IF(OR($Q430=Parametres!$G$2,$Q430=Parametres!$G$3),K430,E430)</f>
        <v>-8</v>
      </c>
      <c r="Q430" s="654" t="str">
        <f t="shared" si="198"/>
        <v>10-Compte compteur</v>
      </c>
      <c r="R430" s="653" t="str">
        <f t="shared" si="199"/>
        <v>9163</v>
      </c>
      <c r="S430" s="654" t="str">
        <f t="shared" si="200"/>
        <v>_</v>
      </c>
      <c r="T430" s="656" t="str">
        <f>+VLOOKUP($L430,Data_Validation!$A:$D,1,0)</f>
        <v>9167@</v>
      </c>
      <c r="U430" s="656" t="str">
        <f>+VLOOKUP($L430,Data_Validation!$A:$D,3,0)</f>
        <v>Véhicules usagés</v>
      </c>
      <c r="V430" s="656">
        <f>+VLOOKUP($L430,Data_Validation!$A:$D,4,0)</f>
        <v>0</v>
      </c>
      <c r="W430" s="656" t="str">
        <f>+VLOOKUP($L430,Data_Validation!$A:$E,5,0)</f>
        <v>NB</v>
      </c>
      <c r="X430" s="656">
        <f>+VLOOKUP($L430,Data_Validation!$A:$F,6,0)</f>
        <v>0</v>
      </c>
    </row>
    <row r="431" spans="1:24" ht="15.75" customHeight="1">
      <c r="A431" s="1252" t="s">
        <v>3345</v>
      </c>
      <c r="B431" s="1252" t="s">
        <v>3346</v>
      </c>
      <c r="C431" s="1253"/>
      <c r="D431" s="1253"/>
      <c r="E431" s="1253"/>
      <c r="F431" s="1252" t="s">
        <v>7</v>
      </c>
      <c r="G431" s="1252" t="s">
        <v>1291</v>
      </c>
      <c r="H431" s="1252" t="s">
        <v>3955</v>
      </c>
      <c r="I431" s="1254">
        <v>-22</v>
      </c>
      <c r="J431" s="1254">
        <v>-4</v>
      </c>
      <c r="K431" s="1254">
        <v>-26</v>
      </c>
      <c r="L431" s="653" t="str">
        <f t="shared" si="196"/>
        <v>9169@</v>
      </c>
      <c r="M431" s="654" t="str">
        <f t="shared" si="197"/>
        <v>VENTES PEINTURE</v>
      </c>
      <c r="N431" s="655">
        <f>+IF(OR($Q431=Parametres!$G$2,$Q431=Parametres!$G$3),I431,C431)</f>
        <v>-22</v>
      </c>
      <c r="O431" s="655">
        <f>+IF(OR($Q431=Parametres!$G$2,$Q431=Parametres!$G$3),J431,D431)</f>
        <v>-4</v>
      </c>
      <c r="P431" s="655">
        <f>+IF(OR($Q431=Parametres!$G$2,$Q431=Parametres!$G$3),K431,E431)</f>
        <v>-26</v>
      </c>
      <c r="Q431" s="654" t="str">
        <f t="shared" si="198"/>
        <v>10-Compte compteur</v>
      </c>
      <c r="R431" s="653" t="str">
        <f t="shared" si="199"/>
        <v>9161</v>
      </c>
      <c r="S431" s="654" t="str">
        <f t="shared" si="200"/>
        <v>_</v>
      </c>
      <c r="T431" s="656" t="str">
        <f>+VLOOKUP($L431,Data_Validation!$A:$D,1,0)</f>
        <v>9169@</v>
      </c>
      <c r="U431" s="656">
        <f>+VLOOKUP($L431,Data_Validation!$A:$D,3,0)</f>
        <v>0</v>
      </c>
      <c r="V431" s="656">
        <f>+VLOOKUP($L431,Data_Validation!$A:$D,4,0)</f>
        <v>0</v>
      </c>
      <c r="W431" s="656" t="str">
        <f>+VLOOKUP($L431,Data_Validation!$A:$E,5,0)</f>
        <v>NB</v>
      </c>
      <c r="X431" s="656">
        <f>+VLOOKUP($L431,Data_Validation!$A:$F,6,0)</f>
        <v>0</v>
      </c>
    </row>
    <row r="432" spans="1:24" ht="15.75" customHeight="1">
      <c r="A432" s="1252" t="s">
        <v>1304</v>
      </c>
      <c r="B432" s="1252" t="s">
        <v>1305</v>
      </c>
      <c r="C432" s="1253"/>
      <c r="D432" s="1253"/>
      <c r="E432" s="1253"/>
      <c r="F432" s="1252" t="s">
        <v>7</v>
      </c>
      <c r="G432" s="1252" t="s">
        <v>1295</v>
      </c>
      <c r="H432" s="1252" t="s">
        <v>3955</v>
      </c>
      <c r="I432" s="1254">
        <v>-42</v>
      </c>
      <c r="J432" s="1254">
        <v>-21</v>
      </c>
      <c r="K432" s="1254">
        <v>-63</v>
      </c>
      <c r="L432" s="653" t="str">
        <f t="shared" si="196"/>
        <v>9171@</v>
      </c>
      <c r="M432" s="654" t="str">
        <f t="shared" si="197"/>
        <v>VENTE CHIMIQUE USAGE</v>
      </c>
      <c r="N432" s="655">
        <f>+IF(OR($Q432=Parametres!$G$2,$Q432=Parametres!$G$3),I432,C432)</f>
        <v>-42</v>
      </c>
      <c r="O432" s="655">
        <f>+IF(OR($Q432=Parametres!$G$2,$Q432=Parametres!$G$3),J432,D432)</f>
        <v>-21</v>
      </c>
      <c r="P432" s="655">
        <f>+IF(OR($Q432=Parametres!$G$2,$Q432=Parametres!$G$3),K432,E432)</f>
        <v>-63</v>
      </c>
      <c r="Q432" s="654" t="str">
        <f t="shared" si="198"/>
        <v>10-Compte compteur</v>
      </c>
      <c r="R432" s="653" t="str">
        <f t="shared" si="199"/>
        <v>9163</v>
      </c>
      <c r="S432" s="654" t="str">
        <f t="shared" si="200"/>
        <v>_</v>
      </c>
      <c r="T432" s="656" t="str">
        <f>+VLOOKUP($L432,Data_Validation!$A:$D,1,0)</f>
        <v>9171@</v>
      </c>
      <c r="U432" s="656" t="str">
        <f>+VLOOKUP($L432,Data_Validation!$A:$D,3,0)</f>
        <v>Véhicules usagés</v>
      </c>
      <c r="V432" s="656">
        <f>+VLOOKUP($L432,Data_Validation!$A:$D,4,0)</f>
        <v>0</v>
      </c>
      <c r="W432" s="656" t="str">
        <f>+VLOOKUP($L432,Data_Validation!$A:$E,5,0)</f>
        <v>NB</v>
      </c>
      <c r="X432" s="656">
        <f>+VLOOKUP($L432,Data_Validation!$A:$F,6,0)</f>
        <v>0</v>
      </c>
    </row>
    <row r="433" spans="1:24" ht="15.75" customHeight="1">
      <c r="A433" s="1252" t="s">
        <v>842</v>
      </c>
      <c r="B433" s="1252" t="s">
        <v>843</v>
      </c>
      <c r="C433" s="1253"/>
      <c r="D433" s="1253"/>
      <c r="E433" s="1253"/>
      <c r="F433" s="1252" t="s">
        <v>7</v>
      </c>
      <c r="G433" s="1252" t="s">
        <v>841</v>
      </c>
      <c r="H433" s="1252" t="s">
        <v>3955</v>
      </c>
      <c r="I433" s="1254">
        <v>100</v>
      </c>
      <c r="J433" s="1254">
        <v>-20</v>
      </c>
      <c r="K433" s="1254">
        <v>80</v>
      </c>
      <c r="L433" s="653" t="str">
        <f t="shared" si="196"/>
        <v>1402@</v>
      </c>
      <c r="M433" s="654" t="str">
        <f t="shared" si="197"/>
        <v># DE INVENTAIRE VEH.NEUFS VW</v>
      </c>
      <c r="N433" s="655">
        <f>+IF(OR($Q433=Parametres!$G$2,$Q433=Parametres!$G$3),I433,C433)</f>
        <v>100</v>
      </c>
      <c r="O433" s="655">
        <f>+IF(OR($Q433=Parametres!$G$2,$Q433=Parametres!$G$3),J433,D433)</f>
        <v>-20</v>
      </c>
      <c r="P433" s="655">
        <f>+IF(OR($Q433=Parametres!$G$2,$Q433=Parametres!$G$3),K433,E433)</f>
        <v>80</v>
      </c>
      <c r="Q433" s="654" t="str">
        <f t="shared" si="198"/>
        <v>10-Compte compteur</v>
      </c>
      <c r="R433" s="653" t="str">
        <f t="shared" si="199"/>
        <v>1402</v>
      </c>
      <c r="S433" s="654" t="str">
        <f t="shared" si="200"/>
        <v>_</v>
      </c>
      <c r="T433" s="656" t="str">
        <f>+VLOOKUP($L433,Data_Validation!$A:$D,1,0)</f>
        <v>1402@</v>
      </c>
      <c r="U433" s="656" t="str">
        <f>+VLOOKUP($L433,Data_Validation!$A:$D,3,0)</f>
        <v>Bilan</v>
      </c>
      <c r="V433" s="656">
        <f>+VLOOKUP($L433,Data_Validation!$A:$D,4,0)</f>
        <v>0</v>
      </c>
      <c r="W433" s="656" t="str">
        <f>+VLOOKUP($L433,Data_Validation!$A:$E,5,0)</f>
        <v>NB</v>
      </c>
      <c r="X433" s="656">
        <f>+VLOOKUP($L433,Data_Validation!$A:$F,6,0)</f>
        <v>0</v>
      </c>
    </row>
    <row r="434" spans="1:24" ht="15.75" customHeight="1">
      <c r="A434" s="1252" t="s">
        <v>849</v>
      </c>
      <c r="B434" s="1252" t="s">
        <v>850</v>
      </c>
      <c r="C434" s="1253"/>
      <c r="D434" s="1253"/>
      <c r="E434" s="1253"/>
      <c r="F434" s="1252" t="s">
        <v>7</v>
      </c>
      <c r="G434" s="1252" t="s">
        <v>848</v>
      </c>
      <c r="H434" s="1252" t="s">
        <v>3955</v>
      </c>
      <c r="I434" s="1254">
        <v>55</v>
      </c>
      <c r="J434" s="1254">
        <v>25</v>
      </c>
      <c r="K434" s="1254">
        <v>80</v>
      </c>
      <c r="L434" s="653" t="str">
        <f t="shared" si="196"/>
        <v>1416@</v>
      </c>
      <c r="M434" s="654" t="str">
        <f t="shared" si="197"/>
        <v># DE INV. VEH. USAGE VW</v>
      </c>
      <c r="N434" s="655">
        <f>+IF(OR($Q434=Parametres!$G$2,$Q434=Parametres!$G$3),I434,C434)</f>
        <v>55</v>
      </c>
      <c r="O434" s="655">
        <f>+IF(OR($Q434=Parametres!$G$2,$Q434=Parametres!$G$3),J434,D434)</f>
        <v>25</v>
      </c>
      <c r="P434" s="655">
        <f>+IF(OR($Q434=Parametres!$G$2,$Q434=Parametres!$G$3),K434,E434)</f>
        <v>80</v>
      </c>
      <c r="Q434" s="654" t="str">
        <f t="shared" si="198"/>
        <v>10-Compte compteur</v>
      </c>
      <c r="R434" s="653" t="str">
        <f t="shared" si="199"/>
        <v>1416</v>
      </c>
      <c r="S434" s="654" t="str">
        <f t="shared" si="200"/>
        <v>_</v>
      </c>
      <c r="T434" s="656" t="str">
        <f>+VLOOKUP($L434,Data_Validation!$A:$D,1,0)</f>
        <v>1416@</v>
      </c>
      <c r="U434" s="656" t="str">
        <f>+VLOOKUP($L434,Data_Validation!$A:$D,3,0)</f>
        <v>Bilan</v>
      </c>
      <c r="V434" s="656">
        <f>+VLOOKUP($L434,Data_Validation!$A:$D,4,0)</f>
        <v>0</v>
      </c>
      <c r="W434" s="656" t="str">
        <f>+VLOOKUP($L434,Data_Validation!$A:$E,5,0)</f>
        <v>NB</v>
      </c>
      <c r="X434" s="656">
        <f>+VLOOKUP($L434,Data_Validation!$A:$F,6,0)</f>
        <v>0</v>
      </c>
    </row>
    <row r="435" spans="1:24" ht="15.75" customHeight="1">
      <c r="A435" s="1252" t="s">
        <v>965</v>
      </c>
      <c r="B435" s="1252" t="s">
        <v>966</v>
      </c>
      <c r="C435" s="1253"/>
      <c r="D435" s="1253"/>
      <c r="E435" s="1253"/>
      <c r="F435" s="1252" t="s">
        <v>7</v>
      </c>
      <c r="G435" s="1252" t="s">
        <v>964</v>
      </c>
      <c r="H435" s="1252" t="s">
        <v>3955</v>
      </c>
      <c r="I435" s="1254">
        <v>-46</v>
      </c>
      <c r="J435" s="1254">
        <v>-12</v>
      </c>
      <c r="K435" s="1254">
        <v>-58</v>
      </c>
      <c r="L435" s="653" t="str">
        <f t="shared" si="196"/>
        <v>4100@</v>
      </c>
      <c r="M435" s="654" t="str">
        <f t="shared" si="197"/>
        <v>RESERVE</v>
      </c>
      <c r="N435" s="655">
        <f>+IF(OR($Q435=Parametres!$G$2,$Q435=Parametres!$G$3),I435,C435)</f>
        <v>-46</v>
      </c>
      <c r="O435" s="655">
        <f>+IF(OR($Q435=Parametres!$G$2,$Q435=Parametres!$G$3),J435,D435)</f>
        <v>-12</v>
      </c>
      <c r="P435" s="655">
        <f>+IF(OR($Q435=Parametres!$G$2,$Q435=Parametres!$G$3),K435,E435)</f>
        <v>-58</v>
      </c>
      <c r="Q435" s="654" t="str">
        <f t="shared" si="198"/>
        <v>10-Compte compteur</v>
      </c>
      <c r="R435" s="653" t="str">
        <f t="shared" si="199"/>
        <v>4100</v>
      </c>
      <c r="S435" s="654" t="str">
        <f t="shared" si="200"/>
        <v>_</v>
      </c>
      <c r="T435" s="656" t="str">
        <f>+VLOOKUP($L435,Data_Validation!$A:$D,1,0)</f>
        <v>4100@</v>
      </c>
      <c r="U435" s="656" t="str">
        <f>+VLOOKUP($L435,Data_Validation!$A:$D,3,0)</f>
        <v>Véhicules neufs</v>
      </c>
      <c r="V435" s="656" t="str">
        <f>+VLOOKUP($L435,Data_Validation!$A:$D,4,0)</f>
        <v>Rachat bail</v>
      </c>
      <c r="W435" s="656" t="str">
        <f>+VLOOKUP($L435,Data_Validation!$A:$E,5,0)</f>
        <v>NB</v>
      </c>
      <c r="X435" s="656">
        <f>+VLOOKUP($L435,Data_Validation!$A:$F,6,0)</f>
        <v>0</v>
      </c>
    </row>
    <row r="436" spans="1:24" ht="15.75" customHeight="1">
      <c r="A436" s="1252" t="s">
        <v>969</v>
      </c>
      <c r="B436" s="1252" t="s">
        <v>970</v>
      </c>
      <c r="C436" s="1253"/>
      <c r="D436" s="1253"/>
      <c r="E436" s="1253"/>
      <c r="F436" s="1252" t="s">
        <v>7</v>
      </c>
      <c r="G436" s="1252" t="s">
        <v>968</v>
      </c>
      <c r="H436" s="1252" t="s">
        <v>3955</v>
      </c>
      <c r="I436" s="1254">
        <v>-4</v>
      </c>
      <c r="J436" s="1254">
        <v>-7</v>
      </c>
      <c r="K436" s="1254">
        <v>-11</v>
      </c>
      <c r="L436" s="653" t="str">
        <f t="shared" si="196"/>
        <v>4109@</v>
      </c>
      <c r="M436" s="654" t="str">
        <f t="shared" si="197"/>
        <v># DE VENTE - GOLF R</v>
      </c>
      <c r="N436" s="655">
        <f>+IF(OR($Q436=Parametres!$G$2,$Q436=Parametres!$G$3),I436,C436)</f>
        <v>-4</v>
      </c>
      <c r="O436" s="655">
        <f>+IF(OR($Q436=Parametres!$G$2,$Q436=Parametres!$G$3),J436,D436)</f>
        <v>-7</v>
      </c>
      <c r="P436" s="655">
        <f>+IF(OR($Q436=Parametres!$G$2,$Q436=Parametres!$G$3),K436,E436)</f>
        <v>-11</v>
      </c>
      <c r="Q436" s="654" t="str">
        <f t="shared" si="198"/>
        <v>10-Compte compteur</v>
      </c>
      <c r="R436" s="653" t="str">
        <f t="shared" si="199"/>
        <v>4109</v>
      </c>
      <c r="S436" s="654" t="str">
        <f t="shared" si="200"/>
        <v>_</v>
      </c>
      <c r="T436" s="656" t="str">
        <f>+VLOOKUP($L436,Data_Validation!$A:$D,1,0)</f>
        <v>4109@</v>
      </c>
      <c r="U436" s="656" t="str">
        <f>+VLOOKUP($L436,Data_Validation!$A:$D,3,0)</f>
        <v>Véhicules neufs</v>
      </c>
      <c r="V436" s="656" t="str">
        <f>+VLOOKUP($L436,Data_Validation!$A:$D,4,0)</f>
        <v>Autos détail</v>
      </c>
      <c r="W436" s="656" t="str">
        <f>+VLOOKUP($L436,Data_Validation!$A:$E,5,0)</f>
        <v>NB</v>
      </c>
      <c r="X436" s="656">
        <f>+VLOOKUP($L436,Data_Validation!$A:$F,6,0)</f>
        <v>0</v>
      </c>
    </row>
    <row r="437" spans="1:24" ht="15.75" customHeight="1">
      <c r="A437" s="1252" t="s">
        <v>971</v>
      </c>
      <c r="B437" s="1252" t="s">
        <v>973</v>
      </c>
      <c r="C437" s="1253"/>
      <c r="D437" s="1253"/>
      <c r="E437" s="1253"/>
      <c r="F437" s="1252" t="s">
        <v>7</v>
      </c>
      <c r="G437" s="1252" t="s">
        <v>972</v>
      </c>
      <c r="H437" s="1252" t="s">
        <v>3955</v>
      </c>
      <c r="I437" s="1254">
        <v>-12</v>
      </c>
      <c r="J437" s="1254">
        <v>-10</v>
      </c>
      <c r="K437" s="1254">
        <v>-22</v>
      </c>
      <c r="L437" s="653" t="str">
        <f t="shared" si="196"/>
        <v>4111@</v>
      </c>
      <c r="M437" s="654" t="str">
        <f t="shared" si="197"/>
        <v>JETTA/ JETTA GLI</v>
      </c>
      <c r="N437" s="655">
        <f>+IF(OR($Q437=Parametres!$G$2,$Q437=Parametres!$G$3),I437,C437)</f>
        <v>-12</v>
      </c>
      <c r="O437" s="655">
        <f>+IF(OR($Q437=Parametres!$G$2,$Q437=Parametres!$G$3),J437,D437)</f>
        <v>-10</v>
      </c>
      <c r="P437" s="655">
        <f>+IF(OR($Q437=Parametres!$G$2,$Q437=Parametres!$G$3),K437,E437)</f>
        <v>-22</v>
      </c>
      <c r="Q437" s="654" t="str">
        <f t="shared" si="198"/>
        <v>10-Compte compteur</v>
      </c>
      <c r="R437" s="653" t="str">
        <f t="shared" si="199"/>
        <v>4111</v>
      </c>
      <c r="S437" s="654" t="str">
        <f t="shared" si="200"/>
        <v>_</v>
      </c>
      <c r="T437" s="656" t="str">
        <f>+VLOOKUP($L437,Data_Validation!$A:$D,1,0)</f>
        <v>4111@</v>
      </c>
      <c r="U437" s="656" t="str">
        <f>+VLOOKUP($L437,Data_Validation!$A:$D,3,0)</f>
        <v>Véhicules neufs</v>
      </c>
      <c r="V437" s="656" t="str">
        <f>+VLOOKUP($L437,Data_Validation!$A:$D,4,0)</f>
        <v>Autos détail</v>
      </c>
      <c r="W437" s="656" t="str">
        <f>+VLOOKUP($L437,Data_Validation!$A:$E,5,0)</f>
        <v>NB</v>
      </c>
      <c r="X437" s="656">
        <f>+VLOOKUP($L437,Data_Validation!$A:$F,6,0)</f>
        <v>0</v>
      </c>
    </row>
    <row r="438" spans="1:24" ht="15.75" customHeight="1">
      <c r="A438" s="1252" t="s">
        <v>976</v>
      </c>
      <c r="B438" s="1252" t="s">
        <v>977</v>
      </c>
      <c r="C438" s="1253"/>
      <c r="D438" s="1253"/>
      <c r="E438" s="1253"/>
      <c r="F438" s="1252" t="s">
        <v>7</v>
      </c>
      <c r="G438" s="1252" t="s">
        <v>978</v>
      </c>
      <c r="H438" s="1252" t="s">
        <v>3955</v>
      </c>
      <c r="I438" s="1254">
        <v>-46</v>
      </c>
      <c r="J438" s="1254">
        <v>-19</v>
      </c>
      <c r="K438" s="1254">
        <v>-65</v>
      </c>
      <c r="L438" s="653" t="str">
        <f t="shared" si="196"/>
        <v>4118@</v>
      </c>
      <c r="M438" s="654" t="str">
        <f t="shared" si="197"/>
        <v>TAOS</v>
      </c>
      <c r="N438" s="655">
        <f>+IF(OR($Q438=Parametres!$G$2,$Q438=Parametres!$G$3),I438,C438)</f>
        <v>-46</v>
      </c>
      <c r="O438" s="655">
        <f>+IF(OR($Q438=Parametres!$G$2,$Q438=Parametres!$G$3),J438,D438)</f>
        <v>-19</v>
      </c>
      <c r="P438" s="655">
        <f>+IF(OR($Q438=Parametres!$G$2,$Q438=Parametres!$G$3),K438,E438)</f>
        <v>-65</v>
      </c>
      <c r="Q438" s="654" t="str">
        <f t="shared" si="198"/>
        <v>10-Compte compteur</v>
      </c>
      <c r="R438" s="653" t="str">
        <f t="shared" si="199"/>
        <v>411</v>
      </c>
      <c r="S438" s="654" t="str">
        <f t="shared" si="200"/>
        <v>_</v>
      </c>
      <c r="T438" s="656" t="str">
        <f>+VLOOKUP($L438,Data_Validation!$A:$D,1,0)</f>
        <v>4118@</v>
      </c>
      <c r="U438" s="656" t="str">
        <f>+VLOOKUP($L438,Data_Validation!$A:$D,3,0)</f>
        <v>Véhicules neufs</v>
      </c>
      <c r="V438" s="656" t="str">
        <f>+VLOOKUP($L438,Data_Validation!$A:$D,4,0)</f>
        <v>Camions détail</v>
      </c>
      <c r="W438" s="656" t="str">
        <f>+VLOOKUP($L438,Data_Validation!$A:$E,5,0)</f>
        <v>NB</v>
      </c>
      <c r="X438" s="656">
        <f>+VLOOKUP($L438,Data_Validation!$A:$F,6,0)</f>
        <v>0</v>
      </c>
    </row>
    <row r="439" spans="1:24" ht="15.75" customHeight="1">
      <c r="A439" s="1252" t="s">
        <v>981</v>
      </c>
      <c r="B439" s="1252" t="s">
        <v>982</v>
      </c>
      <c r="C439" s="1253"/>
      <c r="D439" s="1253"/>
      <c r="E439" s="1253"/>
      <c r="F439" s="1252" t="s">
        <v>7</v>
      </c>
      <c r="G439" s="1252" t="s">
        <v>980</v>
      </c>
      <c r="H439" s="1252" t="s">
        <v>3955</v>
      </c>
      <c r="I439" s="1254">
        <v>-14</v>
      </c>
      <c r="J439" s="1254">
        <v>-8</v>
      </c>
      <c r="K439" s="1254">
        <v>-22</v>
      </c>
      <c r="L439" s="653" t="str">
        <f t="shared" si="196"/>
        <v>4119@</v>
      </c>
      <c r="M439" s="654" t="str">
        <f t="shared" si="197"/>
        <v># DE VTE - ATLAS</v>
      </c>
      <c r="N439" s="655">
        <f>+IF(OR($Q439=Parametres!$G$2,$Q439=Parametres!$G$3),I439,C439)</f>
        <v>-14</v>
      </c>
      <c r="O439" s="655">
        <f>+IF(OR($Q439=Parametres!$G$2,$Q439=Parametres!$G$3),J439,D439)</f>
        <v>-8</v>
      </c>
      <c r="P439" s="655">
        <f>+IF(OR($Q439=Parametres!$G$2,$Q439=Parametres!$G$3),K439,E439)</f>
        <v>-22</v>
      </c>
      <c r="Q439" s="654" t="str">
        <f t="shared" si="198"/>
        <v>10-Compte compteur</v>
      </c>
      <c r="R439" s="653" t="str">
        <f t="shared" si="199"/>
        <v>4119</v>
      </c>
      <c r="S439" s="654" t="str">
        <f t="shared" si="200"/>
        <v>_</v>
      </c>
      <c r="T439" s="656" t="str">
        <f>+VLOOKUP($L439,Data_Validation!$A:$D,1,0)</f>
        <v>4119@</v>
      </c>
      <c r="U439" s="656" t="str">
        <f>+VLOOKUP($L439,Data_Validation!$A:$D,3,0)</f>
        <v>Véhicules neufs</v>
      </c>
      <c r="V439" s="656" t="str">
        <f>+VLOOKUP($L439,Data_Validation!$A:$D,4,0)</f>
        <v>Camions détail</v>
      </c>
      <c r="W439" s="656" t="str">
        <f>+VLOOKUP($L439,Data_Validation!$A:$E,5,0)</f>
        <v>NB</v>
      </c>
      <c r="X439" s="656">
        <f>+VLOOKUP($L439,Data_Validation!$A:$F,6,0)</f>
        <v>0</v>
      </c>
    </row>
    <row r="440" spans="1:24" ht="15.75" customHeight="1">
      <c r="A440" s="1252" t="s">
        <v>984</v>
      </c>
      <c r="B440" s="1252" t="s">
        <v>985</v>
      </c>
      <c r="C440" s="1253"/>
      <c r="D440" s="1253"/>
      <c r="E440" s="1253"/>
      <c r="F440" s="1252" t="s">
        <v>7</v>
      </c>
      <c r="G440" s="1252" t="s">
        <v>3349</v>
      </c>
      <c r="H440" s="1252" t="s">
        <v>3955</v>
      </c>
      <c r="I440" s="1254">
        <v>-5</v>
      </c>
      <c r="J440" s="1254">
        <v>-5</v>
      </c>
      <c r="K440" s="1254">
        <v>-10</v>
      </c>
      <c r="L440" s="653" t="str">
        <f t="shared" si="196"/>
        <v>4121@</v>
      </c>
      <c r="M440" s="654" t="str">
        <f t="shared" si="197"/>
        <v># DE VTE - ATLAS CROSS SPORT</v>
      </c>
      <c r="N440" s="655">
        <f>+IF(OR($Q440=Parametres!$G$2,$Q440=Parametres!$G$3),I440,C440)</f>
        <v>-5</v>
      </c>
      <c r="O440" s="655">
        <f>+IF(OR($Q440=Parametres!$G$2,$Q440=Parametres!$G$3),J440,D440)</f>
        <v>-5</v>
      </c>
      <c r="P440" s="655">
        <f>+IF(OR($Q440=Parametres!$G$2,$Q440=Parametres!$G$3),K440,E440)</f>
        <v>-10</v>
      </c>
      <c r="Q440" s="654" t="str">
        <f t="shared" si="198"/>
        <v>10-Compte compteur</v>
      </c>
      <c r="R440" s="653" t="str">
        <f t="shared" si="199"/>
        <v>4121</v>
      </c>
      <c r="S440" s="654" t="str">
        <f t="shared" si="200"/>
        <v>_</v>
      </c>
      <c r="T440" s="656" t="str">
        <f>+VLOOKUP($L440,Data_Validation!$A:$D,1,0)</f>
        <v>4121@</v>
      </c>
      <c r="U440" s="656" t="str">
        <f>+VLOOKUP($L440,Data_Validation!$A:$D,3,0)</f>
        <v>Véhicules neufs</v>
      </c>
      <c r="V440" s="656" t="str">
        <f>+VLOOKUP($L440,Data_Validation!$A:$D,4,0)</f>
        <v>Camions détail</v>
      </c>
      <c r="W440" s="656" t="str">
        <f>+VLOOKUP($L440,Data_Validation!$A:$E,5,0)</f>
        <v>NB</v>
      </c>
      <c r="X440" s="656">
        <f>+VLOOKUP($L440,Data_Validation!$A:$F,6,0)</f>
        <v>0</v>
      </c>
    </row>
    <row r="441" spans="1:24" ht="15.75" customHeight="1">
      <c r="A441" s="1252" t="s">
        <v>988</v>
      </c>
      <c r="B441" s="1252" t="s">
        <v>989</v>
      </c>
      <c r="C441" s="1253"/>
      <c r="D441" s="1253"/>
      <c r="E441" s="1253"/>
      <c r="F441" s="1252" t="s">
        <v>7</v>
      </c>
      <c r="G441" s="1252" t="s">
        <v>987</v>
      </c>
      <c r="H441" s="1252" t="s">
        <v>3955</v>
      </c>
      <c r="I441" s="1254">
        <v>-6</v>
      </c>
      <c r="J441" s="1254">
        <v>-3</v>
      </c>
      <c r="K441" s="1254">
        <v>-9</v>
      </c>
      <c r="L441" s="653" t="str">
        <f t="shared" si="196"/>
        <v>4127@</v>
      </c>
      <c r="M441" s="654" t="str">
        <f t="shared" si="197"/>
        <v># DE VENTE - GOLF GTI</v>
      </c>
      <c r="N441" s="655">
        <f>+IF(OR($Q441=Parametres!$G$2,$Q441=Parametres!$G$3),I441,C441)</f>
        <v>-6</v>
      </c>
      <c r="O441" s="655">
        <f>+IF(OR($Q441=Parametres!$G$2,$Q441=Parametres!$G$3),J441,D441)</f>
        <v>-3</v>
      </c>
      <c r="P441" s="655">
        <f>+IF(OR($Q441=Parametres!$G$2,$Q441=Parametres!$G$3),K441,E441)</f>
        <v>-9</v>
      </c>
      <c r="Q441" s="654" t="str">
        <f t="shared" si="198"/>
        <v>10-Compte compteur</v>
      </c>
      <c r="R441" s="653" t="str">
        <f t="shared" si="199"/>
        <v>4127</v>
      </c>
      <c r="S441" s="654" t="str">
        <f t="shared" si="200"/>
        <v>_</v>
      </c>
      <c r="T441" s="656" t="str">
        <f>+VLOOKUP($L441,Data_Validation!$A:$D,1,0)</f>
        <v>4127@</v>
      </c>
      <c r="U441" s="656" t="str">
        <f>+VLOOKUP($L441,Data_Validation!$A:$D,3,0)</f>
        <v>Véhicules neufs</v>
      </c>
      <c r="V441" s="656" t="str">
        <f>+VLOOKUP($L441,Data_Validation!$A:$D,4,0)</f>
        <v>Autos détail</v>
      </c>
      <c r="W441" s="656" t="str">
        <f>+VLOOKUP($L441,Data_Validation!$A:$E,5,0)</f>
        <v>NB</v>
      </c>
      <c r="X441" s="656">
        <f>+VLOOKUP($L441,Data_Validation!$A:$F,6,0)</f>
        <v>0</v>
      </c>
    </row>
    <row r="442" spans="1:24" ht="15.75" customHeight="1">
      <c r="A442" s="1252" t="s">
        <v>992</v>
      </c>
      <c r="B442" s="1252" t="s">
        <v>993</v>
      </c>
      <c r="C442" s="1253"/>
      <c r="D442" s="1253"/>
      <c r="E442" s="1253"/>
      <c r="F442" s="1252" t="s">
        <v>7</v>
      </c>
      <c r="G442" s="1252" t="s">
        <v>991</v>
      </c>
      <c r="H442" s="1252" t="s">
        <v>3955</v>
      </c>
      <c r="I442" s="1254">
        <v>-15</v>
      </c>
      <c r="J442" s="1254">
        <v>0</v>
      </c>
      <c r="K442" s="1254">
        <v>-15</v>
      </c>
      <c r="L442" s="653" t="str">
        <f t="shared" si="196"/>
        <v>4131@</v>
      </c>
      <c r="M442" s="654" t="str">
        <f t="shared" si="197"/>
        <v># DE VTE - TIGUAN LWB</v>
      </c>
      <c r="N442" s="655">
        <f>+IF(OR($Q442=Parametres!$G$2,$Q442=Parametres!$G$3),I442,C442)</f>
        <v>-15</v>
      </c>
      <c r="O442" s="655">
        <f>+IF(OR($Q442=Parametres!$G$2,$Q442=Parametres!$G$3),J442,D442)</f>
        <v>0</v>
      </c>
      <c r="P442" s="655">
        <f>+IF(OR($Q442=Parametres!$G$2,$Q442=Parametres!$G$3),K442,E442)</f>
        <v>-15</v>
      </c>
      <c r="Q442" s="654" t="str">
        <f t="shared" si="198"/>
        <v>10-Compte compteur</v>
      </c>
      <c r="R442" s="653" t="str">
        <f t="shared" si="199"/>
        <v>4131</v>
      </c>
      <c r="S442" s="654" t="str">
        <f t="shared" si="200"/>
        <v>_</v>
      </c>
      <c r="T442" s="656" t="str">
        <f>+VLOOKUP($L442,Data_Validation!$A:$D,1,0)</f>
        <v>4131@</v>
      </c>
      <c r="U442" s="656" t="str">
        <f>+VLOOKUP($L442,Data_Validation!$A:$D,3,0)</f>
        <v>Véhicules neufs</v>
      </c>
      <c r="V442" s="656" t="str">
        <f>+VLOOKUP($L442,Data_Validation!$A:$D,4,0)</f>
        <v>Camions détail</v>
      </c>
      <c r="W442" s="656" t="str">
        <f>+VLOOKUP($L442,Data_Validation!$A:$E,5,0)</f>
        <v>NB</v>
      </c>
      <c r="X442" s="656">
        <f>+VLOOKUP($L442,Data_Validation!$A:$F,6,0)</f>
        <v>0</v>
      </c>
    </row>
    <row r="443" spans="1:24" ht="15.75" customHeight="1">
      <c r="A443" s="1252" t="s">
        <v>996</v>
      </c>
      <c r="B443" s="1252" t="s">
        <v>997</v>
      </c>
      <c r="C443" s="1253"/>
      <c r="D443" s="1253"/>
      <c r="E443" s="1253"/>
      <c r="F443" s="1252" t="s">
        <v>7</v>
      </c>
      <c r="G443" s="1252" t="s">
        <v>995</v>
      </c>
      <c r="H443" s="1252" t="s">
        <v>3955</v>
      </c>
      <c r="I443" s="1254">
        <v>-12</v>
      </c>
      <c r="J443" s="1254">
        <v>0</v>
      </c>
      <c r="K443" s="1254">
        <v>-12</v>
      </c>
      <c r="L443" s="653" t="str">
        <f t="shared" si="196"/>
        <v>4137@</v>
      </c>
      <c r="M443" s="654" t="str">
        <f t="shared" si="197"/>
        <v>VW FLOTTE/VENTE ENTR/EMPLOYE/VEH DEMONST</v>
      </c>
      <c r="N443" s="655">
        <f>+IF(OR($Q443=Parametres!$G$2,$Q443=Parametres!$G$3),I443,C443)</f>
        <v>-12</v>
      </c>
      <c r="O443" s="655">
        <f>+IF(OR($Q443=Parametres!$G$2,$Q443=Parametres!$G$3),J443,D443)</f>
        <v>0</v>
      </c>
      <c r="P443" s="655">
        <f>+IF(OR($Q443=Parametres!$G$2,$Q443=Parametres!$G$3),K443,E443)</f>
        <v>-12</v>
      </c>
      <c r="Q443" s="654" t="str">
        <f t="shared" si="198"/>
        <v>10-Compte compteur</v>
      </c>
      <c r="R443" s="653" t="str">
        <f t="shared" si="199"/>
        <v>4137</v>
      </c>
      <c r="S443" s="654" t="str">
        <f t="shared" si="200"/>
        <v>_</v>
      </c>
      <c r="T443" s="656" t="str">
        <f>+VLOOKUP($L443,Data_Validation!$A:$D,1,0)</f>
        <v>4137@</v>
      </c>
      <c r="U443" s="656" t="str">
        <f>+VLOOKUP($L443,Data_Validation!$A:$D,3,0)</f>
        <v>Véhicules neufs</v>
      </c>
      <c r="V443" s="656" t="str">
        <f>+VLOOKUP($L443,Data_Validation!$A:$D,4,0)</f>
        <v>Flottes</v>
      </c>
      <c r="W443" s="656" t="str">
        <f>+VLOOKUP($L443,Data_Validation!$A:$E,5,0)</f>
        <v>NB</v>
      </c>
      <c r="X443" s="656">
        <f>+VLOOKUP($L443,Data_Validation!$A:$F,6,0)</f>
        <v>0</v>
      </c>
    </row>
    <row r="444" spans="1:24" ht="15.75" customHeight="1">
      <c r="A444" s="1252" t="s">
        <v>1000</v>
      </c>
      <c r="B444" s="1252" t="s">
        <v>1001</v>
      </c>
      <c r="C444" s="1253"/>
      <c r="D444" s="1253"/>
      <c r="E444" s="1253"/>
      <c r="F444" s="1252" t="s">
        <v>7</v>
      </c>
      <c r="G444" s="1252" t="s">
        <v>999</v>
      </c>
      <c r="H444" s="1252" t="s">
        <v>3955</v>
      </c>
      <c r="I444" s="1254">
        <v>-8</v>
      </c>
      <c r="J444" s="1254">
        <v>-2</v>
      </c>
      <c r="K444" s="1254">
        <v>-10</v>
      </c>
      <c r="L444" s="653" t="str">
        <f t="shared" si="196"/>
        <v>4139@</v>
      </c>
      <c r="M444" s="654" t="str">
        <f t="shared" si="197"/>
        <v>VENTES A PARK AVENUE LOCATION</v>
      </c>
      <c r="N444" s="655">
        <f>+IF(OR($Q444=Parametres!$G$2,$Q444=Parametres!$G$3),I444,C444)</f>
        <v>-8</v>
      </c>
      <c r="O444" s="655">
        <f>+IF(OR($Q444=Parametres!$G$2,$Q444=Parametres!$G$3),J444,D444)</f>
        <v>-2</v>
      </c>
      <c r="P444" s="655">
        <f>+IF(OR($Q444=Parametres!$G$2,$Q444=Parametres!$G$3),K444,E444)</f>
        <v>-10</v>
      </c>
      <c r="Q444" s="654" t="str">
        <f t="shared" si="198"/>
        <v>10-Compte compteur</v>
      </c>
      <c r="R444" s="653" t="str">
        <f t="shared" si="199"/>
        <v>4139</v>
      </c>
      <c r="S444" s="654" t="str">
        <f t="shared" si="200"/>
        <v>_</v>
      </c>
      <c r="T444" s="656" t="str">
        <f>+VLOOKUP($L444,Data_Validation!$A:$D,1,0)</f>
        <v>4139@</v>
      </c>
      <c r="U444" s="656" t="str">
        <f>+VLOOKUP($L444,Data_Validation!$A:$D,3,0)</f>
        <v>Véhicules neufs</v>
      </c>
      <c r="V444" s="656" t="str">
        <f>+VLOOKUP($L444,Data_Validation!$A:$D,4,0)</f>
        <v>Ex-Démos et courtoisies</v>
      </c>
      <c r="W444" s="656" t="str">
        <f>+VLOOKUP($L444,Data_Validation!$A:$E,5,0)</f>
        <v>NB</v>
      </c>
      <c r="X444" s="656">
        <f>+VLOOKUP($L444,Data_Validation!$A:$F,6,0)</f>
        <v>0</v>
      </c>
    </row>
    <row r="445" spans="1:24" ht="15.75" customHeight="1">
      <c r="A445" s="1252" t="s">
        <v>3897</v>
      </c>
      <c r="B445" s="1252" t="s">
        <v>3898</v>
      </c>
      <c r="C445" s="1253"/>
      <c r="D445" s="1253"/>
      <c r="E445" s="1253"/>
      <c r="F445" s="1252" t="s">
        <v>7</v>
      </c>
      <c r="G445" s="1252" t="s">
        <v>3894</v>
      </c>
      <c r="H445" s="1252" t="s">
        <v>3955</v>
      </c>
      <c r="I445" s="1254">
        <v>-26</v>
      </c>
      <c r="J445" s="1254">
        <v>0</v>
      </c>
      <c r="K445" s="1254">
        <v>-26</v>
      </c>
      <c r="L445" s="653" t="str">
        <f t="shared" si="196"/>
        <v>4141@</v>
      </c>
      <c r="M445" s="654" t="str">
        <f t="shared" si="197"/>
        <v># DE VTW - ID4</v>
      </c>
      <c r="N445" s="655">
        <f>+IF(OR($Q445=Parametres!$G$2,$Q445=Parametres!$G$3),I445,C445)</f>
        <v>-26</v>
      </c>
      <c r="O445" s="655">
        <f>+IF(OR($Q445=Parametres!$G$2,$Q445=Parametres!$G$3),J445,D445)</f>
        <v>0</v>
      </c>
      <c r="P445" s="655">
        <f>+IF(OR($Q445=Parametres!$G$2,$Q445=Parametres!$G$3),K445,E445)</f>
        <v>-26</v>
      </c>
      <c r="Q445" s="654" t="str">
        <f t="shared" si="198"/>
        <v>10-Compte compteur</v>
      </c>
      <c r="R445" s="653" t="str">
        <f t="shared" si="199"/>
        <v>4141</v>
      </c>
      <c r="S445" s="654" t="str">
        <f t="shared" si="200"/>
        <v>_</v>
      </c>
      <c r="T445" s="656" t="str">
        <f>+VLOOKUP($L445,Data_Validation!$A:$D,1,0)</f>
        <v>4141@</v>
      </c>
      <c r="U445" s="656" t="str">
        <f>+VLOOKUP($L445,Data_Validation!$A:$D,3,0)</f>
        <v>Véhicules neufs</v>
      </c>
      <c r="V445" s="656" t="str">
        <f>+VLOOKUP($L445,Data_Validation!$A:$D,4,0)</f>
        <v>Camions détail</v>
      </c>
      <c r="W445" s="656" t="str">
        <f>+VLOOKUP($L445,Data_Validation!$A:$E,5,0)</f>
        <v>NB</v>
      </c>
      <c r="X445" s="656">
        <f>+VLOOKUP($L445,Data_Validation!$A:$F,6,0)</f>
        <v>0</v>
      </c>
    </row>
    <row r="446" spans="1:24" ht="15.75" customHeight="1">
      <c r="A446" s="1252" t="s">
        <v>1004</v>
      </c>
      <c r="B446" s="1252" t="s">
        <v>1005</v>
      </c>
      <c r="C446" s="1253"/>
      <c r="D446" s="1253"/>
      <c r="E446" s="1253"/>
      <c r="F446" s="1252" t="s">
        <v>7</v>
      </c>
      <c r="G446" s="1252" t="s">
        <v>1003</v>
      </c>
      <c r="H446" s="1252" t="s">
        <v>3955</v>
      </c>
      <c r="I446" s="1254">
        <v>-1</v>
      </c>
      <c r="J446" s="1254">
        <v>-4</v>
      </c>
      <c r="K446" s="1254">
        <v>-5</v>
      </c>
      <c r="L446" s="653" t="str">
        <f t="shared" si="196"/>
        <v>4144@</v>
      </c>
      <c r="M446" s="654" t="str">
        <f t="shared" si="197"/>
        <v># OF VTES -JETTA GLI</v>
      </c>
      <c r="N446" s="655">
        <f>+IF(OR($Q446=Parametres!$G$2,$Q446=Parametres!$G$3),I446,C446)</f>
        <v>-1</v>
      </c>
      <c r="O446" s="655">
        <f>+IF(OR($Q446=Parametres!$G$2,$Q446=Parametres!$G$3),J446,D446)</f>
        <v>-4</v>
      </c>
      <c r="P446" s="655">
        <f>+IF(OR($Q446=Parametres!$G$2,$Q446=Parametres!$G$3),K446,E446)</f>
        <v>-5</v>
      </c>
      <c r="Q446" s="654" t="str">
        <f t="shared" si="198"/>
        <v>10-Compte compteur</v>
      </c>
      <c r="R446" s="653" t="str">
        <f t="shared" si="199"/>
        <v>414</v>
      </c>
      <c r="S446" s="654" t="str">
        <f t="shared" si="200"/>
        <v>_</v>
      </c>
      <c r="T446" s="656" t="str">
        <f>+VLOOKUP($L446,Data_Validation!$A:$D,1,0)</f>
        <v>4144@</v>
      </c>
      <c r="U446" s="656" t="str">
        <f>+VLOOKUP($L446,Data_Validation!$A:$D,3,0)</f>
        <v>Véhicules neufs</v>
      </c>
      <c r="V446" s="656" t="str">
        <f>+VLOOKUP($L446,Data_Validation!$A:$D,4,0)</f>
        <v>Autos détail</v>
      </c>
      <c r="W446" s="656" t="str">
        <f>+VLOOKUP($L446,Data_Validation!$A:$E,5,0)</f>
        <v>NB</v>
      </c>
      <c r="X446" s="656">
        <f>+VLOOKUP($L446,Data_Validation!$A:$F,6,0)</f>
        <v>0</v>
      </c>
    </row>
    <row r="447" spans="1:24" ht="15.75" customHeight="1">
      <c r="A447" s="1252" t="s">
        <v>1008</v>
      </c>
      <c r="B447" s="1252" t="s">
        <v>1009</v>
      </c>
      <c r="C447" s="1253"/>
      <c r="D447" s="1253"/>
      <c r="E447" s="1253"/>
      <c r="F447" s="1252" t="s">
        <v>7</v>
      </c>
      <c r="G447" s="1252" t="s">
        <v>1007</v>
      </c>
      <c r="H447" s="1252" t="s">
        <v>3955</v>
      </c>
      <c r="I447" s="1254">
        <v>-59</v>
      </c>
      <c r="J447" s="1254">
        <v>-28</v>
      </c>
      <c r="K447" s="1254">
        <v>-87</v>
      </c>
      <c r="L447" s="653" t="str">
        <f t="shared" si="196"/>
        <v>4201@</v>
      </c>
      <c r="M447" s="654" t="str">
        <f t="shared" si="197"/>
        <v># DE VTE - VEH.USAGE VW DET.CERT.</v>
      </c>
      <c r="N447" s="655">
        <f>+IF(OR($Q447=Parametres!$G$2,$Q447=Parametres!$G$3),I447,C447)</f>
        <v>-59</v>
      </c>
      <c r="O447" s="655">
        <f>+IF(OR($Q447=Parametres!$G$2,$Q447=Parametres!$G$3),J447,D447)</f>
        <v>-28</v>
      </c>
      <c r="P447" s="655">
        <f>+IF(OR($Q447=Parametres!$G$2,$Q447=Parametres!$G$3),K447,E447)</f>
        <v>-87</v>
      </c>
      <c r="Q447" s="654" t="str">
        <f t="shared" si="198"/>
        <v>10-Compte compteur</v>
      </c>
      <c r="R447" s="653" t="str">
        <f t="shared" si="199"/>
        <v>4201</v>
      </c>
      <c r="S447" s="654" t="str">
        <f t="shared" si="200"/>
        <v>_</v>
      </c>
      <c r="T447" s="656" t="str">
        <f>+VLOOKUP($L447,Data_Validation!$A:$D,1,0)</f>
        <v>4201@</v>
      </c>
      <c r="U447" s="656" t="str">
        <f>+VLOOKUP($L447,Data_Validation!$A:$D,3,0)</f>
        <v>Véhicules usagés</v>
      </c>
      <c r="V447" s="656" t="str">
        <f>+VLOOKUP($L447,Data_Validation!$A:$D,4,0)</f>
        <v>Certifié</v>
      </c>
      <c r="W447" s="656" t="str">
        <f>+VLOOKUP($L447,Data_Validation!$A:$E,5,0)</f>
        <v>NB</v>
      </c>
      <c r="X447" s="656">
        <f>+VLOOKUP($L447,Data_Validation!$A:$F,6,0)</f>
        <v>0</v>
      </c>
    </row>
    <row r="448" spans="1:24" ht="15.75" customHeight="1">
      <c r="A448" s="1252" t="s">
        <v>1012</v>
      </c>
      <c r="B448" s="1252" t="s">
        <v>1013</v>
      </c>
      <c r="C448" s="1253"/>
      <c r="D448" s="1253"/>
      <c r="E448" s="1253"/>
      <c r="F448" s="1252" t="s">
        <v>7</v>
      </c>
      <c r="G448" s="1252" t="s">
        <v>1011</v>
      </c>
      <c r="H448" s="1252" t="s">
        <v>3955</v>
      </c>
      <c r="I448" s="1254">
        <v>-7</v>
      </c>
      <c r="J448" s="1254">
        <v>0</v>
      </c>
      <c r="K448" s="1254">
        <v>-7</v>
      </c>
      <c r="L448" s="653" t="str">
        <f t="shared" si="196"/>
        <v>4211@</v>
      </c>
      <c r="M448" s="654" t="str">
        <f t="shared" si="197"/>
        <v>VENTES USED DET. CHAMBLY</v>
      </c>
      <c r="N448" s="655">
        <f>+IF(OR($Q448=Parametres!$G$2,$Q448=Parametres!$G$3),I448,C448)</f>
        <v>-7</v>
      </c>
      <c r="O448" s="655">
        <f>+IF(OR($Q448=Parametres!$G$2,$Q448=Parametres!$G$3),J448,D448)</f>
        <v>0</v>
      </c>
      <c r="P448" s="655">
        <f>+IF(OR($Q448=Parametres!$G$2,$Q448=Parametres!$G$3),K448,E448)</f>
        <v>-7</v>
      </c>
      <c r="Q448" s="654" t="str">
        <f t="shared" si="198"/>
        <v>10-Compte compteur</v>
      </c>
      <c r="R448" s="653" t="str">
        <f t="shared" si="199"/>
        <v>4211</v>
      </c>
      <c r="S448" s="654" t="str">
        <f t="shared" si="200"/>
        <v>_</v>
      </c>
      <c r="T448" s="656" t="str">
        <f>+VLOOKUP($L448,Data_Validation!$A:$D,1,0)</f>
        <v>4211@</v>
      </c>
      <c r="U448" s="656" t="str">
        <f>+VLOOKUP($L448,Data_Validation!$A:$D,3,0)</f>
        <v>Véhicules usagés</v>
      </c>
      <c r="V448" s="656" t="str">
        <f>+VLOOKUP($L448,Data_Validation!$A:$D,4,0)</f>
        <v>Non Certifié</v>
      </c>
      <c r="W448" s="656" t="str">
        <f>+VLOOKUP($L448,Data_Validation!$A:$E,5,0)</f>
        <v>NB</v>
      </c>
      <c r="X448" s="656">
        <f>+VLOOKUP($L448,Data_Validation!$A:$F,6,0)</f>
        <v>0</v>
      </c>
    </row>
    <row r="449" spans="1:24" ht="15.75" customHeight="1">
      <c r="A449" s="1252" t="s">
        <v>1016</v>
      </c>
      <c r="B449" s="1252" t="s">
        <v>1017</v>
      </c>
      <c r="C449" s="1253"/>
      <c r="D449" s="1253"/>
      <c r="E449" s="1253"/>
      <c r="F449" s="1252" t="s">
        <v>7</v>
      </c>
      <c r="G449" s="1252" t="s">
        <v>1015</v>
      </c>
      <c r="H449" s="1252" t="s">
        <v>3955</v>
      </c>
      <c r="I449" s="1254">
        <v>-5</v>
      </c>
      <c r="J449" s="1254">
        <v>-2</v>
      </c>
      <c r="K449" s="1254">
        <v>-7</v>
      </c>
      <c r="L449" s="653" t="str">
        <f t="shared" si="196"/>
        <v>4285@</v>
      </c>
      <c r="M449" s="654" t="str">
        <f t="shared" si="197"/>
        <v>AUTRE MARQUES DETAIL - USAGE</v>
      </c>
      <c r="N449" s="655">
        <f>+IF(OR($Q449=Parametres!$G$2,$Q449=Parametres!$G$3),I449,C449)</f>
        <v>-5</v>
      </c>
      <c r="O449" s="655">
        <f>+IF(OR($Q449=Parametres!$G$2,$Q449=Parametres!$G$3),J449,D449)</f>
        <v>-2</v>
      </c>
      <c r="P449" s="655">
        <f>+IF(OR($Q449=Parametres!$G$2,$Q449=Parametres!$G$3),K449,E449)</f>
        <v>-7</v>
      </c>
      <c r="Q449" s="654" t="str">
        <f t="shared" si="198"/>
        <v>10-Compte compteur</v>
      </c>
      <c r="R449" s="653" t="str">
        <f t="shared" si="199"/>
        <v>4261</v>
      </c>
      <c r="S449" s="654" t="str">
        <f t="shared" si="200"/>
        <v>_</v>
      </c>
      <c r="T449" s="656" t="str">
        <f>+VLOOKUP($L449,Data_Validation!$A:$D,1,0)</f>
        <v>4285@</v>
      </c>
      <c r="U449" s="656" t="str">
        <f>+VLOOKUP($L449,Data_Validation!$A:$D,3,0)</f>
        <v>Véhicules usagés</v>
      </c>
      <c r="V449" s="656" t="str">
        <f>+VLOOKUP($L449,Data_Validation!$A:$D,4,0)</f>
        <v>Autres Marques</v>
      </c>
      <c r="W449" s="656" t="str">
        <f>+VLOOKUP($L449,Data_Validation!$A:$E,5,0)</f>
        <v>NB</v>
      </c>
      <c r="X449" s="656">
        <f>+VLOOKUP($L449,Data_Validation!$A:$F,6,0)</f>
        <v>0</v>
      </c>
    </row>
    <row r="450" spans="1:24" ht="15.75" customHeight="1">
      <c r="A450" s="1252" t="s">
        <v>1020</v>
      </c>
      <c r="B450" s="1252" t="s">
        <v>1021</v>
      </c>
      <c r="C450" s="1253"/>
      <c r="D450" s="1253"/>
      <c r="E450" s="1253"/>
      <c r="F450" s="1252" t="s">
        <v>7</v>
      </c>
      <c r="G450" s="1252" t="s">
        <v>1019</v>
      </c>
      <c r="H450" s="1252" t="s">
        <v>3955</v>
      </c>
      <c r="I450" s="1254">
        <v>-39</v>
      </c>
      <c r="J450" s="1254">
        <v>-18</v>
      </c>
      <c r="K450" s="1254">
        <v>-57</v>
      </c>
      <c r="L450" s="653" t="str">
        <f t="shared" si="196"/>
        <v>4291@</v>
      </c>
      <c r="M450" s="654" t="str">
        <f t="shared" si="197"/>
        <v>VENTE AU GROS - USAGES</v>
      </c>
      <c r="N450" s="655">
        <f>+IF(OR($Q450=Parametres!$G$2,$Q450=Parametres!$G$3),I450,C450)</f>
        <v>-39</v>
      </c>
      <c r="O450" s="655">
        <f>+IF(OR($Q450=Parametres!$G$2,$Q450=Parametres!$G$3),J450,D450)</f>
        <v>-18</v>
      </c>
      <c r="P450" s="655">
        <f>+IF(OR($Q450=Parametres!$G$2,$Q450=Parametres!$G$3),K450,E450)</f>
        <v>-57</v>
      </c>
      <c r="Q450" s="654" t="str">
        <f t="shared" si="198"/>
        <v>10-Compte compteur</v>
      </c>
      <c r="R450" s="653" t="str">
        <f t="shared" si="199"/>
        <v>4281</v>
      </c>
      <c r="S450" s="654" t="str">
        <f t="shared" si="200"/>
        <v>_</v>
      </c>
      <c r="T450" s="656" t="str">
        <f>+VLOOKUP($L450,Data_Validation!$A:$D,1,0)</f>
        <v>4291@</v>
      </c>
      <c r="U450" s="656" t="str">
        <f>+VLOOKUP($L450,Data_Validation!$A:$D,3,0)</f>
        <v>Véhicules usagés</v>
      </c>
      <c r="V450" s="656" t="str">
        <f>+VLOOKUP($L450,Data_Validation!$A:$D,4,0)</f>
        <v>Ventes au Gros</v>
      </c>
      <c r="W450" s="656" t="str">
        <f>+VLOOKUP($L450,Data_Validation!$A:$E,5,0)</f>
        <v>NB</v>
      </c>
      <c r="X450" s="656">
        <f>+VLOOKUP($L450,Data_Validation!$A:$F,6,0)</f>
        <v>0</v>
      </c>
    </row>
    <row r="451" spans="1:24" ht="15.75" customHeight="1">
      <c r="A451" s="1252" t="s">
        <v>3671</v>
      </c>
      <c r="B451" s="1252" t="s">
        <v>1024</v>
      </c>
      <c r="C451" s="1253"/>
      <c r="D451" s="1253"/>
      <c r="E451" s="1253"/>
      <c r="F451" s="1252" t="s">
        <v>7</v>
      </c>
      <c r="G451" s="1252" t="s">
        <v>1023</v>
      </c>
      <c r="H451" s="1252" t="s">
        <v>3955</v>
      </c>
      <c r="I451" s="1254">
        <v>-843</v>
      </c>
      <c r="J451" s="1254">
        <v>-776</v>
      </c>
      <c r="K451" s="1254">
        <v>-1619</v>
      </c>
      <c r="L451" s="653" t="str">
        <f t="shared" si="196"/>
        <v>4401@</v>
      </c>
      <c r="M451" s="654" t="str">
        <f t="shared" si="197"/>
        <v>MAIN-D'OEUVRE - CLIENT VW - MCI</v>
      </c>
      <c r="N451" s="655">
        <f>+IF(OR($Q451=Parametres!$G$2,$Q451=Parametres!$G$3),I451,C451)</f>
        <v>-843</v>
      </c>
      <c r="O451" s="655">
        <f>+IF(OR($Q451=Parametres!$G$2,$Q451=Parametres!$G$3),J451,D451)</f>
        <v>-776</v>
      </c>
      <c r="P451" s="655">
        <f>+IF(OR($Q451=Parametres!$G$2,$Q451=Parametres!$G$3),K451,E451)</f>
        <v>-1619</v>
      </c>
      <c r="Q451" s="654" t="str">
        <f t="shared" si="198"/>
        <v>10-Compte compteur</v>
      </c>
      <c r="R451" s="653" t="str">
        <f t="shared" si="199"/>
        <v>4401</v>
      </c>
      <c r="S451" s="654" t="str">
        <f t="shared" si="200"/>
        <v>_</v>
      </c>
      <c r="T451" s="656" t="str">
        <f>+VLOOKUP($L451,Data_Validation!$A:$D,1,0)</f>
        <v>4401@</v>
      </c>
      <c r="U451" s="656" t="str">
        <f>+VLOOKUP($L451,Data_Validation!$A:$D,3,0)</f>
        <v>Service</v>
      </c>
      <c r="V451" s="656" t="str">
        <f>+VLOOKUP($L451,Data_Validation!$A:$D,4,0)</f>
        <v>M/O Client</v>
      </c>
      <c r="W451" s="656" t="str">
        <f>+VLOOKUP($L451,Data_Validation!$A:$E,5,0)</f>
        <v>NB</v>
      </c>
      <c r="X451" s="656">
        <f>+VLOOKUP($L451,Data_Validation!$A:$F,6,0)</f>
        <v>0</v>
      </c>
    </row>
    <row r="452" spans="1:24" ht="15.75" customHeight="1">
      <c r="A452" s="1252" t="s">
        <v>3672</v>
      </c>
      <c r="B452" s="1252" t="s">
        <v>1029</v>
      </c>
      <c r="C452" s="1253"/>
      <c r="D452" s="1253"/>
      <c r="E452" s="1253"/>
      <c r="F452" s="1252" t="s">
        <v>7</v>
      </c>
      <c r="G452" s="1252" t="s">
        <v>1028</v>
      </c>
      <c r="H452" s="1252" t="s">
        <v>3955</v>
      </c>
      <c r="I452" s="1254">
        <v>-776</v>
      </c>
      <c r="J452" s="1254">
        <v>-192</v>
      </c>
      <c r="K452" s="1254">
        <v>-968</v>
      </c>
      <c r="L452" s="653" t="str">
        <f t="shared" si="196"/>
        <v>4403@</v>
      </c>
      <c r="M452" s="654" t="str">
        <f t="shared" si="197"/>
        <v>MAIN-D'OEUVRE - GARANTIE VW - MCI</v>
      </c>
      <c r="N452" s="655">
        <f>+IF(OR($Q452=Parametres!$G$2,$Q452=Parametres!$G$3),I452,C452)</f>
        <v>-776</v>
      </c>
      <c r="O452" s="655">
        <f>+IF(OR($Q452=Parametres!$G$2,$Q452=Parametres!$G$3),J452,D452)</f>
        <v>-192</v>
      </c>
      <c r="P452" s="655">
        <f>+IF(OR($Q452=Parametres!$G$2,$Q452=Parametres!$G$3),K452,E452)</f>
        <v>-968</v>
      </c>
      <c r="Q452" s="654" t="str">
        <f t="shared" si="198"/>
        <v>10-Compte compteur</v>
      </c>
      <c r="R452" s="653" t="str">
        <f t="shared" si="199"/>
        <v>4403</v>
      </c>
      <c r="S452" s="654" t="str">
        <f t="shared" si="200"/>
        <v>_</v>
      </c>
      <c r="T452" s="656" t="str">
        <f>+VLOOKUP($L452,Data_Validation!$A:$D,1,0)</f>
        <v>4403@</v>
      </c>
      <c r="U452" s="656" t="str">
        <f>+VLOOKUP($L452,Data_Validation!$A:$D,3,0)</f>
        <v>Service</v>
      </c>
      <c r="V452" s="656" t="str">
        <f>+VLOOKUP($L452,Data_Validation!$A:$D,4,0)</f>
        <v>M/O Garantie</v>
      </c>
      <c r="W452" s="656" t="str">
        <f>+VLOOKUP($L452,Data_Validation!$A:$E,5,0)</f>
        <v>NB</v>
      </c>
      <c r="X452" s="656">
        <f>+VLOOKUP($L452,Data_Validation!$A:$F,6,0)</f>
        <v>0</v>
      </c>
    </row>
    <row r="453" spans="1:24" ht="15.75" customHeight="1">
      <c r="A453" s="1252" t="s">
        <v>3673</v>
      </c>
      <c r="B453" s="1252" t="s">
        <v>1032</v>
      </c>
      <c r="C453" s="1253"/>
      <c r="D453" s="1253"/>
      <c r="E453" s="1253"/>
      <c r="F453" s="1252" t="s">
        <v>7</v>
      </c>
      <c r="G453" s="1252" t="s">
        <v>1031</v>
      </c>
      <c r="H453" s="1252" t="s">
        <v>3955</v>
      </c>
      <c r="I453" s="1254">
        <v>-628</v>
      </c>
      <c r="J453" s="1254">
        <v>-220</v>
      </c>
      <c r="K453" s="1254">
        <v>-848</v>
      </c>
      <c r="L453" s="653" t="str">
        <f t="shared" si="196"/>
        <v>4405@</v>
      </c>
      <c r="M453" s="654" t="str">
        <f t="shared" si="197"/>
        <v>MAIN-D'OEUVRE - INTERNE VW - MCI</v>
      </c>
      <c r="N453" s="655">
        <f>+IF(OR($Q453=Parametres!$G$2,$Q453=Parametres!$G$3),I453,C453)</f>
        <v>-628</v>
      </c>
      <c r="O453" s="655">
        <f>+IF(OR($Q453=Parametres!$G$2,$Q453=Parametres!$G$3),J453,D453)</f>
        <v>-220</v>
      </c>
      <c r="P453" s="655">
        <f>+IF(OR($Q453=Parametres!$G$2,$Q453=Parametres!$G$3),K453,E453)</f>
        <v>-848</v>
      </c>
      <c r="Q453" s="654" t="str">
        <f t="shared" si="198"/>
        <v>10-Compte compteur</v>
      </c>
      <c r="R453" s="653" t="str">
        <f t="shared" si="199"/>
        <v>4405</v>
      </c>
      <c r="S453" s="654" t="str">
        <f t="shared" si="200"/>
        <v>_</v>
      </c>
      <c r="T453" s="656" t="str">
        <f>+VLOOKUP($L453,Data_Validation!$A:$D,1,0)</f>
        <v>4405@</v>
      </c>
      <c r="U453" s="656" t="str">
        <f>+VLOOKUP($L453,Data_Validation!$A:$D,3,0)</f>
        <v>Service</v>
      </c>
      <c r="V453" s="656" t="str">
        <f>+VLOOKUP($L453,Data_Validation!$A:$D,4,0)</f>
        <v>M/O Interne</v>
      </c>
      <c r="W453" s="656" t="str">
        <f>+VLOOKUP($L453,Data_Validation!$A:$E,5,0)</f>
        <v>NB</v>
      </c>
      <c r="X453" s="656">
        <f>+VLOOKUP($L453,Data_Validation!$A:$F,6,0)</f>
        <v>0</v>
      </c>
    </row>
    <row r="454" spans="1:24" ht="15.75" customHeight="1">
      <c r="A454" s="1252" t="s">
        <v>1033</v>
      </c>
      <c r="B454" s="1252" t="s">
        <v>1035</v>
      </c>
      <c r="C454" s="1253"/>
      <c r="D454" s="1253"/>
      <c r="E454" s="1253"/>
      <c r="F454" s="1252" t="s">
        <v>7</v>
      </c>
      <c r="G454" s="1252" t="s">
        <v>1034</v>
      </c>
      <c r="H454" s="1252" t="s">
        <v>3955</v>
      </c>
      <c r="I454" s="1254">
        <v>-680</v>
      </c>
      <c r="J454" s="1254">
        <v>-383</v>
      </c>
      <c r="K454" s="1254">
        <v>-1063</v>
      </c>
      <c r="L454" s="653" t="str">
        <f t="shared" si="196"/>
        <v>4451@</v>
      </c>
      <c r="M454" s="654" t="str">
        <f t="shared" si="197"/>
        <v>CARBURANT/HUILE/GRAISSE</v>
      </c>
      <c r="N454" s="655">
        <f>+IF(OR($Q454=Parametres!$G$2,$Q454=Parametres!$G$3),I454,C454)</f>
        <v>-680</v>
      </c>
      <c r="O454" s="655">
        <f>+IF(OR($Q454=Parametres!$G$2,$Q454=Parametres!$G$3),J454,D454)</f>
        <v>-383</v>
      </c>
      <c r="P454" s="655">
        <f>+IF(OR($Q454=Parametres!$G$2,$Q454=Parametres!$G$3),K454,E454)</f>
        <v>-1063</v>
      </c>
      <c r="Q454" s="654" t="str">
        <f t="shared" si="198"/>
        <v>10-Compte compteur</v>
      </c>
      <c r="R454" s="653" t="str">
        <f t="shared" si="199"/>
        <v>4782</v>
      </c>
      <c r="S454" s="654" t="str">
        <f t="shared" si="200"/>
        <v>_</v>
      </c>
      <c r="T454" s="656" t="str">
        <f>+VLOOKUP($L454,Data_Validation!$A:$D,1,0)</f>
        <v>4451@</v>
      </c>
      <c r="U454" s="656" t="str">
        <f>+VLOOKUP($L454,Data_Validation!$A:$D,3,0)</f>
        <v>Pièces</v>
      </c>
      <c r="V454" s="656" t="str">
        <f>+VLOOKUP($L454,Data_Validation!$A:$D,4,0)</f>
        <v>Huiles et Graisse</v>
      </c>
      <c r="W454" s="656" t="str">
        <f>+VLOOKUP($L454,Data_Validation!$A:$E,5,0)</f>
        <v>NB</v>
      </c>
      <c r="X454" s="656">
        <f>+VLOOKUP($L454,Data_Validation!$A:$F,6,0)</f>
        <v>0</v>
      </c>
    </row>
    <row r="455" spans="1:24" ht="15.75" customHeight="1">
      <c r="A455" s="1252" t="s">
        <v>1036</v>
      </c>
      <c r="B455" s="1252" t="s">
        <v>1038</v>
      </c>
      <c r="C455" s="1253"/>
      <c r="D455" s="1253"/>
      <c r="E455" s="1253"/>
      <c r="F455" s="1252" t="s">
        <v>7</v>
      </c>
      <c r="G455" s="1252" t="s">
        <v>1037</v>
      </c>
      <c r="H455" s="1252" t="s">
        <v>3955</v>
      </c>
      <c r="I455" s="1254">
        <v>-128</v>
      </c>
      <c r="J455" s="1254">
        <v>-71</v>
      </c>
      <c r="K455" s="1254">
        <v>-199</v>
      </c>
      <c r="L455" s="653" t="str">
        <f t="shared" si="196"/>
        <v>4491@</v>
      </c>
      <c r="M455" s="654" t="str">
        <f t="shared" si="197"/>
        <v>REPARATION SOUS-LOC. - GENERAL</v>
      </c>
      <c r="N455" s="655">
        <f>+IF(OR($Q455=Parametres!$G$2,$Q455=Parametres!$G$3),I455,C455)</f>
        <v>-128</v>
      </c>
      <c r="O455" s="655">
        <f>+IF(OR($Q455=Parametres!$G$2,$Q455=Parametres!$G$3),J455,D455)</f>
        <v>-71</v>
      </c>
      <c r="P455" s="655">
        <f>+IF(OR($Q455=Parametres!$G$2,$Q455=Parametres!$G$3),K455,E455)</f>
        <v>-199</v>
      </c>
      <c r="Q455" s="654" t="str">
        <f t="shared" si="198"/>
        <v>10-Compte compteur</v>
      </c>
      <c r="R455" s="653" t="str">
        <f t="shared" si="199"/>
        <v>4491</v>
      </c>
      <c r="S455" s="654" t="str">
        <f t="shared" si="200"/>
        <v>_</v>
      </c>
      <c r="T455" s="656" t="str">
        <f>+VLOOKUP($L455,Data_Validation!$A:$D,1,0)</f>
        <v>4491@</v>
      </c>
      <c r="U455" s="656" t="str">
        <f>+VLOOKUP($L455,Data_Validation!$A:$D,3,0)</f>
        <v>Service</v>
      </c>
      <c r="V455" s="656" t="str">
        <f>+VLOOKUP($L455,Data_Validation!$A:$D,4,0)</f>
        <v>Sous-traitement</v>
      </c>
      <c r="W455" s="656" t="str">
        <f>+VLOOKUP($L455,Data_Validation!$A:$E,5,0)</f>
        <v>NB</v>
      </c>
      <c r="X455" s="656">
        <f>+VLOOKUP($L455,Data_Validation!$A:$F,6,0)</f>
        <v>0</v>
      </c>
    </row>
    <row r="456" spans="1:24" ht="15.75" customHeight="1">
      <c r="A456" s="1252" t="s">
        <v>1041</v>
      </c>
      <c r="B456" s="1252" t="s">
        <v>1042</v>
      </c>
      <c r="C456" s="1253"/>
      <c r="D456" s="1253"/>
      <c r="E456" s="1253"/>
      <c r="F456" s="1252" t="s">
        <v>7</v>
      </c>
      <c r="G456" s="1252" t="s">
        <v>1040</v>
      </c>
      <c r="H456" s="1252" t="s">
        <v>3955</v>
      </c>
      <c r="I456" s="1254">
        <v>-12</v>
      </c>
      <c r="J456" s="1254">
        <v>-4</v>
      </c>
      <c r="K456" s="1254">
        <v>-16</v>
      </c>
      <c r="L456" s="653" t="str">
        <f t="shared" si="196"/>
        <v>4493@</v>
      </c>
      <c r="M456" s="654" t="str">
        <f t="shared" si="197"/>
        <v># DE VTE - SOUS-TRAITANCE GARANTIE</v>
      </c>
      <c r="N456" s="655">
        <f>+IF(OR($Q456=Parametres!$G$2,$Q456=Parametres!$G$3),I456,C456)</f>
        <v>-12</v>
      </c>
      <c r="O456" s="655">
        <f>+IF(OR($Q456=Parametres!$G$2,$Q456=Parametres!$G$3),J456,D456)</f>
        <v>-4</v>
      </c>
      <c r="P456" s="655">
        <f>+IF(OR($Q456=Parametres!$G$2,$Q456=Parametres!$G$3),K456,E456)</f>
        <v>-16</v>
      </c>
      <c r="Q456" s="654" t="str">
        <f t="shared" si="198"/>
        <v>10-Compte compteur</v>
      </c>
      <c r="R456" s="653" t="str">
        <f t="shared" si="199"/>
        <v>4493</v>
      </c>
      <c r="S456" s="654" t="str">
        <f t="shared" si="200"/>
        <v>_</v>
      </c>
      <c r="T456" s="656" t="str">
        <f>+VLOOKUP($L456,Data_Validation!$A:$D,1,0)</f>
        <v>4493@</v>
      </c>
      <c r="U456" s="656" t="str">
        <f>+VLOOKUP($L456,Data_Validation!$A:$D,3,0)</f>
        <v>Service</v>
      </c>
      <c r="V456" s="656" t="str">
        <f>+VLOOKUP($L456,Data_Validation!$A:$D,4,0)</f>
        <v>Sous-traitement</v>
      </c>
      <c r="W456" s="656" t="str">
        <f>+VLOOKUP($L456,Data_Validation!$A:$E,5,0)</f>
        <v>NB</v>
      </c>
      <c r="X456" s="656">
        <f>+VLOOKUP($L456,Data_Validation!$A:$F,6,0)</f>
        <v>0</v>
      </c>
    </row>
    <row r="457" spans="1:24" ht="15.75" customHeight="1">
      <c r="A457" s="1252" t="s">
        <v>1045</v>
      </c>
      <c r="B457" s="1252" t="s">
        <v>1046</v>
      </c>
      <c r="C457" s="1253"/>
      <c r="D457" s="1253"/>
      <c r="E457" s="1253"/>
      <c r="F457" s="1252" t="s">
        <v>7</v>
      </c>
      <c r="G457" s="1252" t="s">
        <v>1044</v>
      </c>
      <c r="H457" s="1252" t="s">
        <v>3955</v>
      </c>
      <c r="I457" s="1254">
        <v>-135</v>
      </c>
      <c r="J457" s="1254">
        <v>-56</v>
      </c>
      <c r="K457" s="1254">
        <v>-191</v>
      </c>
      <c r="L457" s="653" t="str">
        <f t="shared" si="196"/>
        <v>4495@</v>
      </c>
      <c r="M457" s="654" t="str">
        <f t="shared" si="197"/>
        <v># DE VTE - S-TRAITANCE MEC.INTERNE VW</v>
      </c>
      <c r="N457" s="655">
        <f>+IF(OR($Q457=Parametres!$G$2,$Q457=Parametres!$G$3),I457,C457)</f>
        <v>-135</v>
      </c>
      <c r="O457" s="655">
        <f>+IF(OR($Q457=Parametres!$G$2,$Q457=Parametres!$G$3),J457,D457)</f>
        <v>-56</v>
      </c>
      <c r="P457" s="655">
        <f>+IF(OR($Q457=Parametres!$G$2,$Q457=Parametres!$G$3),K457,E457)</f>
        <v>-191</v>
      </c>
      <c r="Q457" s="654" t="str">
        <f t="shared" si="198"/>
        <v>10-Compte compteur</v>
      </c>
      <c r="R457" s="653" t="str">
        <f t="shared" si="199"/>
        <v>4495</v>
      </c>
      <c r="S457" s="654" t="str">
        <f t="shared" si="200"/>
        <v>_</v>
      </c>
      <c r="T457" s="656" t="str">
        <f>+VLOOKUP($L457,Data_Validation!$A:$D,1,0)</f>
        <v>4495@</v>
      </c>
      <c r="U457" s="656" t="str">
        <f>+VLOOKUP($L457,Data_Validation!$A:$D,3,0)</f>
        <v>Service</v>
      </c>
      <c r="V457" s="656" t="str">
        <f>+VLOOKUP($L457,Data_Validation!$A:$D,4,0)</f>
        <v>Sous-traitement</v>
      </c>
      <c r="W457" s="656" t="str">
        <f>+VLOOKUP($L457,Data_Validation!$A:$E,5,0)</f>
        <v>NB</v>
      </c>
      <c r="X457" s="656">
        <f>+VLOOKUP($L457,Data_Validation!$A:$F,6,0)</f>
        <v>0</v>
      </c>
    </row>
    <row r="458" spans="1:24" ht="15.75" customHeight="1">
      <c r="A458" s="1252" t="s">
        <v>3430</v>
      </c>
      <c r="B458" s="1252" t="s">
        <v>3431</v>
      </c>
      <c r="C458" s="1253"/>
      <c r="D458" s="1253"/>
      <c r="E458" s="1253"/>
      <c r="F458" s="1252" t="s">
        <v>7</v>
      </c>
      <c r="G458" s="1252" t="s">
        <v>3427</v>
      </c>
      <c r="H458" s="1252" t="s">
        <v>3955</v>
      </c>
      <c r="I458" s="1254">
        <v>-99</v>
      </c>
      <c r="J458" s="1254">
        <v>-50</v>
      </c>
      <c r="K458" s="1254">
        <v>-149</v>
      </c>
      <c r="L458" s="653" t="str">
        <f t="shared" si="196"/>
        <v>4505@</v>
      </c>
      <c r="M458" s="654" t="str">
        <f t="shared" si="197"/>
        <v># DE VTE - M.O. INTERNE CARROSSERIE</v>
      </c>
      <c r="N458" s="655">
        <f>+IF(OR($Q458=Parametres!$G$2,$Q458=Parametres!$G$3),I458,C458)</f>
        <v>-99</v>
      </c>
      <c r="O458" s="655">
        <f>+IF(OR($Q458=Parametres!$G$2,$Q458=Parametres!$G$3),J458,D458)</f>
        <v>-50</v>
      </c>
      <c r="P458" s="655">
        <f>+IF(OR($Q458=Parametres!$G$2,$Q458=Parametres!$G$3),K458,E458)</f>
        <v>-149</v>
      </c>
      <c r="Q458" s="654" t="str">
        <f t="shared" si="198"/>
        <v>10-Compte compteur</v>
      </c>
      <c r="R458" s="653" t="str">
        <f t="shared" si="199"/>
        <v>4505</v>
      </c>
      <c r="S458" s="654" t="str">
        <f t="shared" si="200"/>
        <v>_</v>
      </c>
      <c r="T458" s="656" t="str">
        <f>+VLOOKUP($L458,Data_Validation!$A:$D,1,0)</f>
        <v>4505@</v>
      </c>
      <c r="U458" s="656" t="str">
        <f>+VLOOKUP($L458,Data_Validation!$A:$D,3,0)</f>
        <v>Service</v>
      </c>
      <c r="V458" s="656" t="str">
        <f>+VLOOKUP($L458,Data_Validation!$A:$D,4,0)</f>
        <v>M.O. Recond. MCPA</v>
      </c>
      <c r="W458" s="656" t="str">
        <f>+VLOOKUP($L458,Data_Validation!$A:$E,5,0)</f>
        <v>NB</v>
      </c>
      <c r="X458" s="656">
        <f>+VLOOKUP($L458,Data_Validation!$A:$F,6,0)</f>
        <v>0</v>
      </c>
    </row>
    <row r="459" spans="1:24" ht="15.75" customHeight="1">
      <c r="A459" s="1252" t="s">
        <v>1052</v>
      </c>
      <c r="B459" s="1252" t="s">
        <v>1053</v>
      </c>
      <c r="C459" s="1253"/>
      <c r="D459" s="1253"/>
      <c r="E459" s="1253"/>
      <c r="F459" s="1252" t="s">
        <v>7</v>
      </c>
      <c r="G459" s="1252" t="s">
        <v>1051</v>
      </c>
      <c r="H459" s="1252" t="s">
        <v>3955</v>
      </c>
      <c r="I459" s="1254">
        <v>-10</v>
      </c>
      <c r="J459" s="1254">
        <v>-2</v>
      </c>
      <c r="K459" s="1254">
        <v>-12</v>
      </c>
      <c r="L459" s="653" t="str">
        <f t="shared" si="196"/>
        <v>4591@</v>
      </c>
      <c r="M459" s="654" t="str">
        <f t="shared" si="197"/>
        <v>REPARATION SOUS-LOC.-PEINT/DEB</v>
      </c>
      <c r="N459" s="655">
        <f>+IF(OR($Q459=Parametres!$G$2,$Q459=Parametres!$G$3),I459,C459)</f>
        <v>-10</v>
      </c>
      <c r="O459" s="655">
        <f>+IF(OR($Q459=Parametres!$G$2,$Q459=Parametres!$G$3),J459,D459)</f>
        <v>-2</v>
      </c>
      <c r="P459" s="655">
        <f>+IF(OR($Q459=Parametres!$G$2,$Q459=Parametres!$G$3),K459,E459)</f>
        <v>-12</v>
      </c>
      <c r="Q459" s="654" t="str">
        <f t="shared" si="198"/>
        <v>10-Compte compteur</v>
      </c>
      <c r="R459" s="653" t="str">
        <f t="shared" si="199"/>
        <v>4591</v>
      </c>
      <c r="S459" s="654" t="str">
        <f t="shared" si="200"/>
        <v>_</v>
      </c>
      <c r="T459" s="656" t="str">
        <f>+VLOOKUP($L459,Data_Validation!$A:$D,1,0)</f>
        <v>4591@</v>
      </c>
      <c r="U459" s="656" t="str">
        <f>+VLOOKUP($L459,Data_Validation!$A:$D,3,0)</f>
        <v>Carrosserie</v>
      </c>
      <c r="V459" s="656" t="str">
        <f>+VLOOKUP($L459,Data_Validation!$A:$D,4,0)</f>
        <v>M/O Sous-traitement</v>
      </c>
      <c r="W459" s="656" t="str">
        <f>+VLOOKUP($L459,Data_Validation!$A:$E,5,0)</f>
        <v>NB</v>
      </c>
      <c r="X459" s="656">
        <f>+VLOOKUP($L459,Data_Validation!$A:$F,6,0)</f>
        <v>0</v>
      </c>
    </row>
    <row r="460" spans="1:24" ht="15.75" customHeight="1">
      <c r="A460" s="1252" t="s">
        <v>1056</v>
      </c>
      <c r="B460" s="1252" t="s">
        <v>1057</v>
      </c>
      <c r="C460" s="1253"/>
      <c r="D460" s="1253"/>
      <c r="E460" s="1253"/>
      <c r="F460" s="1252" t="s">
        <v>7</v>
      </c>
      <c r="G460" s="1252" t="s">
        <v>1055</v>
      </c>
      <c r="H460" s="1252" t="s">
        <v>3955</v>
      </c>
      <c r="I460" s="1254">
        <v>-16</v>
      </c>
      <c r="J460" s="1254">
        <v>-6</v>
      </c>
      <c r="K460" s="1254">
        <v>-22</v>
      </c>
      <c r="L460" s="653" t="str">
        <f t="shared" si="196"/>
        <v>4593@</v>
      </c>
      <c r="M460" s="654" t="str">
        <f t="shared" si="197"/>
        <v># DE VTE - S-TRAITANCE GAR.CARR.</v>
      </c>
      <c r="N460" s="655">
        <f>+IF(OR($Q460=Parametres!$G$2,$Q460=Parametres!$G$3),I460,C460)</f>
        <v>-16</v>
      </c>
      <c r="O460" s="655">
        <f>+IF(OR($Q460=Parametres!$G$2,$Q460=Parametres!$G$3),J460,D460)</f>
        <v>-6</v>
      </c>
      <c r="P460" s="655">
        <f>+IF(OR($Q460=Parametres!$G$2,$Q460=Parametres!$G$3),K460,E460)</f>
        <v>-22</v>
      </c>
      <c r="Q460" s="654" t="str">
        <f t="shared" si="198"/>
        <v>10-Compte compteur</v>
      </c>
      <c r="R460" s="653" t="str">
        <f t="shared" si="199"/>
        <v>4593</v>
      </c>
      <c r="S460" s="654" t="str">
        <f t="shared" si="200"/>
        <v>_</v>
      </c>
      <c r="T460" s="656" t="str">
        <f>+VLOOKUP($L460,Data_Validation!$A:$D,1,0)</f>
        <v>4593@</v>
      </c>
      <c r="U460" s="656" t="str">
        <f>+VLOOKUP($L460,Data_Validation!$A:$D,3,0)</f>
        <v>Carrosserie</v>
      </c>
      <c r="V460" s="656" t="str">
        <f>+VLOOKUP($L460,Data_Validation!$A:$D,4,0)</f>
        <v>M/O Sous-traitement</v>
      </c>
      <c r="W460" s="656" t="str">
        <f>+VLOOKUP($L460,Data_Validation!$A:$E,5,0)</f>
        <v>NB</v>
      </c>
      <c r="X460" s="656">
        <f>+VLOOKUP($L460,Data_Validation!$A:$F,6,0)</f>
        <v>0</v>
      </c>
    </row>
    <row r="461" spans="1:24" ht="15.75" customHeight="1">
      <c r="A461" s="1252" t="s">
        <v>1060</v>
      </c>
      <c r="B461" s="1252" t="s">
        <v>1061</v>
      </c>
      <c r="C461" s="1253"/>
      <c r="D461" s="1253"/>
      <c r="E461" s="1253"/>
      <c r="F461" s="1252" t="s">
        <v>7</v>
      </c>
      <c r="G461" s="1252" t="s">
        <v>1059</v>
      </c>
      <c r="H461" s="1252" t="s">
        <v>3955</v>
      </c>
      <c r="I461" s="1254">
        <v>-4</v>
      </c>
      <c r="J461" s="1254">
        <v>0</v>
      </c>
      <c r="K461" s="1254">
        <v>-4</v>
      </c>
      <c r="L461" s="653" t="str">
        <f t="shared" si="196"/>
        <v>4595@</v>
      </c>
      <c r="M461" s="654" t="str">
        <f t="shared" si="197"/>
        <v># DE VTE - S-TRAIT.INTERNE CARR.</v>
      </c>
      <c r="N461" s="655">
        <f>+IF(OR($Q461=Parametres!$G$2,$Q461=Parametres!$G$3),I461,C461)</f>
        <v>-4</v>
      </c>
      <c r="O461" s="655">
        <f>+IF(OR($Q461=Parametres!$G$2,$Q461=Parametres!$G$3),J461,D461)</f>
        <v>0</v>
      </c>
      <c r="P461" s="655">
        <f>+IF(OR($Q461=Parametres!$G$2,$Q461=Parametres!$G$3),K461,E461)</f>
        <v>-4</v>
      </c>
      <c r="Q461" s="654" t="str">
        <f t="shared" si="198"/>
        <v>10-Compte compteur</v>
      </c>
      <c r="R461" s="653" t="str">
        <f t="shared" si="199"/>
        <v>4595</v>
      </c>
      <c r="S461" s="654" t="str">
        <f t="shared" si="200"/>
        <v>_</v>
      </c>
      <c r="T461" s="656" t="str">
        <f>+VLOOKUP($L461,Data_Validation!$A:$D,1,0)</f>
        <v>4595@</v>
      </c>
      <c r="U461" s="656" t="str">
        <f>+VLOOKUP($L461,Data_Validation!$A:$D,3,0)</f>
        <v>Carrosserie</v>
      </c>
      <c r="V461" s="656" t="str">
        <f>+VLOOKUP($L461,Data_Validation!$A:$D,4,0)</f>
        <v>M/O Sous-traitement</v>
      </c>
      <c r="W461" s="656" t="str">
        <f>+VLOOKUP($L461,Data_Validation!$A:$E,5,0)</f>
        <v>NB</v>
      </c>
      <c r="X461" s="656">
        <f>+VLOOKUP($L461,Data_Validation!$A:$F,6,0)</f>
        <v>0</v>
      </c>
    </row>
    <row r="462" spans="1:24" ht="15.75" customHeight="1">
      <c r="A462" s="1252" t="s">
        <v>3674</v>
      </c>
      <c r="B462" s="1252" t="s">
        <v>1065</v>
      </c>
      <c r="C462" s="1253"/>
      <c r="D462" s="1253"/>
      <c r="E462" s="1253"/>
      <c r="F462" s="1252" t="s">
        <v>7</v>
      </c>
      <c r="G462" s="1252" t="s">
        <v>1063</v>
      </c>
      <c r="H462" s="1252" t="s">
        <v>3955</v>
      </c>
      <c r="I462" s="1254">
        <v>-868</v>
      </c>
      <c r="J462" s="1254">
        <v>-774</v>
      </c>
      <c r="K462" s="1254">
        <v>-1642</v>
      </c>
      <c r="L462" s="653" t="str">
        <f t="shared" si="196"/>
        <v>4701@</v>
      </c>
      <c r="M462" s="654" t="str">
        <f t="shared" si="197"/>
        <v>VW P&amp;A - BR - CLIENT - MCI</v>
      </c>
      <c r="N462" s="655">
        <f>+IF(OR($Q462=Parametres!$G$2,$Q462=Parametres!$G$3),I462,C462)</f>
        <v>-868</v>
      </c>
      <c r="O462" s="655">
        <f>+IF(OR($Q462=Parametres!$G$2,$Q462=Parametres!$G$3),J462,D462)</f>
        <v>-774</v>
      </c>
      <c r="P462" s="655">
        <f>+IF(OR($Q462=Parametres!$G$2,$Q462=Parametres!$G$3),K462,E462)</f>
        <v>-1642</v>
      </c>
      <c r="Q462" s="654" t="str">
        <f t="shared" si="198"/>
        <v>10-Compte compteur</v>
      </c>
      <c r="R462" s="653" t="str">
        <f t="shared" si="199"/>
        <v>4701</v>
      </c>
      <c r="S462" s="654" t="str">
        <f t="shared" si="200"/>
        <v>_</v>
      </c>
      <c r="T462" s="656" t="str">
        <f>+VLOOKUP($L462,Data_Validation!$A:$D,1,0)</f>
        <v>4701@</v>
      </c>
      <c r="U462" s="656" t="str">
        <f>+VLOOKUP($L462,Data_Validation!$A:$D,3,0)</f>
        <v>Pièces</v>
      </c>
      <c r="V462" s="656" t="str">
        <f>+VLOOKUP($L462,Data_Validation!$A:$D,4,0)</f>
        <v>Pièces Ro Clients</v>
      </c>
      <c r="W462" s="656" t="str">
        <f>+VLOOKUP($L462,Data_Validation!$A:$E,5,0)</f>
        <v>NB</v>
      </c>
      <c r="X462" s="656">
        <f>+VLOOKUP($L462,Data_Validation!$A:$F,6,0)</f>
        <v>0</v>
      </c>
    </row>
    <row r="463" spans="1:24" ht="15.75" customHeight="1">
      <c r="A463" s="1252" t="s">
        <v>3675</v>
      </c>
      <c r="B463" s="1252" t="s">
        <v>1071</v>
      </c>
      <c r="C463" s="1253"/>
      <c r="D463" s="1253"/>
      <c r="E463" s="1253"/>
      <c r="F463" s="1252" t="s">
        <v>7</v>
      </c>
      <c r="G463" s="1252" t="s">
        <v>1069</v>
      </c>
      <c r="H463" s="1252" t="s">
        <v>3955</v>
      </c>
      <c r="I463" s="1254">
        <v>-692</v>
      </c>
      <c r="J463" s="1254">
        <v>-139</v>
      </c>
      <c r="K463" s="1254">
        <v>-831</v>
      </c>
      <c r="L463" s="653" t="str">
        <f t="shared" si="196"/>
        <v>4703@</v>
      </c>
      <c r="M463" s="654" t="str">
        <f t="shared" si="197"/>
        <v>VW P&amp;A - BR - GARANTIE - MCI</v>
      </c>
      <c r="N463" s="655">
        <f>+IF(OR($Q463=Parametres!$G$2,$Q463=Parametres!$G$3),I463,C463)</f>
        <v>-692</v>
      </c>
      <c r="O463" s="655">
        <f>+IF(OR($Q463=Parametres!$G$2,$Q463=Parametres!$G$3),J463,D463)</f>
        <v>-139</v>
      </c>
      <c r="P463" s="655">
        <f>+IF(OR($Q463=Parametres!$G$2,$Q463=Parametres!$G$3),K463,E463)</f>
        <v>-831</v>
      </c>
      <c r="Q463" s="654" t="str">
        <f t="shared" si="198"/>
        <v>10-Compte compteur</v>
      </c>
      <c r="R463" s="653" t="str">
        <f t="shared" si="199"/>
        <v>4703</v>
      </c>
      <c r="S463" s="654" t="str">
        <f t="shared" si="200"/>
        <v>_</v>
      </c>
      <c r="T463" s="656" t="str">
        <f>+VLOOKUP($L463,Data_Validation!$A:$D,1,0)</f>
        <v>4703@</v>
      </c>
      <c r="U463" s="656" t="str">
        <f>+VLOOKUP($L463,Data_Validation!$A:$D,3,0)</f>
        <v>Pièces</v>
      </c>
      <c r="V463" s="656" t="str">
        <f>+VLOOKUP($L463,Data_Validation!$A:$D,4,0)</f>
        <v>P/A Garantie</v>
      </c>
      <c r="W463" s="656" t="str">
        <f>+VLOOKUP($L463,Data_Validation!$A:$E,5,0)</f>
        <v>NB</v>
      </c>
      <c r="X463" s="656">
        <f>+VLOOKUP($L463,Data_Validation!$A:$F,6,0)</f>
        <v>0</v>
      </c>
    </row>
    <row r="464" spans="1:24" ht="15.75" customHeight="1">
      <c r="A464" s="1252" t="s">
        <v>3676</v>
      </c>
      <c r="B464" s="1252" t="s">
        <v>1075</v>
      </c>
      <c r="C464" s="1253"/>
      <c r="D464" s="1253"/>
      <c r="E464" s="1253"/>
      <c r="F464" s="1252" t="s">
        <v>7</v>
      </c>
      <c r="G464" s="1252" t="s">
        <v>1073</v>
      </c>
      <c r="H464" s="1252" t="s">
        <v>3955</v>
      </c>
      <c r="I464" s="1254">
        <v>-689</v>
      </c>
      <c r="J464" s="1254">
        <v>-260</v>
      </c>
      <c r="K464" s="1254">
        <v>-949</v>
      </c>
      <c r="L464" s="653" t="str">
        <f t="shared" ref="L464:L466" si="201">TEXT(B464,0)</f>
        <v>4705@</v>
      </c>
      <c r="M464" s="654" t="str">
        <f t="shared" ref="M464:M466" si="202">+A464</f>
        <v>VW P&amp;A - BR - INTERNE - MCI</v>
      </c>
      <c r="N464" s="655">
        <f>+IF(OR($Q464=Parametres!$G$2,$Q464=Parametres!$G$3),I464,C464)</f>
        <v>-689</v>
      </c>
      <c r="O464" s="655">
        <f>+IF(OR($Q464=Parametres!$G$2,$Q464=Parametres!$G$3),J464,D464)</f>
        <v>-260</v>
      </c>
      <c r="P464" s="655">
        <f>+IF(OR($Q464=Parametres!$G$2,$Q464=Parametres!$G$3),K464,E464)</f>
        <v>-949</v>
      </c>
      <c r="Q464" s="654" t="str">
        <f t="shared" ref="Q464:Q466" si="203">+F464</f>
        <v>10-Compte compteur</v>
      </c>
      <c r="R464" s="653" t="str">
        <f t="shared" ref="R464:R466" si="204">+G464</f>
        <v>4705</v>
      </c>
      <c r="S464" s="654" t="str">
        <f t="shared" ref="S464:S466" si="205">+H464</f>
        <v>_</v>
      </c>
      <c r="T464" s="656" t="str">
        <f>+VLOOKUP($L464,Data_Validation!$A:$D,1,0)</f>
        <v>4705@</v>
      </c>
      <c r="U464" s="656" t="str">
        <f>+VLOOKUP($L464,Data_Validation!$A:$D,3,0)</f>
        <v>Pièces</v>
      </c>
      <c r="V464" s="656" t="str">
        <f>+VLOOKUP($L464,Data_Validation!$A:$D,4,0)</f>
        <v>Ventes Internes</v>
      </c>
      <c r="W464" s="656" t="str">
        <f>+VLOOKUP($L464,Data_Validation!$A:$E,5,0)</f>
        <v>NB</v>
      </c>
      <c r="X464" s="656">
        <f>+VLOOKUP($L464,Data_Validation!$A:$F,6,0)</f>
        <v>0</v>
      </c>
    </row>
    <row r="465" spans="1:24" ht="15.75" customHeight="1">
      <c r="A465" s="1252" t="s">
        <v>1079</v>
      </c>
      <c r="B465" s="1252" t="s">
        <v>1080</v>
      </c>
      <c r="C465" s="1253"/>
      <c r="D465" s="1253"/>
      <c r="E465" s="1253"/>
      <c r="F465" s="1252" t="s">
        <v>7</v>
      </c>
      <c r="G465" s="1252" t="s">
        <v>1078</v>
      </c>
      <c r="H465" s="1252" t="s">
        <v>3955</v>
      </c>
      <c r="I465" s="1254">
        <v>-501</v>
      </c>
      <c r="J465" s="1254">
        <v>-295</v>
      </c>
      <c r="K465" s="1254">
        <v>-796</v>
      </c>
      <c r="L465" s="653" t="str">
        <f t="shared" si="201"/>
        <v>4711@</v>
      </c>
      <c r="M465" s="654" t="str">
        <f t="shared" si="202"/>
        <v># DE VTE - P&amp;A B.T. CLIENT AUDI</v>
      </c>
      <c r="N465" s="655">
        <f>+IF(OR($Q465=Parametres!$G$2,$Q465=Parametres!$G$3),I465,C465)</f>
        <v>-501</v>
      </c>
      <c r="O465" s="655">
        <f>+IF(OR($Q465=Parametres!$G$2,$Q465=Parametres!$G$3),J465,D465)</f>
        <v>-295</v>
      </c>
      <c r="P465" s="655">
        <f>+IF(OR($Q465=Parametres!$G$2,$Q465=Parametres!$G$3),K465,E465)</f>
        <v>-796</v>
      </c>
      <c r="Q465" s="654" t="str">
        <f t="shared" si="203"/>
        <v>10-Compte compteur</v>
      </c>
      <c r="R465" s="653" t="str">
        <f t="shared" si="204"/>
        <v>84711</v>
      </c>
      <c r="S465" s="654" t="str">
        <f t="shared" si="205"/>
        <v>_</v>
      </c>
      <c r="T465" s="656" t="str">
        <f>+VLOOKUP($L465,Data_Validation!$A:$D,1,0)</f>
        <v>4711@</v>
      </c>
      <c r="U465" s="656" t="str">
        <f>+VLOOKUP($L465,Data_Validation!$A:$D,3,0)</f>
        <v>Pièces</v>
      </c>
      <c r="V465" s="656" t="str">
        <f>+VLOOKUP($L465,Data_Validation!$A:$D,4,0)</f>
        <v>Pièces Ro Clients</v>
      </c>
      <c r="W465" s="656" t="str">
        <f>+VLOOKUP($L465,Data_Validation!$A:$E,5,0)</f>
        <v>NB</v>
      </c>
      <c r="X465" s="656">
        <f>+VLOOKUP($L465,Data_Validation!$A:$F,6,0)</f>
        <v>0</v>
      </c>
    </row>
    <row r="466" spans="1:24" ht="15.75" customHeight="1">
      <c r="A466" s="1252" t="s">
        <v>1087</v>
      </c>
      <c r="B466" s="1252" t="s">
        <v>1088</v>
      </c>
      <c r="C466" s="1253"/>
      <c r="D466" s="1253"/>
      <c r="E466" s="1253"/>
      <c r="F466" s="1252" t="s">
        <v>7</v>
      </c>
      <c r="G466" s="1252" t="s">
        <v>1086</v>
      </c>
      <c r="H466" s="1252" t="s">
        <v>3955</v>
      </c>
      <c r="I466" s="1254">
        <v>-1</v>
      </c>
      <c r="J466" s="1254">
        <v>0</v>
      </c>
      <c r="K466" s="1254">
        <v>-1</v>
      </c>
      <c r="L466" s="653" t="str">
        <f t="shared" si="201"/>
        <v>4731@</v>
      </c>
      <c r="M466" s="654" t="str">
        <f t="shared" si="202"/>
        <v>PIECES-BON REPAR. PEINT/DEBOS</v>
      </c>
      <c r="N466" s="655">
        <f>+IF(OR($Q466=Parametres!$G$2,$Q466=Parametres!$G$3),I466,C466)</f>
        <v>-1</v>
      </c>
      <c r="O466" s="655">
        <f>+IF(OR($Q466=Parametres!$G$2,$Q466=Parametres!$G$3),J466,D466)</f>
        <v>0</v>
      </c>
      <c r="P466" s="655">
        <f>+IF(OR($Q466=Parametres!$G$2,$Q466=Parametres!$G$3),K466,E466)</f>
        <v>-1</v>
      </c>
      <c r="Q466" s="654" t="str">
        <f t="shared" si="203"/>
        <v>10-Compte compteur</v>
      </c>
      <c r="R466" s="653" t="str">
        <f t="shared" si="204"/>
        <v>4731</v>
      </c>
      <c r="S466" s="654" t="str">
        <f t="shared" si="205"/>
        <v>_</v>
      </c>
      <c r="T466" s="656" t="str">
        <f>+VLOOKUP($L466,Data_Validation!$A:$D,1,0)</f>
        <v>4731@</v>
      </c>
      <c r="U466" s="656" t="str">
        <f>+VLOOKUP($L466,Data_Validation!$A:$D,3,0)</f>
        <v>Pièces</v>
      </c>
      <c r="V466" s="656" t="str">
        <f>+VLOOKUP($L466,Data_Validation!$A:$D,4,0)</f>
        <v>Pièces Ro Carrosserie</v>
      </c>
      <c r="W466" s="656" t="str">
        <f>+VLOOKUP($L466,Data_Validation!$A:$E,5,0)</f>
        <v>NB</v>
      </c>
      <c r="X466" s="656">
        <f>+VLOOKUP($L466,Data_Validation!$A:$F,6,0)</f>
        <v>0</v>
      </c>
    </row>
    <row r="467" spans="1:24" ht="15.75" customHeight="1">
      <c r="A467" s="1252" t="s">
        <v>1091</v>
      </c>
      <c r="B467" s="1252" t="s">
        <v>1092</v>
      </c>
      <c r="C467" s="1253"/>
      <c r="D467" s="1253"/>
      <c r="E467" s="1253"/>
      <c r="F467" s="1252" t="s">
        <v>7</v>
      </c>
      <c r="G467" s="1252" t="s">
        <v>1090</v>
      </c>
      <c r="H467" s="1252" t="s">
        <v>3955</v>
      </c>
      <c r="I467" s="1254">
        <v>-12</v>
      </c>
      <c r="J467" s="1254">
        <v>-4</v>
      </c>
      <c r="K467" s="1254">
        <v>-16</v>
      </c>
      <c r="L467" s="653" t="str">
        <f t="shared" ref="L467:L469" si="206">TEXT(B467,0)</f>
        <v>4733@</v>
      </c>
      <c r="M467" s="654" t="str">
        <f t="shared" ref="M467:M469" si="207">+A467</f>
        <v># DE VTE - P&amp;A B.T. GARANTIE CARR.</v>
      </c>
      <c r="N467" s="655">
        <f>+IF(OR($Q467=Parametres!$G$2,$Q467=Parametres!$G$3),I467,C467)</f>
        <v>-12</v>
      </c>
      <c r="O467" s="655">
        <f>+IF(OR($Q467=Parametres!$G$2,$Q467=Parametres!$G$3),J467,D467)</f>
        <v>-4</v>
      </c>
      <c r="P467" s="655">
        <f>+IF(OR($Q467=Parametres!$G$2,$Q467=Parametres!$G$3),K467,E467)</f>
        <v>-16</v>
      </c>
      <c r="Q467" s="654" t="str">
        <f t="shared" ref="Q467:Q469" si="208">+F467</f>
        <v>10-Compte compteur</v>
      </c>
      <c r="R467" s="653" t="str">
        <f t="shared" ref="R467:R469" si="209">+G467</f>
        <v>4733</v>
      </c>
      <c r="S467" s="654" t="str">
        <f t="shared" ref="S467:S469" si="210">+H467</f>
        <v>_</v>
      </c>
      <c r="T467" s="656" t="str">
        <f>+VLOOKUP($L467,Data_Validation!$A:$D,1,0)</f>
        <v>4733@</v>
      </c>
      <c r="U467" s="656" t="str">
        <f>+VLOOKUP($L467,Data_Validation!$A:$D,3,0)</f>
        <v>Pièces</v>
      </c>
      <c r="V467" s="656" t="str">
        <f>+VLOOKUP($L467,Data_Validation!$A:$D,4,0)</f>
        <v>Pièces Ro Carrosserie</v>
      </c>
      <c r="W467" s="656" t="str">
        <f>+VLOOKUP($L467,Data_Validation!$A:$E,5,0)</f>
        <v>NB</v>
      </c>
      <c r="X467" s="656">
        <f>+VLOOKUP($L467,Data_Validation!$A:$F,6,0)</f>
        <v>0</v>
      </c>
    </row>
    <row r="468" spans="1:24" ht="15.75" customHeight="1">
      <c r="A468" s="1252" t="s">
        <v>1095</v>
      </c>
      <c r="B468" s="1252" t="s">
        <v>1096</v>
      </c>
      <c r="C468" s="1253"/>
      <c r="D468" s="1253"/>
      <c r="E468" s="1253"/>
      <c r="F468" s="1252" t="s">
        <v>7</v>
      </c>
      <c r="G468" s="1252" t="s">
        <v>1094</v>
      </c>
      <c r="H468" s="1252" t="s">
        <v>3955</v>
      </c>
      <c r="I468" s="1254">
        <v>-18</v>
      </c>
      <c r="J468" s="1254">
        <v>0</v>
      </c>
      <c r="K468" s="1254">
        <v>-18</v>
      </c>
      <c r="L468" s="653" t="str">
        <f t="shared" si="206"/>
        <v>4735@</v>
      </c>
      <c r="M468" s="654" t="str">
        <f t="shared" si="207"/>
        <v># DE VTE - P&amp;A B.T. INTERNE CARROS.</v>
      </c>
      <c r="N468" s="655">
        <f>+IF(OR($Q468=Parametres!$G$2,$Q468=Parametres!$G$3),I468,C468)</f>
        <v>-18</v>
      </c>
      <c r="O468" s="655">
        <f>+IF(OR($Q468=Parametres!$G$2,$Q468=Parametres!$G$3),J468,D468)</f>
        <v>0</v>
      </c>
      <c r="P468" s="655">
        <f>+IF(OR($Q468=Parametres!$G$2,$Q468=Parametres!$G$3),K468,E468)</f>
        <v>-18</v>
      </c>
      <c r="Q468" s="654" t="str">
        <f t="shared" si="208"/>
        <v>10-Compte compteur</v>
      </c>
      <c r="R468" s="653" t="str">
        <f t="shared" si="209"/>
        <v>4735</v>
      </c>
      <c r="S468" s="654" t="str">
        <f t="shared" si="210"/>
        <v>_</v>
      </c>
      <c r="T468" s="656" t="str">
        <f>+VLOOKUP($L468,Data_Validation!$A:$D,1,0)</f>
        <v>4735@</v>
      </c>
      <c r="U468" s="656" t="str">
        <f>+VLOOKUP($L468,Data_Validation!$A:$D,3,0)</f>
        <v>Pièces</v>
      </c>
      <c r="V468" s="656" t="str">
        <f>+VLOOKUP($L468,Data_Validation!$A:$D,4,0)</f>
        <v>Pièces Ro Carrosserie</v>
      </c>
      <c r="W468" s="656" t="str">
        <f>+VLOOKUP($L468,Data_Validation!$A:$E,5,0)</f>
        <v>NB</v>
      </c>
      <c r="X468" s="656">
        <f>+VLOOKUP($L468,Data_Validation!$A:$F,6,0)</f>
        <v>0</v>
      </c>
    </row>
    <row r="469" spans="1:24" ht="15.75" customHeight="1">
      <c r="A469" s="1252" t="s">
        <v>1099</v>
      </c>
      <c r="B469" s="1252" t="s">
        <v>1100</v>
      </c>
      <c r="C469" s="1253"/>
      <c r="D469" s="1253"/>
      <c r="E469" s="1253"/>
      <c r="F469" s="1252" t="s">
        <v>7</v>
      </c>
      <c r="G469" s="1252" t="s">
        <v>1098</v>
      </c>
      <c r="H469" s="1252" t="s">
        <v>3955</v>
      </c>
      <c r="I469" s="1254">
        <v>-398</v>
      </c>
      <c r="J469" s="1254">
        <v>-147</v>
      </c>
      <c r="K469" s="1254">
        <v>-545</v>
      </c>
      <c r="L469" s="653" t="str">
        <f t="shared" si="206"/>
        <v>4761@</v>
      </c>
      <c r="M469" s="654" t="str">
        <f t="shared" si="207"/>
        <v>PIECES-COMPTOIR-DETAIL</v>
      </c>
      <c r="N469" s="655">
        <f>+IF(OR($Q469=Parametres!$G$2,$Q469=Parametres!$G$3),I469,C469)</f>
        <v>-398</v>
      </c>
      <c r="O469" s="655">
        <f>+IF(OR($Q469=Parametres!$G$2,$Q469=Parametres!$G$3),J469,D469)</f>
        <v>-147</v>
      </c>
      <c r="P469" s="655">
        <f>+IF(OR($Q469=Parametres!$G$2,$Q469=Parametres!$G$3),K469,E469)</f>
        <v>-545</v>
      </c>
      <c r="Q469" s="654" t="str">
        <f t="shared" si="208"/>
        <v>10-Compte compteur</v>
      </c>
      <c r="R469" s="653" t="str">
        <f t="shared" si="209"/>
        <v>4761</v>
      </c>
      <c r="S469" s="654" t="str">
        <f t="shared" si="210"/>
        <v>_</v>
      </c>
      <c r="T469" s="656" t="str">
        <f>+VLOOKUP($L469,Data_Validation!$A:$D,1,0)</f>
        <v>4761@</v>
      </c>
      <c r="U469" s="656" t="str">
        <f>+VLOOKUP($L469,Data_Validation!$A:$D,3,0)</f>
        <v>Pièces</v>
      </c>
      <c r="V469" s="656" t="str">
        <f>+VLOOKUP($L469,Data_Validation!$A:$D,4,0)</f>
        <v>Ventes Détails</v>
      </c>
      <c r="W469" s="656" t="str">
        <f>+VLOOKUP($L469,Data_Validation!$A:$E,5,0)</f>
        <v>NB</v>
      </c>
      <c r="X469" s="656">
        <f>+VLOOKUP($L469,Data_Validation!$A:$F,6,0)</f>
        <v>0</v>
      </c>
    </row>
    <row r="470" spans="1:24" ht="15.75" customHeight="1">
      <c r="A470" s="1252" t="s">
        <v>1103</v>
      </c>
      <c r="B470" s="1252" t="s">
        <v>1104</v>
      </c>
      <c r="C470" s="1253"/>
      <c r="D470" s="1253"/>
      <c r="E470" s="1253"/>
      <c r="F470" s="1252" t="s">
        <v>7</v>
      </c>
      <c r="G470" s="1252" t="s">
        <v>1102</v>
      </c>
      <c r="H470" s="1252" t="s">
        <v>3955</v>
      </c>
      <c r="I470" s="1254">
        <v>-1273</v>
      </c>
      <c r="J470" s="1254">
        <v>-424</v>
      </c>
      <c r="K470" s="1254">
        <v>-1697</v>
      </c>
      <c r="L470" s="653" t="str">
        <f t="shared" ref="L470:L474" si="211">TEXT(B470,0)</f>
        <v>4763@</v>
      </c>
      <c r="M470" s="654" t="str">
        <f t="shared" ref="M470:M474" si="212">+A470</f>
        <v>PIECES-COMPTOIR-COMM. GROS</v>
      </c>
      <c r="N470" s="655">
        <f>+IF(OR($Q470=Parametres!$G$2,$Q470=Parametres!$G$3),I470,C470)</f>
        <v>-1273</v>
      </c>
      <c r="O470" s="655">
        <f>+IF(OR($Q470=Parametres!$G$2,$Q470=Parametres!$G$3),J470,D470)</f>
        <v>-424</v>
      </c>
      <c r="P470" s="655">
        <f>+IF(OR($Q470=Parametres!$G$2,$Q470=Parametres!$G$3),K470,E470)</f>
        <v>-1697</v>
      </c>
      <c r="Q470" s="654" t="str">
        <f t="shared" ref="Q470:Q474" si="213">+F470</f>
        <v>10-Compte compteur</v>
      </c>
      <c r="R470" s="653" t="str">
        <f t="shared" ref="R470:R474" si="214">+G470</f>
        <v>4763</v>
      </c>
      <c r="S470" s="654" t="str">
        <f t="shared" ref="S470:S474" si="215">+H470</f>
        <v>_</v>
      </c>
      <c r="T470" s="656" t="str">
        <f>+VLOOKUP($L470,Data_Validation!$A:$D,1,0)</f>
        <v>4763@</v>
      </c>
      <c r="U470" s="656" t="str">
        <f>+VLOOKUP($L470,Data_Validation!$A:$D,3,0)</f>
        <v>Pièces</v>
      </c>
      <c r="V470" s="656" t="str">
        <f>+VLOOKUP($L470,Data_Validation!$A:$D,4,0)</f>
        <v>Ventes de Gros</v>
      </c>
      <c r="W470" s="656" t="str">
        <f>+VLOOKUP($L470,Data_Validation!$A:$E,5,0)</f>
        <v>NB</v>
      </c>
      <c r="X470" s="656">
        <f>+VLOOKUP($L470,Data_Validation!$A:$F,6,0)</f>
        <v>0</v>
      </c>
    </row>
    <row r="471" spans="1:24" ht="15.75" customHeight="1">
      <c r="A471" s="1252" t="s">
        <v>1105</v>
      </c>
      <c r="B471" s="1252" t="s">
        <v>1107</v>
      </c>
      <c r="C471" s="1253"/>
      <c r="D471" s="1253"/>
      <c r="E471" s="1253"/>
      <c r="F471" s="1252" t="s">
        <v>7</v>
      </c>
      <c r="G471" s="1252" t="s">
        <v>1106</v>
      </c>
      <c r="H471" s="1252" t="s">
        <v>3955</v>
      </c>
      <c r="I471" s="1254">
        <v>-130</v>
      </c>
      <c r="J471" s="1254">
        <v>-47</v>
      </c>
      <c r="K471" s="1254">
        <v>-177</v>
      </c>
      <c r="L471" s="653" t="str">
        <f t="shared" si="211"/>
        <v>4781@</v>
      </c>
      <c r="M471" s="654" t="str">
        <f t="shared" si="212"/>
        <v>VENTES PNEUS</v>
      </c>
      <c r="N471" s="655">
        <f>+IF(OR($Q471=Parametres!$G$2,$Q471=Parametres!$G$3),I471,C471)</f>
        <v>-130</v>
      </c>
      <c r="O471" s="655">
        <f>+IF(OR($Q471=Parametres!$G$2,$Q471=Parametres!$G$3),J471,D471)</f>
        <v>-47</v>
      </c>
      <c r="P471" s="655">
        <f>+IF(OR($Q471=Parametres!$G$2,$Q471=Parametres!$G$3),K471,E471)</f>
        <v>-177</v>
      </c>
      <c r="Q471" s="654" t="str">
        <f t="shared" si="213"/>
        <v>10-Compte compteur</v>
      </c>
      <c r="R471" s="653" t="str">
        <f t="shared" si="214"/>
        <v>4781</v>
      </c>
      <c r="S471" s="654" t="str">
        <f t="shared" si="215"/>
        <v>_</v>
      </c>
      <c r="T471" s="656" t="str">
        <f>+VLOOKUP($L471,Data_Validation!$A:$D,1,0)</f>
        <v>4781@</v>
      </c>
      <c r="U471" s="656" t="str">
        <f>+VLOOKUP($L471,Data_Validation!$A:$D,3,0)</f>
        <v>Pièces</v>
      </c>
      <c r="V471" s="656" t="str">
        <f>+VLOOKUP($L471,Data_Validation!$A:$D,4,0)</f>
        <v>Ventes Pneus</v>
      </c>
      <c r="W471" s="656" t="str">
        <f>+VLOOKUP($L471,Data_Validation!$A:$E,5,0)</f>
        <v>NB</v>
      </c>
      <c r="X471" s="656">
        <f>+VLOOKUP($L471,Data_Validation!$A:$F,6,0)</f>
        <v>0</v>
      </c>
    </row>
    <row r="472" spans="1:24" ht="15.75" customHeight="1">
      <c r="A472" s="1252" t="s">
        <v>1294</v>
      </c>
      <c r="B472" s="1252" t="s">
        <v>1296</v>
      </c>
      <c r="C472" s="1253"/>
      <c r="D472" s="1253"/>
      <c r="E472" s="1253"/>
      <c r="F472" s="1252" t="s">
        <v>7</v>
      </c>
      <c r="G472" s="1252" t="s">
        <v>1295</v>
      </c>
      <c r="H472" s="1252" t="s">
        <v>3955</v>
      </c>
      <c r="I472" s="1254">
        <v>-31</v>
      </c>
      <c r="J472" s="1254">
        <v>-11</v>
      </c>
      <c r="K472" s="1254">
        <v>-42</v>
      </c>
      <c r="L472" s="653" t="str">
        <f t="shared" si="211"/>
        <v>9163@</v>
      </c>
      <c r="M472" s="654" t="str">
        <f t="shared" si="212"/>
        <v>RESERVE FIN ET ASS VEH OCCASION</v>
      </c>
      <c r="N472" s="655">
        <f>+IF(OR($Q472=Parametres!$G$2,$Q472=Parametres!$G$3),I472,C472)</f>
        <v>-31</v>
      </c>
      <c r="O472" s="655">
        <f>+IF(OR($Q472=Parametres!$G$2,$Q472=Parametres!$G$3),J472,D472)</f>
        <v>-11</v>
      </c>
      <c r="P472" s="655">
        <f>+IF(OR($Q472=Parametres!$G$2,$Q472=Parametres!$G$3),K472,E472)</f>
        <v>-42</v>
      </c>
      <c r="Q472" s="654" t="str">
        <f t="shared" si="213"/>
        <v>10-Compte compteur</v>
      </c>
      <c r="R472" s="653" t="str">
        <f t="shared" si="214"/>
        <v>9163</v>
      </c>
      <c r="S472" s="654" t="str">
        <f t="shared" si="215"/>
        <v>_</v>
      </c>
      <c r="T472" s="656" t="str">
        <f>+VLOOKUP($L472,Data_Validation!$A:$D,1,0)</f>
        <v>9163@</v>
      </c>
      <c r="U472" s="656" t="str">
        <f>+VLOOKUP($L472,Data_Validation!$A:$D,3,0)</f>
        <v>Véhicules usagés</v>
      </c>
      <c r="V472" s="656">
        <f>+VLOOKUP($L472,Data_Validation!$A:$D,4,0)</f>
        <v>0</v>
      </c>
      <c r="W472" s="656" t="str">
        <f>+VLOOKUP($L472,Data_Validation!$A:$E,5,0)</f>
        <v>NB</v>
      </c>
      <c r="X472" s="656">
        <f>+VLOOKUP($L472,Data_Validation!$A:$F,6,0)</f>
        <v>0</v>
      </c>
    </row>
    <row r="473" spans="1:24" ht="15.75" customHeight="1">
      <c r="A473" s="1252" t="s">
        <v>3347</v>
      </c>
      <c r="B473" s="1252" t="s">
        <v>3348</v>
      </c>
      <c r="C473" s="1253"/>
      <c r="D473" s="1253"/>
      <c r="E473" s="1253"/>
      <c r="F473" s="1252" t="s">
        <v>7</v>
      </c>
      <c r="G473" s="1252" t="s">
        <v>1291</v>
      </c>
      <c r="H473" s="1252" t="s">
        <v>3955</v>
      </c>
      <c r="I473" s="1254">
        <v>-135</v>
      </c>
      <c r="J473" s="1254">
        <v>-60</v>
      </c>
      <c r="K473" s="1254">
        <v>-195</v>
      </c>
      <c r="L473" s="653" t="str">
        <f t="shared" si="211"/>
        <v>9170@</v>
      </c>
      <c r="M473" s="654" t="str">
        <f t="shared" si="212"/>
        <v># DE PROFIT PROTECTIONS - NEUFS</v>
      </c>
      <c r="N473" s="655">
        <f>+IF(OR($Q473=Parametres!$G$2,$Q473=Parametres!$G$3),I473,C473)</f>
        <v>-135</v>
      </c>
      <c r="O473" s="655">
        <f>+IF(OR($Q473=Parametres!$G$2,$Q473=Parametres!$G$3),J473,D473)</f>
        <v>-60</v>
      </c>
      <c r="P473" s="655">
        <f>+IF(OR($Q473=Parametres!$G$2,$Q473=Parametres!$G$3),K473,E473)</f>
        <v>-195</v>
      </c>
      <c r="Q473" s="654" t="str">
        <f t="shared" si="213"/>
        <v>10-Compte compteur</v>
      </c>
      <c r="R473" s="653" t="str">
        <f t="shared" si="214"/>
        <v>9161</v>
      </c>
      <c r="S473" s="654" t="str">
        <f t="shared" si="215"/>
        <v>_</v>
      </c>
      <c r="T473" s="656" t="str">
        <f>+VLOOKUP($L473,Data_Validation!$A:$D,1,0)</f>
        <v>9170@</v>
      </c>
      <c r="U473" s="656" t="str">
        <f>+VLOOKUP($L473,Data_Validation!$A:$D,3,0)</f>
        <v>Véhicules neufs</v>
      </c>
      <c r="V473" s="656">
        <f>+VLOOKUP($L473,Data_Validation!$A:$D,4,0)</f>
        <v>0</v>
      </c>
      <c r="W473" s="656" t="str">
        <f>+VLOOKUP($L473,Data_Validation!$A:$E,5,0)</f>
        <v>NB</v>
      </c>
      <c r="X473" s="656">
        <f>+VLOOKUP($L473,Data_Validation!$A:$F,6,0)</f>
        <v>0</v>
      </c>
    </row>
    <row r="474" spans="1:24" ht="15.75" customHeight="1">
      <c r="A474" s="1252" t="s">
        <v>1307</v>
      </c>
      <c r="B474" s="1252" t="s">
        <v>1308</v>
      </c>
      <c r="C474" s="1253"/>
      <c r="D474" s="1253"/>
      <c r="E474" s="1253"/>
      <c r="F474" s="1252" t="s">
        <v>7</v>
      </c>
      <c r="G474" s="1252" t="s">
        <v>1295</v>
      </c>
      <c r="H474" s="1252" t="s">
        <v>3955</v>
      </c>
      <c r="I474" s="1254">
        <v>-70</v>
      </c>
      <c r="J474" s="1254">
        <v>-30</v>
      </c>
      <c r="K474" s="1254">
        <v>-100</v>
      </c>
      <c r="L474" s="653" t="str">
        <f t="shared" si="211"/>
        <v>9172@</v>
      </c>
      <c r="M474" s="654" t="str">
        <f t="shared" si="212"/>
        <v># DE PROFIT PROTECTIONS - USAGES</v>
      </c>
      <c r="N474" s="655">
        <f>+IF(OR($Q474=Parametres!$G$2,$Q474=Parametres!$G$3),I474,C474)</f>
        <v>-70</v>
      </c>
      <c r="O474" s="655">
        <f>+IF(OR($Q474=Parametres!$G$2,$Q474=Parametres!$G$3),J474,D474)</f>
        <v>-30</v>
      </c>
      <c r="P474" s="655">
        <f>+IF(OR($Q474=Parametres!$G$2,$Q474=Parametres!$G$3),K474,E474)</f>
        <v>-100</v>
      </c>
      <c r="Q474" s="654" t="str">
        <f t="shared" si="213"/>
        <v>10-Compte compteur</v>
      </c>
      <c r="R474" s="653" t="str">
        <f t="shared" si="214"/>
        <v>9163</v>
      </c>
      <c r="S474" s="654" t="str">
        <f t="shared" si="215"/>
        <v>_</v>
      </c>
      <c r="T474" s="656" t="str">
        <f>+VLOOKUP($L474,Data_Validation!$A:$D,1,0)</f>
        <v>9172@</v>
      </c>
      <c r="U474" s="656" t="str">
        <f>+VLOOKUP($L474,Data_Validation!$A:$D,3,0)</f>
        <v>Véhicules usagés</v>
      </c>
      <c r="V474" s="656">
        <f>+VLOOKUP($L474,Data_Validation!$A:$D,4,0)</f>
        <v>0</v>
      </c>
      <c r="W474" s="656" t="str">
        <f>+VLOOKUP($L474,Data_Validation!$A:$E,5,0)</f>
        <v>NB</v>
      </c>
      <c r="X474" s="656">
        <f>+VLOOKUP($L474,Data_Validation!$A:$F,6,0)</f>
        <v>0</v>
      </c>
    </row>
    <row r="475" spans="1:24" ht="15.75" customHeight="1">
      <c r="C475" s="1023"/>
      <c r="D475" s="1023"/>
      <c r="E475" s="1023"/>
      <c r="I475" s="1024"/>
      <c r="J475" s="1024"/>
      <c r="K475" s="1024"/>
      <c r="O475" s="673"/>
    </row>
    <row r="476" spans="1:24" ht="15.75" customHeight="1">
      <c r="C476" s="1023"/>
      <c r="D476" s="1023"/>
      <c r="E476" s="1023"/>
      <c r="I476" s="1024"/>
      <c r="J476" s="1024"/>
      <c r="K476" s="1024"/>
      <c r="O476" s="673"/>
    </row>
    <row r="477" spans="1:24" ht="15.75" customHeight="1">
      <c r="C477" s="1023"/>
      <c r="D477" s="1023"/>
      <c r="E477" s="1023"/>
      <c r="I477" s="1024"/>
      <c r="J477" s="1024"/>
      <c r="K477" s="1024"/>
      <c r="O477" s="673"/>
    </row>
    <row r="478" spans="1:24" ht="15.75" customHeight="1">
      <c r="C478" s="1023"/>
      <c r="D478" s="1023"/>
      <c r="E478" s="1023"/>
      <c r="I478" s="1024"/>
      <c r="J478" s="1024"/>
      <c r="K478" s="1024"/>
      <c r="O478" s="673"/>
    </row>
    <row r="479" spans="1:24" ht="15.75" customHeight="1">
      <c r="C479" s="1023"/>
      <c r="D479" s="1023"/>
      <c r="E479" s="1023"/>
      <c r="I479" s="1024"/>
      <c r="J479" s="1024"/>
      <c r="K479" s="1024"/>
      <c r="O479" s="673"/>
    </row>
    <row r="480" spans="1:24" ht="15.75" customHeight="1">
      <c r="C480" s="1023"/>
      <c r="D480" s="1023"/>
      <c r="E480" s="1023"/>
      <c r="I480" s="1024"/>
      <c r="J480" s="1024"/>
      <c r="K480" s="1024"/>
      <c r="O480" s="673"/>
    </row>
    <row r="481" spans="3:15" ht="15.75" customHeight="1">
      <c r="C481" s="1023"/>
      <c r="D481" s="1023"/>
      <c r="E481" s="1023"/>
      <c r="I481" s="1024"/>
      <c r="J481" s="1024"/>
      <c r="K481" s="1024"/>
      <c r="O481" s="673"/>
    </row>
    <row r="482" spans="3:15" ht="15.75" customHeight="1">
      <c r="C482" s="1023"/>
      <c r="D482" s="1023"/>
      <c r="E482" s="1023"/>
      <c r="I482" s="1024"/>
      <c r="J482" s="1024"/>
      <c r="K482" s="1024"/>
      <c r="O482" s="673"/>
    </row>
    <row r="483" spans="3:15" ht="15.75" customHeight="1">
      <c r="C483" s="1023"/>
      <c r="D483" s="1023"/>
      <c r="E483" s="1023"/>
      <c r="I483" s="1024"/>
      <c r="J483" s="1024"/>
      <c r="K483" s="1024"/>
      <c r="O483" s="673"/>
    </row>
    <row r="484" spans="3:15" ht="15.75" customHeight="1">
      <c r="C484" s="1023"/>
      <c r="D484" s="1023"/>
      <c r="E484" s="1023"/>
      <c r="I484" s="1024"/>
      <c r="J484" s="1024"/>
      <c r="K484" s="1024"/>
      <c r="O484" s="673"/>
    </row>
    <row r="485" spans="3:15" ht="15.75" customHeight="1">
      <c r="C485" s="1023"/>
      <c r="D485" s="1023"/>
      <c r="E485" s="1023"/>
      <c r="I485" s="1024"/>
      <c r="J485" s="1024"/>
      <c r="K485" s="1024"/>
      <c r="O485" s="673"/>
    </row>
    <row r="486" spans="3:15" ht="15.75" customHeight="1">
      <c r="C486" s="1023"/>
      <c r="D486" s="1023"/>
      <c r="E486" s="1023"/>
      <c r="I486" s="1024"/>
      <c r="J486" s="1024"/>
      <c r="K486" s="1024"/>
      <c r="O486" s="673"/>
    </row>
    <row r="487" spans="3:15" ht="15.75" customHeight="1">
      <c r="C487" s="1023"/>
      <c r="D487" s="1023"/>
      <c r="E487" s="1023"/>
      <c r="I487" s="1024"/>
      <c r="J487" s="1024"/>
      <c r="K487" s="1024"/>
      <c r="O487" s="673"/>
    </row>
    <row r="488" spans="3:15" ht="15.75" customHeight="1">
      <c r="C488" s="1023"/>
      <c r="D488" s="1023"/>
      <c r="E488" s="1023"/>
      <c r="I488" s="1024"/>
      <c r="J488" s="1024"/>
      <c r="K488" s="1024"/>
      <c r="O488" s="673"/>
    </row>
    <row r="489" spans="3:15" ht="15.75" customHeight="1">
      <c r="C489" s="1023"/>
      <c r="D489" s="1023"/>
      <c r="E489" s="1023"/>
      <c r="I489" s="1024"/>
      <c r="J489" s="1024"/>
      <c r="K489" s="1024"/>
      <c r="O489" s="673"/>
    </row>
    <row r="490" spans="3:15" ht="15.75" customHeight="1">
      <c r="C490" s="1023"/>
      <c r="D490" s="1023"/>
      <c r="E490" s="1023"/>
      <c r="I490" s="1024"/>
      <c r="J490" s="1024"/>
      <c r="K490" s="1024"/>
      <c r="O490" s="673"/>
    </row>
    <row r="491" spans="3:15" ht="15.75" customHeight="1">
      <c r="C491" s="1023"/>
      <c r="D491" s="1023"/>
      <c r="E491" s="1023"/>
      <c r="I491" s="1024"/>
      <c r="J491" s="1024"/>
      <c r="K491" s="1024"/>
      <c r="O491" s="673"/>
    </row>
    <row r="492" spans="3:15" ht="15.75" customHeight="1">
      <c r="C492" s="1023"/>
      <c r="D492" s="1023"/>
      <c r="E492" s="1023"/>
      <c r="I492" s="1024"/>
      <c r="J492" s="1024"/>
      <c r="K492" s="1024"/>
      <c r="O492" s="673"/>
    </row>
    <row r="493" spans="3:15" ht="15.75" customHeight="1">
      <c r="C493" s="1023"/>
      <c r="D493" s="1023"/>
      <c r="E493" s="1023"/>
      <c r="I493" s="1024"/>
      <c r="J493" s="1024"/>
      <c r="K493" s="1024"/>
      <c r="O493" s="673"/>
    </row>
    <row r="494" spans="3:15" ht="15.75" customHeight="1">
      <c r="C494" s="1023"/>
      <c r="D494" s="1023"/>
      <c r="E494" s="1023"/>
      <c r="I494" s="1024"/>
      <c r="J494" s="1024"/>
      <c r="K494" s="1024"/>
      <c r="O494" s="673"/>
    </row>
    <row r="495" spans="3:15" ht="15.75" customHeight="1">
      <c r="C495" s="1023"/>
      <c r="D495" s="1023"/>
      <c r="E495" s="1023"/>
      <c r="I495" s="1024"/>
      <c r="J495" s="1024"/>
      <c r="K495" s="1024"/>
      <c r="O495" s="673"/>
    </row>
    <row r="496" spans="3:15"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sheetData>
  <autoFilter ref="A1:X469" xr:uid="{00000000-0009-0000-0000-00000E000000}">
    <sortState xmlns:xlrd2="http://schemas.microsoft.com/office/spreadsheetml/2017/richdata2" ref="A180:X388">
      <sortCondition ref="O1:O388"/>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3"/>
  <sheetViews>
    <sheetView topLeftCell="A46" workbookViewId="0">
      <selection activeCell="B83" sqref="B83"/>
    </sheetView>
  </sheetViews>
  <sheetFormatPr baseColWidth="10" defaultColWidth="12.59765625" defaultRowHeight="15" customHeight="1" outlineLevelCol="1"/>
  <cols>
    <col min="1" max="1" width="9.19921875" customWidth="1"/>
    <col min="2" max="2" width="42.5" customWidth="1"/>
    <col min="3" max="3" width="20.69921875" customWidth="1"/>
    <col min="4" max="4" width="29.8984375" customWidth="1"/>
    <col min="5" max="8" width="21.69921875" customWidth="1"/>
    <col min="9" max="9" width="28.59765625" customWidth="1" outlineLevel="1"/>
    <col min="10" max="10" width="3.19921875" customWidth="1" outlineLevel="1"/>
    <col min="11" max="11" width="35.3984375" customWidth="1" outlineLevel="1"/>
    <col min="12" max="29" width="9.3984375" customWidth="1"/>
  </cols>
  <sheetData>
    <row r="1" spans="1:13" ht="14.4">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3929</v>
      </c>
      <c r="B82" s="678" t="s">
        <v>3928</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3931</v>
      </c>
      <c r="B84" s="678" t="s">
        <v>3930</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3382</v>
      </c>
      <c r="B222" s="678" t="s">
        <v>1378</v>
      </c>
      <c r="C222" s="679" t="s">
        <v>92</v>
      </c>
      <c r="D222" s="679" t="s">
        <v>104</v>
      </c>
      <c r="E222" s="680" t="s">
        <v>303</v>
      </c>
      <c r="F222" s="681" t="s">
        <v>1368</v>
      </c>
      <c r="G222" s="680" t="s">
        <v>7</v>
      </c>
      <c r="H222" s="3"/>
    </row>
    <row r="223" spans="1:8" ht="15" customHeight="1">
      <c r="A223" s="690" t="s">
        <v>1007</v>
      </c>
      <c r="B223" s="678" t="s">
        <v>1006</v>
      </c>
      <c r="C223" s="679" t="s">
        <v>152</v>
      </c>
      <c r="D223" s="679" t="s">
        <v>153</v>
      </c>
      <c r="E223" s="680" t="s">
        <v>303</v>
      </c>
      <c r="F223" s="681" t="s">
        <v>1368</v>
      </c>
      <c r="G223" s="682" t="e">
        <v>#N/A</v>
      </c>
      <c r="H223" s="3"/>
    </row>
    <row r="224" spans="1:8" ht="15" customHeight="1">
      <c r="A224" s="690" t="s">
        <v>1009</v>
      </c>
      <c r="B224" s="678" t="s">
        <v>1008</v>
      </c>
      <c r="C224" s="679" t="s">
        <v>152</v>
      </c>
      <c r="D224" s="679" t="s">
        <v>153</v>
      </c>
      <c r="E224" s="686" t="s">
        <v>341</v>
      </c>
      <c r="F224" s="686"/>
      <c r="G224" s="682" t="s">
        <v>1154</v>
      </c>
      <c r="H224" s="3"/>
    </row>
    <row r="225" spans="1:9" ht="15" customHeight="1">
      <c r="A225" s="690" t="s">
        <v>1905</v>
      </c>
      <c r="B225" s="678" t="s">
        <v>773</v>
      </c>
      <c r="C225" s="679"/>
      <c r="D225" s="679"/>
      <c r="E225" s="680"/>
      <c r="F225" s="681"/>
      <c r="G225" s="682" t="s">
        <v>816</v>
      </c>
      <c r="H225" s="3"/>
    </row>
    <row r="226" spans="1:9" ht="15" customHeight="1">
      <c r="A226" s="690" t="s">
        <v>1011</v>
      </c>
      <c r="B226" s="678" t="s">
        <v>1010</v>
      </c>
      <c r="C226" s="679" t="s">
        <v>152</v>
      </c>
      <c r="D226" s="679" t="s">
        <v>154</v>
      </c>
      <c r="E226" s="680" t="s">
        <v>303</v>
      </c>
      <c r="F226" s="681" t="s">
        <v>1368</v>
      </c>
      <c r="G226" s="682" t="e">
        <v>#N/A</v>
      </c>
      <c r="H226" s="4"/>
    </row>
    <row r="227" spans="1:9" ht="15" customHeight="1">
      <c r="A227" s="690" t="s">
        <v>1013</v>
      </c>
      <c r="B227" s="678" t="s">
        <v>1012</v>
      </c>
      <c r="C227" s="679" t="s">
        <v>152</v>
      </c>
      <c r="D227" s="679" t="s">
        <v>154</v>
      </c>
      <c r="E227" s="686" t="s">
        <v>341</v>
      </c>
      <c r="F227" s="686"/>
      <c r="G227" s="682" t="s">
        <v>1154</v>
      </c>
      <c r="H227" s="3"/>
    </row>
    <row r="228" spans="1:9" ht="15" customHeight="1">
      <c r="A228" s="690" t="s">
        <v>1912</v>
      </c>
      <c r="B228" s="678" t="s">
        <v>774</v>
      </c>
      <c r="C228" s="679"/>
      <c r="D228" s="679"/>
      <c r="E228" s="680"/>
      <c r="F228" s="681"/>
      <c r="G228" s="682" t="e">
        <v>#N/A</v>
      </c>
      <c r="H228" s="3"/>
    </row>
    <row r="229" spans="1:9" ht="15" customHeight="1">
      <c r="A229" s="690" t="s">
        <v>1915</v>
      </c>
      <c r="B229" s="678" t="s">
        <v>775</v>
      </c>
      <c r="C229" s="679"/>
      <c r="D229" s="679"/>
      <c r="E229" s="680"/>
      <c r="F229" s="681"/>
      <c r="G229" s="682" t="s">
        <v>816</v>
      </c>
      <c r="H229" s="3"/>
    </row>
    <row r="230" spans="1:9" ht="15" customHeight="1">
      <c r="A230" s="690" t="s">
        <v>1918</v>
      </c>
      <c r="B230" s="678" t="s">
        <v>776</v>
      </c>
      <c r="C230" s="679"/>
      <c r="D230" s="679"/>
      <c r="E230" s="680"/>
      <c r="F230" s="681"/>
      <c r="G230" s="682" t="e">
        <v>#N/A</v>
      </c>
      <c r="H230" s="3"/>
    </row>
    <row r="231" spans="1:9" ht="15" customHeight="1">
      <c r="A231" s="690" t="s">
        <v>1921</v>
      </c>
      <c r="B231" s="678" t="s">
        <v>777</v>
      </c>
      <c r="C231" s="679"/>
      <c r="D231" s="679"/>
      <c r="E231" s="680"/>
      <c r="F231" s="681"/>
      <c r="G231" s="682" t="s">
        <v>816</v>
      </c>
      <c r="H231" s="3"/>
    </row>
    <row r="232" spans="1:9" ht="15" customHeight="1">
      <c r="A232" s="690" t="s">
        <v>1924</v>
      </c>
      <c r="B232" s="678" t="s">
        <v>778</v>
      </c>
      <c r="C232" s="679"/>
      <c r="D232" s="679"/>
      <c r="E232" s="680"/>
      <c r="F232" s="681"/>
      <c r="G232" s="682" t="s">
        <v>816</v>
      </c>
      <c r="H232" s="3"/>
    </row>
    <row r="233" spans="1:9" ht="15" customHeight="1">
      <c r="A233" s="690" t="s">
        <v>1927</v>
      </c>
      <c r="B233" s="678" t="s">
        <v>779</v>
      </c>
      <c r="C233" s="679"/>
      <c r="D233" s="679"/>
      <c r="E233" s="680"/>
      <c r="F233" s="681"/>
      <c r="G233" s="682" t="e">
        <v>#N/A</v>
      </c>
      <c r="H233" s="3"/>
    </row>
    <row r="234" spans="1:9" ht="15" customHeight="1">
      <c r="A234" s="690" t="s">
        <v>1930</v>
      </c>
      <c r="B234" s="678" t="s">
        <v>780</v>
      </c>
      <c r="C234" s="679"/>
      <c r="D234" s="679"/>
      <c r="E234" s="680"/>
      <c r="F234" s="681"/>
      <c r="G234" s="682" t="e">
        <v>#N/A</v>
      </c>
      <c r="H234" s="3"/>
    </row>
    <row r="235" spans="1:9" ht="15" customHeight="1">
      <c r="A235" s="690" t="s">
        <v>1933</v>
      </c>
      <c r="B235" s="678" t="s">
        <v>1014</v>
      </c>
      <c r="C235" s="679" t="s">
        <v>152</v>
      </c>
      <c r="D235" s="679" t="s">
        <v>3859</v>
      </c>
      <c r="E235" s="680" t="s">
        <v>303</v>
      </c>
      <c r="F235" s="681" t="s">
        <v>1368</v>
      </c>
      <c r="G235" s="682" t="s">
        <v>963</v>
      </c>
      <c r="H235" s="3"/>
      <c r="I235" s="1195" t="s">
        <v>3859</v>
      </c>
    </row>
    <row r="236" spans="1:9" ht="15" customHeight="1">
      <c r="A236" s="690" t="s">
        <v>1017</v>
      </c>
      <c r="B236" s="678" t="s">
        <v>1016</v>
      </c>
      <c r="C236" s="679" t="s">
        <v>152</v>
      </c>
      <c r="D236" s="679" t="s">
        <v>3859</v>
      </c>
      <c r="E236" s="686" t="s">
        <v>341</v>
      </c>
      <c r="F236" s="686"/>
      <c r="G236" s="682" t="s">
        <v>1154</v>
      </c>
      <c r="H236" s="3"/>
    </row>
    <row r="237" spans="1:9" ht="15" customHeight="1">
      <c r="A237" s="690" t="s">
        <v>1939</v>
      </c>
      <c r="B237" s="678" t="s">
        <v>781</v>
      </c>
      <c r="C237" s="679"/>
      <c r="D237" s="679"/>
      <c r="E237" s="680"/>
      <c r="F237" s="681"/>
      <c r="G237" s="682" t="e">
        <v>#N/A</v>
      </c>
      <c r="H237" s="3"/>
    </row>
    <row r="238" spans="1:9" ht="15" customHeight="1">
      <c r="A238" s="690" t="s">
        <v>1942</v>
      </c>
      <c r="B238" s="678" t="s">
        <v>1018</v>
      </c>
      <c r="C238" s="679" t="s">
        <v>152</v>
      </c>
      <c r="D238" s="679" t="s">
        <v>156</v>
      </c>
      <c r="E238" s="680" t="s">
        <v>303</v>
      </c>
      <c r="F238" s="681" t="s">
        <v>1368</v>
      </c>
      <c r="G238" s="682" t="s">
        <v>7</v>
      </c>
      <c r="H238" s="3"/>
    </row>
    <row r="239" spans="1:9" ht="15" customHeight="1">
      <c r="A239" s="690" t="s">
        <v>1021</v>
      </c>
      <c r="B239" s="678" t="s">
        <v>1020</v>
      </c>
      <c r="C239" s="679" t="s">
        <v>152</v>
      </c>
      <c r="D239" s="679" t="s">
        <v>156</v>
      </c>
      <c r="E239" s="686" t="s">
        <v>341</v>
      </c>
      <c r="F239" s="686"/>
      <c r="G239" s="682" t="s">
        <v>1154</v>
      </c>
      <c r="H239" s="3"/>
    </row>
    <row r="240" spans="1:9" ht="15" customHeight="1">
      <c r="A240" s="690" t="s">
        <v>1947</v>
      </c>
      <c r="B240" s="678" t="s">
        <v>782</v>
      </c>
      <c r="C240" s="679"/>
      <c r="D240" s="679"/>
      <c r="E240" s="680"/>
      <c r="F240" s="681"/>
      <c r="G240" s="682" t="e">
        <v>#N/A</v>
      </c>
      <c r="H240" s="3"/>
    </row>
    <row r="241" spans="1:8" ht="15" customHeight="1">
      <c r="A241" s="690" t="s">
        <v>1950</v>
      </c>
      <c r="B241" s="678" t="s">
        <v>783</v>
      </c>
      <c r="C241" s="679"/>
      <c r="D241" s="679"/>
      <c r="E241" s="680"/>
      <c r="F241" s="681"/>
      <c r="G241" s="682" t="s">
        <v>816</v>
      </c>
      <c r="H241" s="3"/>
    </row>
    <row r="242" spans="1:8" ht="15" customHeight="1">
      <c r="A242" s="690" t="s">
        <v>3354</v>
      </c>
      <c r="B242" s="678" t="s">
        <v>1333</v>
      </c>
      <c r="C242" s="679"/>
      <c r="D242" s="679"/>
      <c r="E242" s="680"/>
      <c r="F242" s="681"/>
      <c r="G242" s="682" t="e">
        <v>#N/A</v>
      </c>
      <c r="H242" s="3"/>
    </row>
    <row r="243" spans="1:8" ht="15" customHeight="1">
      <c r="A243" s="690" t="s">
        <v>1023</v>
      </c>
      <c r="B243" s="678" t="s">
        <v>1022</v>
      </c>
      <c r="C243" s="679" t="s">
        <v>161</v>
      </c>
      <c r="D243" s="679" t="s">
        <v>164</v>
      </c>
      <c r="E243" s="680" t="s">
        <v>303</v>
      </c>
      <c r="F243" s="681" t="s">
        <v>1368</v>
      </c>
      <c r="G243" s="682" t="s">
        <v>963</v>
      </c>
      <c r="H243" s="4"/>
    </row>
    <row r="244" spans="1:8" ht="15" customHeight="1">
      <c r="A244" s="690" t="s">
        <v>1024</v>
      </c>
      <c r="B244" s="678" t="s">
        <v>1022</v>
      </c>
      <c r="C244" s="679" t="s">
        <v>161</v>
      </c>
      <c r="D244" s="679" t="s">
        <v>164</v>
      </c>
      <c r="E244" s="686" t="s">
        <v>341</v>
      </c>
      <c r="F244" s="686"/>
      <c r="G244" s="682" t="s">
        <v>1154</v>
      </c>
      <c r="H244" s="3"/>
    </row>
    <row r="245" spans="1:8" ht="15" customHeight="1">
      <c r="A245" s="690" t="s">
        <v>1026</v>
      </c>
      <c r="B245" s="678" t="s">
        <v>1025</v>
      </c>
      <c r="C245" s="679" t="s">
        <v>161</v>
      </c>
      <c r="D245" s="679" t="s">
        <v>168</v>
      </c>
      <c r="E245" s="680" t="s">
        <v>303</v>
      </c>
      <c r="F245" s="681" t="s">
        <v>1368</v>
      </c>
      <c r="G245" s="682" t="s">
        <v>7</v>
      </c>
      <c r="H245" s="3"/>
    </row>
    <row r="246" spans="1:8" ht="15" customHeight="1">
      <c r="A246" s="690" t="s">
        <v>1423</v>
      </c>
      <c r="B246" s="678" t="s">
        <v>1424</v>
      </c>
      <c r="C246" s="679" t="s">
        <v>161</v>
      </c>
      <c r="D246" s="679" t="s">
        <v>168</v>
      </c>
      <c r="E246" s="686" t="s">
        <v>341</v>
      </c>
      <c r="F246" s="686"/>
      <c r="G246" s="680" t="e">
        <v>#N/A</v>
      </c>
      <c r="H246" s="3"/>
    </row>
    <row r="247" spans="1:8" ht="15" customHeight="1">
      <c r="A247" s="690" t="s">
        <v>1028</v>
      </c>
      <c r="B247" s="678" t="s">
        <v>1027</v>
      </c>
      <c r="C247" s="679" t="s">
        <v>161</v>
      </c>
      <c r="D247" s="679" t="s">
        <v>166</v>
      </c>
      <c r="E247" s="680" t="s">
        <v>303</v>
      </c>
      <c r="F247" s="681" t="s">
        <v>1368</v>
      </c>
      <c r="G247" s="682" t="s">
        <v>963</v>
      </c>
      <c r="H247" s="3"/>
    </row>
    <row r="248" spans="1:8" ht="15" customHeight="1">
      <c r="A248" s="690" t="s">
        <v>1029</v>
      </c>
      <c r="B248" s="678" t="s">
        <v>1027</v>
      </c>
      <c r="C248" s="679" t="s">
        <v>161</v>
      </c>
      <c r="D248" s="679" t="s">
        <v>166</v>
      </c>
      <c r="E248" s="686" t="s">
        <v>341</v>
      </c>
      <c r="F248" s="686"/>
      <c r="G248" s="682" t="e">
        <v>#N/A</v>
      </c>
      <c r="H248" s="3"/>
    </row>
    <row r="249" spans="1:8" ht="15" customHeight="1">
      <c r="A249" s="678" t="s">
        <v>1031</v>
      </c>
      <c r="B249" s="678" t="s">
        <v>1030</v>
      </c>
      <c r="C249" s="679" t="s">
        <v>161</v>
      </c>
      <c r="D249" s="679" t="s">
        <v>167</v>
      </c>
      <c r="E249" s="680" t="s">
        <v>303</v>
      </c>
      <c r="F249" s="681" t="s">
        <v>1368</v>
      </c>
      <c r="G249" s="682" t="s">
        <v>7</v>
      </c>
      <c r="H249" s="3"/>
    </row>
    <row r="250" spans="1:8" ht="15" customHeight="1">
      <c r="A250" s="690" t="s">
        <v>1032</v>
      </c>
      <c r="B250" s="678" t="s">
        <v>1030</v>
      </c>
      <c r="C250" s="679" t="s">
        <v>161</v>
      </c>
      <c r="D250" s="679" t="s">
        <v>167</v>
      </c>
      <c r="E250" s="686" t="s">
        <v>341</v>
      </c>
      <c r="F250" s="686"/>
      <c r="G250" s="682" t="e">
        <v>#N/A</v>
      </c>
      <c r="H250" s="3"/>
    </row>
    <row r="251" spans="1:8" ht="15" customHeight="1">
      <c r="A251" s="678" t="s">
        <v>1969</v>
      </c>
      <c r="B251" s="688" t="s">
        <v>1379</v>
      </c>
      <c r="C251" s="679" t="s">
        <v>161</v>
      </c>
      <c r="D251" s="679" t="s">
        <v>164</v>
      </c>
      <c r="E251" s="680" t="s">
        <v>303</v>
      </c>
      <c r="F251" s="681" t="s">
        <v>1368</v>
      </c>
      <c r="G251" s="680" t="s">
        <v>963</v>
      </c>
      <c r="H251" s="3"/>
    </row>
    <row r="252" spans="1:8" ht="15" customHeight="1">
      <c r="A252" s="690" t="s">
        <v>1425</v>
      </c>
      <c r="B252" s="678" t="s">
        <v>1426</v>
      </c>
      <c r="C252" s="679" t="s">
        <v>161</v>
      </c>
      <c r="D252" s="679" t="s">
        <v>164</v>
      </c>
      <c r="E252" s="686" t="s">
        <v>341</v>
      </c>
      <c r="F252" s="686"/>
      <c r="G252" s="680" t="e">
        <v>#N/A</v>
      </c>
      <c r="H252" s="3"/>
    </row>
    <row r="253" spans="1:8" ht="15" customHeight="1">
      <c r="A253" s="690" t="s">
        <v>3425</v>
      </c>
      <c r="B253" s="678" t="s">
        <v>3424</v>
      </c>
      <c r="C253" s="679" t="s">
        <v>161</v>
      </c>
      <c r="D253" s="679" t="s">
        <v>167</v>
      </c>
      <c r="E253" s="680" t="s">
        <v>303</v>
      </c>
      <c r="F253" s="681" t="s">
        <v>1368</v>
      </c>
      <c r="G253" s="680" t="e">
        <v>#N/A</v>
      </c>
      <c r="H253" s="3"/>
    </row>
    <row r="254" spans="1:8" ht="15" customHeight="1">
      <c r="A254" s="690" t="s">
        <v>1974</v>
      </c>
      <c r="B254" s="678" t="s">
        <v>1033</v>
      </c>
      <c r="C254" s="679" t="s">
        <v>180</v>
      </c>
      <c r="D254" s="679" t="s">
        <v>192</v>
      </c>
      <c r="E254" s="680" t="s">
        <v>303</v>
      </c>
      <c r="F254" s="681" t="s">
        <v>1368</v>
      </c>
      <c r="G254" s="682" t="s">
        <v>7</v>
      </c>
      <c r="H254" s="3"/>
    </row>
    <row r="255" spans="1:8" ht="15" customHeight="1">
      <c r="A255" s="690" t="s">
        <v>1035</v>
      </c>
      <c r="B255" s="678" t="s">
        <v>1033</v>
      </c>
      <c r="C255" s="679" t="s">
        <v>180</v>
      </c>
      <c r="D255" s="679" t="s">
        <v>192</v>
      </c>
      <c r="E255" s="686" t="s">
        <v>341</v>
      </c>
      <c r="F255" s="686"/>
      <c r="G255" s="682" t="e">
        <v>#N/A</v>
      </c>
      <c r="H255" s="3"/>
    </row>
    <row r="256" spans="1:8" ht="15" customHeight="1">
      <c r="A256" s="690" t="s">
        <v>1037</v>
      </c>
      <c r="B256" s="678" t="s">
        <v>1036</v>
      </c>
      <c r="C256" s="679" t="s">
        <v>161</v>
      </c>
      <c r="D256" s="679" t="s">
        <v>172</v>
      </c>
      <c r="E256" s="680" t="s">
        <v>303</v>
      </c>
      <c r="F256" s="681" t="s">
        <v>1368</v>
      </c>
      <c r="G256" s="682" t="e">
        <v>#N/A</v>
      </c>
      <c r="H256" s="3"/>
    </row>
    <row r="257" spans="1:8" ht="15" customHeight="1">
      <c r="A257" s="690" t="s">
        <v>1038</v>
      </c>
      <c r="B257" s="678" t="s">
        <v>1036</v>
      </c>
      <c r="C257" s="679" t="s">
        <v>161</v>
      </c>
      <c r="D257" s="679" t="s">
        <v>172</v>
      </c>
      <c r="E257" s="686" t="s">
        <v>341</v>
      </c>
      <c r="F257" s="686"/>
      <c r="G257" s="682" t="s">
        <v>1285</v>
      </c>
      <c r="H257" s="3"/>
    </row>
    <row r="258" spans="1:8" ht="15" customHeight="1">
      <c r="A258" s="690" t="s">
        <v>1040</v>
      </c>
      <c r="B258" s="678" t="s">
        <v>1039</v>
      </c>
      <c r="C258" s="679" t="s">
        <v>161</v>
      </c>
      <c r="D258" s="679" t="s">
        <v>172</v>
      </c>
      <c r="E258" s="680" t="s">
        <v>303</v>
      </c>
      <c r="F258" s="681" t="s">
        <v>1368</v>
      </c>
      <c r="G258" s="682" t="s">
        <v>963</v>
      </c>
      <c r="H258" s="3"/>
    </row>
    <row r="259" spans="1:8" ht="15" customHeight="1">
      <c r="A259" s="690" t="s">
        <v>1042</v>
      </c>
      <c r="B259" s="678" t="s">
        <v>1041</v>
      </c>
      <c r="C259" s="679" t="s">
        <v>161</v>
      </c>
      <c r="D259" s="679" t="s">
        <v>172</v>
      </c>
      <c r="E259" s="686" t="s">
        <v>341</v>
      </c>
      <c r="F259" s="686"/>
      <c r="G259" s="682" t="s">
        <v>1285</v>
      </c>
      <c r="H259" s="3"/>
    </row>
    <row r="260" spans="1:8" ht="15" customHeight="1">
      <c r="A260" s="690" t="s">
        <v>1044</v>
      </c>
      <c r="B260" s="678" t="s">
        <v>1043</v>
      </c>
      <c r="C260" s="679" t="s">
        <v>161</v>
      </c>
      <c r="D260" s="679" t="s">
        <v>172</v>
      </c>
      <c r="E260" s="680" t="s">
        <v>303</v>
      </c>
      <c r="F260" s="681" t="s">
        <v>1368</v>
      </c>
      <c r="G260" s="682" t="s">
        <v>7</v>
      </c>
      <c r="H260" s="3"/>
    </row>
    <row r="261" spans="1:8" ht="15" customHeight="1">
      <c r="A261" s="690" t="s">
        <v>1046</v>
      </c>
      <c r="B261" s="678" t="s">
        <v>1045</v>
      </c>
      <c r="C261" s="679" t="s">
        <v>161</v>
      </c>
      <c r="D261" s="679" t="s">
        <v>172</v>
      </c>
      <c r="E261" s="686" t="s">
        <v>341</v>
      </c>
      <c r="F261" s="686"/>
      <c r="G261" s="682" t="e">
        <v>#N/A</v>
      </c>
      <c r="H261" s="3"/>
    </row>
    <row r="262" spans="1:8" ht="15" customHeight="1">
      <c r="A262" s="690" t="s">
        <v>3334</v>
      </c>
      <c r="B262" s="678" t="s">
        <v>1047</v>
      </c>
      <c r="C262" s="679" t="s">
        <v>176</v>
      </c>
      <c r="D262" s="679" t="s">
        <v>177</v>
      </c>
      <c r="E262" s="680" t="s">
        <v>303</v>
      </c>
      <c r="F262" s="681" t="s">
        <v>1368</v>
      </c>
      <c r="G262" s="682" t="s">
        <v>963</v>
      </c>
      <c r="H262" s="3"/>
    </row>
    <row r="263" spans="1:8" ht="15" customHeight="1">
      <c r="A263" s="1020" t="s">
        <v>1049</v>
      </c>
      <c r="B263" s="678" t="s">
        <v>1048</v>
      </c>
      <c r="C263" s="679" t="s">
        <v>176</v>
      </c>
      <c r="D263" s="679" t="s">
        <v>177</v>
      </c>
      <c r="E263" s="686" t="s">
        <v>341</v>
      </c>
      <c r="F263" s="686"/>
      <c r="G263" s="682" t="e">
        <v>#N/A</v>
      </c>
      <c r="H263" s="3"/>
    </row>
    <row r="264" spans="1:8" ht="15" customHeight="1">
      <c r="A264" s="690" t="s">
        <v>3427</v>
      </c>
      <c r="B264" s="678" t="s">
        <v>3426</v>
      </c>
      <c r="C264" s="679" t="s">
        <v>161</v>
      </c>
      <c r="D264" s="679" t="s">
        <v>173</v>
      </c>
      <c r="E264" s="680" t="s">
        <v>303</v>
      </c>
      <c r="F264" s="681" t="s">
        <v>1368</v>
      </c>
      <c r="G264" s="682" t="s">
        <v>7</v>
      </c>
      <c r="H264" s="3"/>
    </row>
    <row r="265" spans="1:8" ht="15" customHeight="1">
      <c r="A265" s="1020" t="s">
        <v>3431</v>
      </c>
      <c r="B265" s="678" t="s">
        <v>3430</v>
      </c>
      <c r="C265" s="679" t="s">
        <v>161</v>
      </c>
      <c r="D265" s="679" t="s">
        <v>173</v>
      </c>
      <c r="E265" s="686" t="s">
        <v>341</v>
      </c>
      <c r="F265" s="686"/>
      <c r="G265" s="682" t="s">
        <v>7</v>
      </c>
      <c r="H265" s="3"/>
    </row>
    <row r="266" spans="1:8" ht="15" customHeight="1">
      <c r="A266" s="690" t="s">
        <v>1051</v>
      </c>
      <c r="B266" s="678" t="s">
        <v>1050</v>
      </c>
      <c r="C266" s="679" t="s">
        <v>176</v>
      </c>
      <c r="D266" s="679" t="s">
        <v>177</v>
      </c>
      <c r="E266" s="680" t="s">
        <v>303</v>
      </c>
      <c r="F266" s="681" t="s">
        <v>1368</v>
      </c>
      <c r="G266" s="682" t="s">
        <v>1285</v>
      </c>
      <c r="H266" s="3"/>
    </row>
    <row r="267" spans="1:8" ht="15" customHeight="1">
      <c r="A267" s="690" t="s">
        <v>1053</v>
      </c>
      <c r="B267" s="678" t="s">
        <v>1052</v>
      </c>
      <c r="C267" s="679" t="s">
        <v>176</v>
      </c>
      <c r="D267" s="679" t="s">
        <v>177</v>
      </c>
      <c r="E267" s="686" t="s">
        <v>341</v>
      </c>
      <c r="F267" s="686"/>
      <c r="G267" s="682" t="s">
        <v>7</v>
      </c>
      <c r="H267" s="3"/>
    </row>
    <row r="268" spans="1:8" ht="15" customHeight="1">
      <c r="A268" s="690" t="s">
        <v>1055</v>
      </c>
      <c r="B268" s="678" t="s">
        <v>1054</v>
      </c>
      <c r="C268" s="679" t="s">
        <v>176</v>
      </c>
      <c r="D268" s="679" t="s">
        <v>177</v>
      </c>
      <c r="E268" s="680" t="s">
        <v>303</v>
      </c>
      <c r="F268" s="681" t="s">
        <v>1368</v>
      </c>
      <c r="G268" s="682" t="s">
        <v>1285</v>
      </c>
      <c r="H268" s="3"/>
    </row>
    <row r="269" spans="1:8" ht="15" customHeight="1">
      <c r="A269" s="690" t="s">
        <v>1057</v>
      </c>
      <c r="B269" s="678" t="s">
        <v>1056</v>
      </c>
      <c r="C269" s="679" t="s">
        <v>176</v>
      </c>
      <c r="D269" s="679" t="s">
        <v>177</v>
      </c>
      <c r="E269" s="686" t="s">
        <v>341</v>
      </c>
      <c r="F269" s="686"/>
      <c r="G269" s="682" t="s">
        <v>7</v>
      </c>
      <c r="H269" s="3"/>
    </row>
    <row r="270" spans="1:8" ht="15" customHeight="1">
      <c r="A270" s="690" t="s">
        <v>1059</v>
      </c>
      <c r="B270" s="678" t="s">
        <v>1058</v>
      </c>
      <c r="C270" s="679" t="s">
        <v>176</v>
      </c>
      <c r="D270" s="679" t="s">
        <v>177</v>
      </c>
      <c r="E270" s="680" t="s">
        <v>303</v>
      </c>
      <c r="F270" s="681" t="s">
        <v>1368</v>
      </c>
      <c r="G270" s="682" t="s">
        <v>1285</v>
      </c>
      <c r="H270" s="3"/>
    </row>
    <row r="271" spans="1:8" ht="15" customHeight="1">
      <c r="A271" s="678" t="s">
        <v>1061</v>
      </c>
      <c r="B271" s="678" t="s">
        <v>1060</v>
      </c>
      <c r="C271" s="679" t="s">
        <v>176</v>
      </c>
      <c r="D271" s="679" t="s">
        <v>177</v>
      </c>
      <c r="E271" s="686" t="s">
        <v>341</v>
      </c>
      <c r="F271" s="686"/>
      <c r="G271" s="682" t="s">
        <v>7</v>
      </c>
      <c r="H271" s="3"/>
    </row>
    <row r="272" spans="1:8" ht="15" customHeight="1">
      <c r="A272" s="690" t="s">
        <v>1063</v>
      </c>
      <c r="B272" s="678" t="s">
        <v>1062</v>
      </c>
      <c r="C272" s="679" t="s">
        <v>180</v>
      </c>
      <c r="D272" s="679" t="s">
        <v>182</v>
      </c>
      <c r="E272" s="680" t="s">
        <v>303</v>
      </c>
      <c r="F272" s="681" t="s">
        <v>1368</v>
      </c>
      <c r="G272" s="682" t="s">
        <v>963</v>
      </c>
      <c r="H272" s="3"/>
    </row>
    <row r="273" spans="1:8" ht="15" customHeight="1">
      <c r="A273" s="690" t="s">
        <v>1065</v>
      </c>
      <c r="B273" s="678" t="s">
        <v>1064</v>
      </c>
      <c r="C273" s="679" t="s">
        <v>180</v>
      </c>
      <c r="D273" s="679" t="s">
        <v>182</v>
      </c>
      <c r="E273" s="686" t="s">
        <v>341</v>
      </c>
      <c r="F273" s="686"/>
      <c r="G273" s="682" t="e">
        <v>#N/A</v>
      </c>
      <c r="H273" s="3"/>
    </row>
    <row r="274" spans="1:8" ht="15" customHeight="1">
      <c r="A274" s="690" t="s">
        <v>1067</v>
      </c>
      <c r="B274" s="678" t="s">
        <v>1066</v>
      </c>
      <c r="C274" s="679" t="s">
        <v>161</v>
      </c>
      <c r="D274" s="679" t="s">
        <v>164</v>
      </c>
      <c r="E274" s="680" t="s">
        <v>303</v>
      </c>
      <c r="F274" s="681" t="s">
        <v>1368</v>
      </c>
      <c r="G274" s="682" t="s">
        <v>7</v>
      </c>
      <c r="H274" s="3"/>
    </row>
    <row r="275" spans="1:8" ht="15" customHeight="1">
      <c r="A275" s="690" t="s">
        <v>1069</v>
      </c>
      <c r="B275" s="678" t="s">
        <v>1068</v>
      </c>
      <c r="C275" s="679" t="s">
        <v>180</v>
      </c>
      <c r="D275" s="679" t="s">
        <v>184</v>
      </c>
      <c r="E275" s="680" t="s">
        <v>303</v>
      </c>
      <c r="F275" s="681" t="s">
        <v>1368</v>
      </c>
      <c r="G275" s="682" t="s">
        <v>963</v>
      </c>
      <c r="H275" s="3"/>
    </row>
    <row r="276" spans="1:8" ht="15" customHeight="1">
      <c r="A276" s="690" t="s">
        <v>1071</v>
      </c>
      <c r="B276" s="678" t="s">
        <v>1070</v>
      </c>
      <c r="C276" s="679" t="s">
        <v>180</v>
      </c>
      <c r="D276" s="679" t="s">
        <v>184</v>
      </c>
      <c r="E276" s="686" t="s">
        <v>341</v>
      </c>
      <c r="F276" s="681"/>
      <c r="G276" s="682" t="s">
        <v>1285</v>
      </c>
      <c r="H276" s="3"/>
    </row>
    <row r="277" spans="1:8" ht="15" customHeight="1">
      <c r="A277" s="690" t="s">
        <v>3417</v>
      </c>
      <c r="B277" s="678" t="s">
        <v>1066</v>
      </c>
      <c r="C277" s="679" t="s">
        <v>161</v>
      </c>
      <c r="D277" s="679" t="s">
        <v>167</v>
      </c>
      <c r="E277" s="680" t="s">
        <v>303</v>
      </c>
      <c r="F277" s="681" t="s">
        <v>1368</v>
      </c>
      <c r="G277" s="682" t="s">
        <v>7</v>
      </c>
      <c r="H277" s="3"/>
    </row>
    <row r="278" spans="1:8" ht="15" customHeight="1">
      <c r="A278" s="690" t="s">
        <v>1073</v>
      </c>
      <c r="B278" s="678" t="s">
        <v>1072</v>
      </c>
      <c r="C278" s="679" t="s">
        <v>180</v>
      </c>
      <c r="D278" s="679" t="s">
        <v>185</v>
      </c>
      <c r="E278" s="680" t="s">
        <v>303</v>
      </c>
      <c r="F278" s="681" t="s">
        <v>1368</v>
      </c>
      <c r="G278" s="682" t="s">
        <v>963</v>
      </c>
      <c r="H278" s="3"/>
    </row>
    <row r="279" spans="1:8" ht="15" customHeight="1">
      <c r="A279" s="690" t="s">
        <v>1075</v>
      </c>
      <c r="B279" s="678" t="s">
        <v>1074</v>
      </c>
      <c r="C279" s="679" t="s">
        <v>180</v>
      </c>
      <c r="D279" s="679" t="s">
        <v>185</v>
      </c>
      <c r="E279" s="686" t="s">
        <v>341</v>
      </c>
      <c r="F279" s="681"/>
      <c r="G279" s="682" t="s">
        <v>7</v>
      </c>
      <c r="H279" s="3"/>
    </row>
    <row r="280" spans="1:8" ht="15" customHeight="1">
      <c r="A280" s="690" t="s">
        <v>1076</v>
      </c>
      <c r="B280" s="678" t="s">
        <v>1066</v>
      </c>
      <c r="C280" s="679" t="s">
        <v>161</v>
      </c>
      <c r="D280" s="679" t="s">
        <v>167</v>
      </c>
      <c r="E280" s="680" t="s">
        <v>303</v>
      </c>
      <c r="F280" s="681" t="s">
        <v>1368</v>
      </c>
      <c r="G280" s="682" t="s">
        <v>7</v>
      </c>
      <c r="H280" s="3"/>
    </row>
    <row r="281" spans="1:8" ht="15" customHeight="1">
      <c r="A281" s="690" t="s">
        <v>1142</v>
      </c>
      <c r="B281" s="678" t="s">
        <v>1077</v>
      </c>
      <c r="C281" s="679" t="s">
        <v>180</v>
      </c>
      <c r="D281" s="679" t="s">
        <v>182</v>
      </c>
      <c r="E281" s="680" t="s">
        <v>303</v>
      </c>
      <c r="F281" s="681" t="s">
        <v>1368</v>
      </c>
      <c r="G281" s="682" t="s">
        <v>963</v>
      </c>
      <c r="H281" s="3"/>
    </row>
    <row r="282" spans="1:8" ht="15" customHeight="1">
      <c r="A282" s="678" t="s">
        <v>1080</v>
      </c>
      <c r="B282" s="678" t="s">
        <v>1079</v>
      </c>
      <c r="C282" s="679" t="s">
        <v>180</v>
      </c>
      <c r="D282" s="679" t="s">
        <v>182</v>
      </c>
      <c r="E282" s="686" t="s">
        <v>341</v>
      </c>
      <c r="F282" s="681"/>
      <c r="G282" s="682" t="s">
        <v>1285</v>
      </c>
      <c r="H282" s="3"/>
    </row>
    <row r="283" spans="1:8" ht="15" customHeight="1">
      <c r="A283" s="690" t="s">
        <v>3383</v>
      </c>
      <c r="B283" s="678" t="s">
        <v>1081</v>
      </c>
      <c r="C283" s="679" t="s">
        <v>180</v>
      </c>
      <c r="D283" s="679" t="s">
        <v>185</v>
      </c>
      <c r="E283" s="680" t="s">
        <v>303</v>
      </c>
      <c r="F283" s="681" t="s">
        <v>1368</v>
      </c>
      <c r="G283" s="682" t="s">
        <v>7</v>
      </c>
      <c r="H283" s="3"/>
    </row>
    <row r="284" spans="1:8" ht="15" customHeight="1">
      <c r="A284" s="1036" t="s">
        <v>1083</v>
      </c>
      <c r="B284" s="678" t="s">
        <v>1082</v>
      </c>
      <c r="C284" s="679" t="s">
        <v>180</v>
      </c>
      <c r="D284" s="679" t="s">
        <v>185</v>
      </c>
      <c r="E284" s="686" t="s">
        <v>341</v>
      </c>
      <c r="F284" s="681"/>
      <c r="G284" s="682" t="s">
        <v>7</v>
      </c>
      <c r="H284" s="3"/>
    </row>
    <row r="285" spans="1:8" ht="15" customHeight="1">
      <c r="A285" s="678" t="s">
        <v>2022</v>
      </c>
      <c r="B285" s="678" t="s">
        <v>1077</v>
      </c>
      <c r="C285" s="679" t="s">
        <v>180</v>
      </c>
      <c r="D285" s="679" t="s">
        <v>182</v>
      </c>
      <c r="E285" s="680" t="s">
        <v>303</v>
      </c>
      <c r="F285" s="681" t="s">
        <v>1368</v>
      </c>
      <c r="G285" s="680" t="s">
        <v>963</v>
      </c>
      <c r="H285" s="3"/>
    </row>
    <row r="286" spans="1:8" ht="15" customHeight="1">
      <c r="A286" s="690" t="s">
        <v>1427</v>
      </c>
      <c r="B286" s="678" t="s">
        <v>1428</v>
      </c>
      <c r="C286" s="679" t="s">
        <v>180</v>
      </c>
      <c r="D286" s="679" t="s">
        <v>182</v>
      </c>
      <c r="E286" s="686" t="s">
        <v>341</v>
      </c>
      <c r="F286" s="681"/>
      <c r="G286" s="680" t="s">
        <v>1285</v>
      </c>
      <c r="H286" s="3"/>
    </row>
    <row r="287" spans="1:8" ht="15" customHeight="1">
      <c r="A287" s="690" t="s">
        <v>1086</v>
      </c>
      <c r="B287" s="678" t="s">
        <v>1085</v>
      </c>
      <c r="C287" s="679" t="s">
        <v>180</v>
      </c>
      <c r="D287" s="679" t="s">
        <v>183</v>
      </c>
      <c r="E287" s="680" t="s">
        <v>303</v>
      </c>
      <c r="F287" s="681" t="s">
        <v>1368</v>
      </c>
      <c r="G287" s="682" t="s">
        <v>963</v>
      </c>
      <c r="H287" s="3"/>
    </row>
    <row r="288" spans="1:8" ht="15" customHeight="1">
      <c r="A288" s="690" t="s">
        <v>1088</v>
      </c>
      <c r="B288" s="678" t="s">
        <v>1087</v>
      </c>
      <c r="C288" s="679" t="s">
        <v>180</v>
      </c>
      <c r="D288" s="679" t="s">
        <v>183</v>
      </c>
      <c r="E288" s="686" t="s">
        <v>341</v>
      </c>
      <c r="F288" s="681"/>
      <c r="G288" s="682" t="s">
        <v>7</v>
      </c>
      <c r="H288" s="3"/>
    </row>
    <row r="289" spans="1:8" ht="15" customHeight="1">
      <c r="A289" s="690" t="s">
        <v>1090</v>
      </c>
      <c r="B289" s="685" t="s">
        <v>1089</v>
      </c>
      <c r="C289" s="679" t="s">
        <v>180</v>
      </c>
      <c r="D289" s="679" t="s">
        <v>183</v>
      </c>
      <c r="E289" s="680" t="s">
        <v>303</v>
      </c>
      <c r="F289" s="681" t="s">
        <v>1368</v>
      </c>
      <c r="G289" s="682" t="s">
        <v>7</v>
      </c>
      <c r="H289" s="3"/>
    </row>
    <row r="290" spans="1:8" ht="15" customHeight="1">
      <c r="A290" s="690" t="s">
        <v>1092</v>
      </c>
      <c r="B290" s="685" t="s">
        <v>1091</v>
      </c>
      <c r="C290" s="679" t="s">
        <v>180</v>
      </c>
      <c r="D290" s="679" t="s">
        <v>183</v>
      </c>
      <c r="E290" s="686" t="s">
        <v>341</v>
      </c>
      <c r="F290" s="681"/>
      <c r="G290" s="682" t="s">
        <v>1285</v>
      </c>
      <c r="H290" s="3"/>
    </row>
    <row r="291" spans="1:8" ht="15" customHeight="1">
      <c r="A291" s="678" t="s">
        <v>1094</v>
      </c>
      <c r="B291" s="685" t="s">
        <v>1093</v>
      </c>
      <c r="C291" s="679" t="s">
        <v>180</v>
      </c>
      <c r="D291" s="679" t="s">
        <v>183</v>
      </c>
      <c r="E291" s="680" t="s">
        <v>303</v>
      </c>
      <c r="F291" s="681" t="s">
        <v>1368</v>
      </c>
      <c r="G291" s="682" t="e">
        <v>#N/A</v>
      </c>
      <c r="H291" s="3"/>
    </row>
    <row r="292" spans="1:8" ht="15" customHeight="1">
      <c r="A292" s="690" t="s">
        <v>1096</v>
      </c>
      <c r="B292" s="685" t="s">
        <v>1095</v>
      </c>
      <c r="C292" s="679" t="s">
        <v>180</v>
      </c>
      <c r="D292" s="679" t="s">
        <v>183</v>
      </c>
      <c r="E292" s="686" t="s">
        <v>341</v>
      </c>
      <c r="F292" s="681"/>
      <c r="G292" s="682" t="s">
        <v>7</v>
      </c>
      <c r="H292" s="3"/>
    </row>
    <row r="293" spans="1:8" ht="15" customHeight="1">
      <c r="A293" s="690" t="s">
        <v>1098</v>
      </c>
      <c r="B293" s="685" t="s">
        <v>1097</v>
      </c>
      <c r="C293" s="679" t="s">
        <v>180</v>
      </c>
      <c r="D293" s="679" t="s">
        <v>186</v>
      </c>
      <c r="E293" s="680" t="s">
        <v>303</v>
      </c>
      <c r="F293" s="681" t="s">
        <v>1368</v>
      </c>
      <c r="G293" s="682" t="e">
        <v>#N/A</v>
      </c>
      <c r="H293" s="3"/>
    </row>
    <row r="294" spans="1:8" ht="15" customHeight="1">
      <c r="A294" s="690" t="s">
        <v>1100</v>
      </c>
      <c r="B294" s="685" t="s">
        <v>1099</v>
      </c>
      <c r="C294" s="679" t="s">
        <v>180</v>
      </c>
      <c r="D294" s="679" t="s">
        <v>186</v>
      </c>
      <c r="E294" s="686" t="s">
        <v>341</v>
      </c>
      <c r="F294" s="681"/>
      <c r="G294" s="682" t="s">
        <v>1285</v>
      </c>
      <c r="H294" s="3"/>
    </row>
    <row r="295" spans="1:8" ht="15" customHeight="1">
      <c r="A295" s="690" t="s">
        <v>1102</v>
      </c>
      <c r="B295" s="685" t="s">
        <v>1101</v>
      </c>
      <c r="C295" s="679" t="s">
        <v>180</v>
      </c>
      <c r="D295" s="679" t="s">
        <v>187</v>
      </c>
      <c r="E295" s="680" t="s">
        <v>303</v>
      </c>
      <c r="F295" s="681" t="s">
        <v>1368</v>
      </c>
      <c r="G295" s="682" t="e">
        <v>#N/A</v>
      </c>
      <c r="H295" s="3"/>
    </row>
    <row r="296" spans="1:8" ht="15" customHeight="1">
      <c r="A296" s="690" t="s">
        <v>1104</v>
      </c>
      <c r="B296" s="685" t="s">
        <v>1103</v>
      </c>
      <c r="C296" s="679" t="s">
        <v>180</v>
      </c>
      <c r="D296" s="679" t="s">
        <v>187</v>
      </c>
      <c r="E296" s="686" t="s">
        <v>341</v>
      </c>
      <c r="F296" s="681"/>
      <c r="G296" s="682" t="s">
        <v>7</v>
      </c>
      <c r="H296" s="3"/>
    </row>
    <row r="297" spans="1:8" ht="15" customHeight="1">
      <c r="A297" s="690" t="s">
        <v>1106</v>
      </c>
      <c r="B297" s="685" t="s">
        <v>1105</v>
      </c>
      <c r="C297" s="679" t="s">
        <v>180</v>
      </c>
      <c r="D297" s="679" t="s">
        <v>191</v>
      </c>
      <c r="E297" s="680" t="s">
        <v>303</v>
      </c>
      <c r="F297" s="681" t="s">
        <v>1368</v>
      </c>
      <c r="G297" s="682" t="e">
        <v>#N/A</v>
      </c>
      <c r="H297" s="3"/>
    </row>
    <row r="298" spans="1:8" ht="15" customHeight="1">
      <c r="A298" s="690" t="s">
        <v>1107</v>
      </c>
      <c r="B298" s="685" t="s">
        <v>1105</v>
      </c>
      <c r="C298" s="679" t="s">
        <v>180</v>
      </c>
      <c r="D298" s="679" t="s">
        <v>191</v>
      </c>
      <c r="E298" s="686" t="s">
        <v>341</v>
      </c>
      <c r="F298" s="681"/>
      <c r="G298" s="682" t="s">
        <v>1285</v>
      </c>
      <c r="H298" s="3"/>
    </row>
    <row r="299" spans="1:8" ht="15" customHeight="1">
      <c r="A299" s="690" t="s">
        <v>2050</v>
      </c>
      <c r="B299" s="685" t="s">
        <v>1108</v>
      </c>
      <c r="C299" s="679" t="s">
        <v>180</v>
      </c>
      <c r="D299" s="679" t="s">
        <v>191</v>
      </c>
      <c r="E299" s="680" t="s">
        <v>303</v>
      </c>
      <c r="F299" s="681" t="s">
        <v>1368</v>
      </c>
      <c r="G299" s="682" t="s">
        <v>963</v>
      </c>
      <c r="H299" s="3"/>
    </row>
    <row r="300" spans="1:8" ht="15" customHeight="1">
      <c r="A300" s="1019" t="s">
        <v>785</v>
      </c>
      <c r="B300" s="695" t="s">
        <v>724</v>
      </c>
      <c r="C300" s="693"/>
      <c r="D300" s="679"/>
      <c r="E300" s="686"/>
      <c r="F300" s="681"/>
      <c r="G300" s="682" t="s">
        <v>816</v>
      </c>
      <c r="H300" s="3"/>
    </row>
    <row r="301" spans="1:8" ht="15" customHeight="1">
      <c r="A301" s="1019" t="s">
        <v>2055</v>
      </c>
      <c r="B301" s="694" t="s">
        <v>784</v>
      </c>
      <c r="C301" s="679"/>
      <c r="D301" s="679"/>
      <c r="E301" s="680" t="s">
        <v>303</v>
      </c>
      <c r="F301" s="680"/>
      <c r="G301" s="682" t="e">
        <v>#N/A</v>
      </c>
      <c r="H301" s="3"/>
    </row>
    <row r="302" spans="1:8" ht="15" customHeight="1">
      <c r="A302" s="692" t="s">
        <v>2058</v>
      </c>
      <c r="B302" s="694" t="s">
        <v>1109</v>
      </c>
      <c r="C302" s="679" t="s">
        <v>92</v>
      </c>
      <c r="D302" s="679" t="s">
        <v>104</v>
      </c>
      <c r="E302" s="680" t="s">
        <v>303</v>
      </c>
      <c r="F302" s="681"/>
      <c r="G302" s="682" t="s">
        <v>7</v>
      </c>
      <c r="H302" s="3"/>
    </row>
    <row r="303" spans="1:8" ht="15" customHeight="1">
      <c r="A303" s="1019" t="s">
        <v>2061</v>
      </c>
      <c r="B303" s="685" t="s">
        <v>1380</v>
      </c>
      <c r="C303" s="679" t="s">
        <v>92</v>
      </c>
      <c r="D303" s="679" t="s">
        <v>97</v>
      </c>
      <c r="E303" s="680" t="s">
        <v>303</v>
      </c>
      <c r="F303" s="680"/>
      <c r="G303" s="680" t="s">
        <v>963</v>
      </c>
      <c r="H303" s="3"/>
    </row>
    <row r="304" spans="1:8" ht="15" customHeight="1">
      <c r="A304" s="1019" t="s">
        <v>2064</v>
      </c>
      <c r="B304" s="1041" t="s">
        <v>1381</v>
      </c>
      <c r="C304" s="679" t="s">
        <v>92</v>
      </c>
      <c r="D304" s="679" t="s">
        <v>97</v>
      </c>
      <c r="E304" s="680" t="s">
        <v>303</v>
      </c>
      <c r="F304" s="680"/>
      <c r="G304" s="680" t="s">
        <v>7</v>
      </c>
      <c r="H304" s="3"/>
    </row>
    <row r="305" spans="1:8" ht="15" customHeight="1">
      <c r="A305" s="1019" t="s">
        <v>2067</v>
      </c>
      <c r="B305" s="695" t="s">
        <v>1382</v>
      </c>
      <c r="C305" s="693" t="s">
        <v>92</v>
      </c>
      <c r="D305" s="679" t="s">
        <v>97</v>
      </c>
      <c r="E305" s="680" t="s">
        <v>303</v>
      </c>
      <c r="F305" s="680"/>
      <c r="G305" s="680" t="s">
        <v>963</v>
      </c>
      <c r="H305" s="3"/>
    </row>
    <row r="306" spans="1:8" ht="15" customHeight="1">
      <c r="A306" s="690" t="s">
        <v>2070</v>
      </c>
      <c r="B306" s="678" t="s">
        <v>1111</v>
      </c>
      <c r="C306" s="679" t="s">
        <v>92</v>
      </c>
      <c r="D306" s="679" t="s">
        <v>97</v>
      </c>
      <c r="E306" s="680" t="s">
        <v>303</v>
      </c>
      <c r="F306" s="680"/>
      <c r="G306" s="682" t="s">
        <v>7</v>
      </c>
      <c r="H306" s="3"/>
    </row>
    <row r="307" spans="1:8" ht="15" customHeight="1">
      <c r="A307" s="690" t="s">
        <v>1113</v>
      </c>
      <c r="B307" s="685" t="s">
        <v>786</v>
      </c>
      <c r="C307" s="679"/>
      <c r="D307" s="679"/>
      <c r="E307" s="680" t="s">
        <v>303</v>
      </c>
      <c r="F307" s="680"/>
      <c r="G307" s="682" t="e">
        <v>#N/A</v>
      </c>
      <c r="H307" s="3"/>
    </row>
    <row r="308" spans="1:8" ht="15" customHeight="1">
      <c r="A308" s="690" t="s">
        <v>2075</v>
      </c>
      <c r="B308" s="678" t="s">
        <v>1383</v>
      </c>
      <c r="C308" s="679" t="s">
        <v>92</v>
      </c>
      <c r="D308" s="679" t="s">
        <v>97</v>
      </c>
      <c r="E308" s="680" t="s">
        <v>303</v>
      </c>
      <c r="F308" s="680"/>
      <c r="G308" s="682" t="s">
        <v>963</v>
      </c>
      <c r="H308" s="3"/>
    </row>
    <row r="309" spans="1:8" ht="15" customHeight="1">
      <c r="A309" s="690" t="s">
        <v>2078</v>
      </c>
      <c r="B309" s="685" t="s">
        <v>1384</v>
      </c>
      <c r="C309" s="679" t="s">
        <v>92</v>
      </c>
      <c r="D309" s="679" t="s">
        <v>97</v>
      </c>
      <c r="E309" s="680" t="s">
        <v>303</v>
      </c>
      <c r="F309" s="680"/>
      <c r="G309" s="680" t="s">
        <v>7</v>
      </c>
      <c r="H309" s="3"/>
    </row>
    <row r="310" spans="1:8" ht="15" customHeight="1">
      <c r="A310" s="690" t="s">
        <v>2081</v>
      </c>
      <c r="B310" s="678" t="s">
        <v>1385</v>
      </c>
      <c r="C310" s="679" t="s">
        <v>92</v>
      </c>
      <c r="D310" s="679" t="s">
        <v>97</v>
      </c>
      <c r="E310" s="680" t="s">
        <v>303</v>
      </c>
      <c r="F310" s="680"/>
      <c r="G310" s="680" t="s">
        <v>963</v>
      </c>
      <c r="H310" s="3"/>
    </row>
    <row r="311" spans="1:8" ht="15" customHeight="1">
      <c r="A311" s="690" t="s">
        <v>3384</v>
      </c>
      <c r="B311" s="685" t="s">
        <v>1112</v>
      </c>
      <c r="C311" s="679" t="s">
        <v>92</v>
      </c>
      <c r="D311" s="679" t="s">
        <v>98</v>
      </c>
      <c r="E311" s="680" t="s">
        <v>303</v>
      </c>
      <c r="F311" s="680"/>
      <c r="G311" s="682" t="s">
        <v>7</v>
      </c>
      <c r="H311" s="3"/>
    </row>
    <row r="312" spans="1:8" ht="15" customHeight="1">
      <c r="A312" s="690" t="s">
        <v>2084</v>
      </c>
      <c r="B312" s="685" t="s">
        <v>1114</v>
      </c>
      <c r="C312" s="679" t="s">
        <v>92</v>
      </c>
      <c r="D312" s="679" t="s">
        <v>98</v>
      </c>
      <c r="E312" s="680" t="s">
        <v>303</v>
      </c>
      <c r="F312" s="680"/>
      <c r="G312" s="682" t="s">
        <v>963</v>
      </c>
      <c r="H312" s="3"/>
    </row>
    <row r="313" spans="1:8" ht="15" customHeight="1">
      <c r="A313" s="690" t="s">
        <v>2087</v>
      </c>
      <c r="B313" s="678" t="s">
        <v>787</v>
      </c>
      <c r="C313" s="679"/>
      <c r="D313" s="679"/>
      <c r="E313" s="680" t="s">
        <v>303</v>
      </c>
      <c r="F313" s="680"/>
      <c r="G313" s="682" t="e">
        <v>#N/A</v>
      </c>
      <c r="H313" s="3"/>
    </row>
    <row r="314" spans="1:8" ht="15" customHeight="1">
      <c r="A314" s="690" t="s">
        <v>3385</v>
      </c>
      <c r="B314" s="685" t="s">
        <v>1115</v>
      </c>
      <c r="C314" s="679" t="s">
        <v>92</v>
      </c>
      <c r="D314" s="679" t="s">
        <v>98</v>
      </c>
      <c r="E314" s="680" t="s">
        <v>303</v>
      </c>
      <c r="F314" s="681"/>
      <c r="G314" s="682" t="s">
        <v>7</v>
      </c>
      <c r="H314" s="3"/>
    </row>
    <row r="315" spans="1:8" ht="15" customHeight="1">
      <c r="A315" s="690" t="s">
        <v>2090</v>
      </c>
      <c r="B315" s="678" t="s">
        <v>1116</v>
      </c>
      <c r="C315" s="679" t="s">
        <v>92</v>
      </c>
      <c r="D315" s="679" t="s">
        <v>97</v>
      </c>
      <c r="E315" s="680" t="s">
        <v>303</v>
      </c>
      <c r="F315" s="680"/>
      <c r="G315" s="682" t="s">
        <v>963</v>
      </c>
      <c r="H315" s="3"/>
    </row>
    <row r="316" spans="1:8" ht="15" customHeight="1">
      <c r="A316" s="690" t="s">
        <v>2093</v>
      </c>
      <c r="B316" s="678" t="s">
        <v>1117</v>
      </c>
      <c r="C316" s="679" t="s">
        <v>92</v>
      </c>
      <c r="D316" s="679" t="s">
        <v>98</v>
      </c>
      <c r="E316" s="680" t="s">
        <v>303</v>
      </c>
      <c r="F316" s="680"/>
      <c r="G316" s="682" t="e">
        <v>#N/A</v>
      </c>
      <c r="H316" s="3"/>
    </row>
    <row r="317" spans="1:8" ht="15" customHeight="1">
      <c r="A317" s="690" t="s">
        <v>2096</v>
      </c>
      <c r="B317" s="685" t="s">
        <v>1386</v>
      </c>
      <c r="C317" s="679" t="s">
        <v>92</v>
      </c>
      <c r="D317" s="679" t="s">
        <v>97</v>
      </c>
      <c r="E317" s="680" t="s">
        <v>303</v>
      </c>
      <c r="F317" s="680"/>
      <c r="G317" s="680" t="s">
        <v>2</v>
      </c>
      <c r="H317" s="3"/>
    </row>
    <row r="318" spans="1:8" ht="15" customHeight="1">
      <c r="A318" s="690" t="s">
        <v>2099</v>
      </c>
      <c r="B318" s="678" t="s">
        <v>1118</v>
      </c>
      <c r="C318" s="679" t="s">
        <v>92</v>
      </c>
      <c r="D318" s="679" t="s">
        <v>103</v>
      </c>
      <c r="E318" s="680" t="s">
        <v>303</v>
      </c>
      <c r="F318" s="680"/>
      <c r="G318" s="682" t="s">
        <v>1110</v>
      </c>
      <c r="H318" s="3"/>
    </row>
    <row r="319" spans="1:8" ht="15" customHeight="1">
      <c r="A319" s="690" t="s">
        <v>2102</v>
      </c>
      <c r="B319" s="685" t="s">
        <v>1118</v>
      </c>
      <c r="C319" s="679" t="s">
        <v>92</v>
      </c>
      <c r="D319" s="679" t="s">
        <v>102</v>
      </c>
      <c r="E319" s="680" t="s">
        <v>303</v>
      </c>
      <c r="F319" s="680"/>
      <c r="G319" s="682" t="e">
        <v>#N/A</v>
      </c>
      <c r="H319" s="3"/>
    </row>
    <row r="320" spans="1:8" ht="15" customHeight="1">
      <c r="A320" s="690" t="s">
        <v>3896</v>
      </c>
      <c r="B320" s="685" t="s">
        <v>3895</v>
      </c>
      <c r="C320" s="679" t="s">
        <v>92</v>
      </c>
      <c r="D320" s="679" t="s">
        <v>98</v>
      </c>
      <c r="E320" s="680" t="s">
        <v>303</v>
      </c>
      <c r="F320" s="680"/>
      <c r="G320" s="682" t="e">
        <v>#N/A</v>
      </c>
      <c r="H320" s="3"/>
    </row>
    <row r="321" spans="1:8" ht="15" customHeight="1">
      <c r="A321" s="690" t="s">
        <v>1120</v>
      </c>
      <c r="B321" s="678" t="s">
        <v>788</v>
      </c>
      <c r="C321" s="679"/>
      <c r="D321" s="679"/>
      <c r="E321" s="680" t="s">
        <v>303</v>
      </c>
      <c r="F321" s="680"/>
      <c r="G321" s="682" t="e">
        <v>#N/A</v>
      </c>
      <c r="H321" s="3"/>
    </row>
    <row r="322" spans="1:8" ht="15" customHeight="1">
      <c r="A322" s="690" t="s">
        <v>3386</v>
      </c>
      <c r="B322" s="678" t="s">
        <v>1119</v>
      </c>
      <c r="C322" s="679" t="s">
        <v>92</v>
      </c>
      <c r="D322" s="679" t="s">
        <v>97</v>
      </c>
      <c r="E322" s="680" t="s">
        <v>303</v>
      </c>
      <c r="F322" s="680"/>
      <c r="G322" s="682" t="e">
        <v>#N/A</v>
      </c>
      <c r="H322" s="3"/>
    </row>
    <row r="323" spans="1:8" ht="15" customHeight="1">
      <c r="A323" s="690" t="s">
        <v>2107</v>
      </c>
      <c r="B323" s="685" t="s">
        <v>1335</v>
      </c>
      <c r="C323" s="679"/>
      <c r="D323" s="679"/>
      <c r="E323" s="680" t="s">
        <v>303</v>
      </c>
      <c r="F323" s="680"/>
      <c r="G323" s="680" t="s">
        <v>816</v>
      </c>
      <c r="H323" s="3"/>
    </row>
    <row r="324" spans="1:8" ht="15" customHeight="1">
      <c r="A324" s="690" t="s">
        <v>2110</v>
      </c>
      <c r="B324" s="678" t="s">
        <v>789</v>
      </c>
      <c r="C324" s="679"/>
      <c r="D324" s="679"/>
      <c r="E324" s="680" t="s">
        <v>303</v>
      </c>
      <c r="F324" s="680"/>
      <c r="G324" s="682" t="e">
        <v>#N/A</v>
      </c>
      <c r="H324" s="3"/>
    </row>
    <row r="325" spans="1:8" ht="15" customHeight="1">
      <c r="A325" s="690" t="s">
        <v>2113</v>
      </c>
      <c r="B325" s="685" t="s">
        <v>1121</v>
      </c>
      <c r="C325" s="679" t="s">
        <v>152</v>
      </c>
      <c r="D325" s="679" t="s">
        <v>153</v>
      </c>
      <c r="E325" s="680" t="s">
        <v>303</v>
      </c>
      <c r="F325" s="680"/>
      <c r="G325" s="682" t="e">
        <v>#N/A</v>
      </c>
      <c r="H325" s="3"/>
    </row>
    <row r="326" spans="1:8" ht="15" customHeight="1">
      <c r="A326" s="690" t="s">
        <v>2116</v>
      </c>
      <c r="B326" s="678" t="s">
        <v>1122</v>
      </c>
      <c r="C326" s="679" t="s">
        <v>152</v>
      </c>
      <c r="D326" s="679" t="s">
        <v>153</v>
      </c>
      <c r="E326" s="680" t="s">
        <v>303</v>
      </c>
      <c r="F326" s="680"/>
      <c r="G326" s="682" t="s">
        <v>1110</v>
      </c>
      <c r="H326" s="3"/>
    </row>
    <row r="327" spans="1:8" ht="15" customHeight="1">
      <c r="A327" s="690" t="s">
        <v>2119</v>
      </c>
      <c r="B327" s="685" t="s">
        <v>790</v>
      </c>
      <c r="C327" s="679"/>
      <c r="D327" s="679"/>
      <c r="E327" s="680" t="s">
        <v>303</v>
      </c>
      <c r="F327" s="680"/>
      <c r="G327" s="682" t="s">
        <v>816</v>
      </c>
      <c r="H327" s="3"/>
    </row>
    <row r="328" spans="1:8" ht="15" customHeight="1">
      <c r="A328" s="690" t="s">
        <v>2122</v>
      </c>
      <c r="B328" s="685" t="s">
        <v>1123</v>
      </c>
      <c r="C328" s="679" t="s">
        <v>152</v>
      </c>
      <c r="D328" s="679" t="s">
        <v>154</v>
      </c>
      <c r="E328" s="680" t="s">
        <v>303</v>
      </c>
      <c r="F328" s="680"/>
      <c r="G328" s="682" t="s">
        <v>2</v>
      </c>
      <c r="H328" s="3"/>
    </row>
    <row r="329" spans="1:8" ht="15" customHeight="1">
      <c r="A329" s="690" t="s">
        <v>2125</v>
      </c>
      <c r="B329" s="678" t="s">
        <v>1124</v>
      </c>
      <c r="C329" s="679" t="s">
        <v>152</v>
      </c>
      <c r="D329" s="679" t="s">
        <v>154</v>
      </c>
      <c r="E329" s="680" t="s">
        <v>303</v>
      </c>
      <c r="F329" s="680"/>
      <c r="G329" s="682" t="s">
        <v>1110</v>
      </c>
      <c r="H329" s="3"/>
    </row>
    <row r="330" spans="1:8" ht="15" customHeight="1">
      <c r="A330" s="690" t="s">
        <v>2128</v>
      </c>
      <c r="B330" s="685" t="s">
        <v>791</v>
      </c>
      <c r="C330" s="679"/>
      <c r="D330" s="679"/>
      <c r="E330" s="680" t="s">
        <v>303</v>
      </c>
      <c r="F330" s="680"/>
      <c r="G330" s="682" t="s">
        <v>816</v>
      </c>
      <c r="H330" s="3"/>
    </row>
    <row r="331" spans="1:8" ht="15" customHeight="1">
      <c r="A331" s="690" t="s">
        <v>2131</v>
      </c>
      <c r="B331" s="685" t="s">
        <v>792</v>
      </c>
      <c r="C331" s="679"/>
      <c r="D331" s="679"/>
      <c r="E331" s="680" t="s">
        <v>303</v>
      </c>
      <c r="F331" s="680"/>
      <c r="G331" s="682" t="e">
        <v>#N/A</v>
      </c>
      <c r="H331" s="3"/>
    </row>
    <row r="332" spans="1:8" ht="15" customHeight="1">
      <c r="A332" s="678" t="s">
        <v>2133</v>
      </c>
      <c r="B332" s="685" t="s">
        <v>793</v>
      </c>
      <c r="C332" s="679"/>
      <c r="D332" s="679"/>
      <c r="E332" s="680" t="s">
        <v>303</v>
      </c>
      <c r="F332" s="680"/>
      <c r="G332" s="682" t="s">
        <v>816</v>
      </c>
      <c r="H332" s="3"/>
    </row>
    <row r="333" spans="1:8" ht="15" customHeight="1">
      <c r="A333" s="690" t="s">
        <v>2136</v>
      </c>
      <c r="B333" s="678" t="s">
        <v>1014</v>
      </c>
      <c r="C333" s="679" t="s">
        <v>152</v>
      </c>
      <c r="D333" s="679" t="s">
        <v>3859</v>
      </c>
      <c r="E333" s="680" t="s">
        <v>303</v>
      </c>
      <c r="F333" s="680"/>
      <c r="G333" s="682" t="e">
        <v>#N/A</v>
      </c>
      <c r="H333" s="3"/>
    </row>
    <row r="334" spans="1:8" ht="15" customHeight="1">
      <c r="A334" s="678" t="s">
        <v>2139</v>
      </c>
      <c r="B334" s="685" t="s">
        <v>1125</v>
      </c>
      <c r="C334" s="679" t="s">
        <v>152</v>
      </c>
      <c r="D334" s="679" t="s">
        <v>154</v>
      </c>
      <c r="E334" s="680" t="s">
        <v>303</v>
      </c>
      <c r="F334" s="680"/>
      <c r="G334" s="682" t="e">
        <v>#N/A</v>
      </c>
      <c r="H334" s="3"/>
    </row>
    <row r="335" spans="1:8" ht="15" customHeight="1">
      <c r="A335" s="690" t="s">
        <v>2142</v>
      </c>
      <c r="B335" s="685" t="s">
        <v>1018</v>
      </c>
      <c r="C335" s="679" t="s">
        <v>152</v>
      </c>
      <c r="D335" s="679" t="s">
        <v>156</v>
      </c>
      <c r="E335" s="680" t="s">
        <v>303</v>
      </c>
      <c r="F335" s="680"/>
      <c r="G335" s="682" t="s">
        <v>1110</v>
      </c>
      <c r="H335" s="3"/>
    </row>
    <row r="336" spans="1:8" ht="15" customHeight="1">
      <c r="A336" s="690" t="s">
        <v>2145</v>
      </c>
      <c r="B336" s="678" t="s">
        <v>1126</v>
      </c>
      <c r="C336" s="679" t="s">
        <v>161</v>
      </c>
      <c r="D336" s="679" t="s">
        <v>164</v>
      </c>
      <c r="E336" s="680" t="s">
        <v>303</v>
      </c>
      <c r="F336" s="680"/>
      <c r="G336" s="682" t="s">
        <v>1110</v>
      </c>
      <c r="H336" s="3"/>
    </row>
    <row r="337" spans="1:8" ht="15" customHeight="1">
      <c r="A337" s="690" t="s">
        <v>2148</v>
      </c>
      <c r="B337" s="685" t="s">
        <v>1127</v>
      </c>
      <c r="C337" s="679" t="s">
        <v>161</v>
      </c>
      <c r="D337" s="679" t="s">
        <v>168</v>
      </c>
      <c r="E337" s="680" t="s">
        <v>303</v>
      </c>
      <c r="F337" s="680"/>
      <c r="G337" s="682" t="s">
        <v>2</v>
      </c>
      <c r="H337" s="3"/>
    </row>
    <row r="338" spans="1:8" ht="15" customHeight="1">
      <c r="A338" s="690" t="s">
        <v>2151</v>
      </c>
      <c r="B338" s="685" t="s">
        <v>1128</v>
      </c>
      <c r="C338" s="679" t="s">
        <v>161</v>
      </c>
      <c r="D338" s="679" t="s">
        <v>166</v>
      </c>
      <c r="E338" s="680" t="s">
        <v>303</v>
      </c>
      <c r="F338" s="680"/>
      <c r="G338" s="682" t="e">
        <v>#N/A</v>
      </c>
      <c r="H338" s="3"/>
    </row>
    <row r="339" spans="1:8" ht="15" customHeight="1">
      <c r="A339" s="690" t="s">
        <v>2154</v>
      </c>
      <c r="B339" s="685" t="s">
        <v>1129</v>
      </c>
      <c r="C339" s="679" t="s">
        <v>161</v>
      </c>
      <c r="D339" s="679" t="s">
        <v>167</v>
      </c>
      <c r="E339" s="680" t="s">
        <v>303</v>
      </c>
      <c r="F339" s="680"/>
      <c r="G339" s="682" t="s">
        <v>1110</v>
      </c>
      <c r="H339" s="3"/>
    </row>
    <row r="340" spans="1:8" ht="15" customHeight="1">
      <c r="A340" s="690" t="s">
        <v>2157</v>
      </c>
      <c r="B340" s="685" t="s">
        <v>794</v>
      </c>
      <c r="C340" s="679"/>
      <c r="D340" s="679"/>
      <c r="E340" s="680" t="s">
        <v>303</v>
      </c>
      <c r="F340" s="680"/>
      <c r="G340" s="682" t="e">
        <v>#N/A</v>
      </c>
      <c r="H340" s="3"/>
    </row>
    <row r="341" spans="1:8" ht="15" customHeight="1">
      <c r="A341" s="690" t="s">
        <v>2160</v>
      </c>
      <c r="B341" s="685" t="s">
        <v>1130</v>
      </c>
      <c r="C341" s="679" t="s">
        <v>161</v>
      </c>
      <c r="D341" s="679" t="s">
        <v>169</v>
      </c>
      <c r="E341" s="680" t="s">
        <v>303</v>
      </c>
      <c r="F341" s="680"/>
      <c r="G341" s="682" t="s">
        <v>1110</v>
      </c>
      <c r="H341" s="3"/>
    </row>
    <row r="342" spans="1:8" ht="15" customHeight="1">
      <c r="A342" s="690" t="s">
        <v>2163</v>
      </c>
      <c r="B342" s="678" t="s">
        <v>795</v>
      </c>
      <c r="C342" s="679"/>
      <c r="D342" s="679"/>
      <c r="E342" s="680" t="s">
        <v>303</v>
      </c>
      <c r="F342" s="680"/>
      <c r="G342" s="682" t="s">
        <v>816</v>
      </c>
      <c r="H342" s="3"/>
    </row>
    <row r="343" spans="1:8" ht="15" customHeight="1">
      <c r="A343" s="690" t="s">
        <v>2166</v>
      </c>
      <c r="B343" s="695" t="s">
        <v>1033</v>
      </c>
      <c r="C343" s="693" t="s">
        <v>180</v>
      </c>
      <c r="D343" s="679" t="s">
        <v>192</v>
      </c>
      <c r="E343" s="680" t="s">
        <v>303</v>
      </c>
      <c r="F343" s="680"/>
      <c r="G343" s="682" t="e">
        <v>#N/A</v>
      </c>
      <c r="H343" s="3"/>
    </row>
    <row r="344" spans="1:8" ht="15" customHeight="1">
      <c r="A344" s="690" t="s">
        <v>2169</v>
      </c>
      <c r="B344" s="695" t="s">
        <v>1036</v>
      </c>
      <c r="C344" s="693" t="s">
        <v>161</v>
      </c>
      <c r="D344" s="679" t="s">
        <v>172</v>
      </c>
      <c r="E344" s="680" t="s">
        <v>303</v>
      </c>
      <c r="F344" s="680"/>
      <c r="G344" s="682" t="s">
        <v>1110</v>
      </c>
      <c r="H344" s="3"/>
    </row>
    <row r="345" spans="1:8" ht="15" customHeight="1">
      <c r="A345" s="690" t="s">
        <v>2172</v>
      </c>
      <c r="B345" s="692" t="s">
        <v>1132</v>
      </c>
      <c r="C345" s="693" t="s">
        <v>161</v>
      </c>
      <c r="D345" s="679" t="s">
        <v>172</v>
      </c>
      <c r="E345" s="680" t="s">
        <v>303</v>
      </c>
      <c r="F345" s="686"/>
      <c r="G345" s="682" t="s">
        <v>1110</v>
      </c>
      <c r="H345" s="3"/>
    </row>
    <row r="346" spans="1:8" ht="15" customHeight="1">
      <c r="A346" s="690" t="s">
        <v>2175</v>
      </c>
      <c r="B346" s="695" t="s">
        <v>1133</v>
      </c>
      <c r="C346" s="693" t="s">
        <v>161</v>
      </c>
      <c r="D346" s="679" t="s">
        <v>172</v>
      </c>
      <c r="E346" s="680" t="s">
        <v>303</v>
      </c>
      <c r="F346" s="680"/>
      <c r="G346" s="682" t="s">
        <v>2</v>
      </c>
      <c r="H346" s="3"/>
    </row>
    <row r="347" spans="1:8" ht="15" customHeight="1">
      <c r="A347" s="690" t="s">
        <v>3552</v>
      </c>
      <c r="B347" s="692" t="s">
        <v>3551</v>
      </c>
      <c r="C347" s="679" t="s">
        <v>176</v>
      </c>
      <c r="D347" s="679" t="s">
        <v>177</v>
      </c>
      <c r="E347" s="680" t="s">
        <v>303</v>
      </c>
      <c r="F347" s="680"/>
      <c r="G347" s="682" t="e">
        <v>#N/A</v>
      </c>
      <c r="H347" s="3"/>
    </row>
    <row r="348" spans="1:8" ht="15" customHeight="1">
      <c r="A348" s="690" t="s">
        <v>3429</v>
      </c>
      <c r="B348" s="692" t="s">
        <v>3428</v>
      </c>
      <c r="C348" s="693" t="s">
        <v>161</v>
      </c>
      <c r="D348" s="679" t="s">
        <v>173</v>
      </c>
      <c r="E348" s="680" t="s">
        <v>303</v>
      </c>
      <c r="F348" s="686"/>
      <c r="G348" s="682" t="s">
        <v>1285</v>
      </c>
      <c r="H348" s="3"/>
    </row>
    <row r="349" spans="1:8" ht="15" customHeight="1">
      <c r="A349" s="690" t="s">
        <v>2178</v>
      </c>
      <c r="B349" s="685" t="s">
        <v>796</v>
      </c>
      <c r="C349" s="679"/>
      <c r="D349" s="679"/>
      <c r="E349" s="680" t="s">
        <v>303</v>
      </c>
      <c r="F349" s="680"/>
      <c r="G349" s="682" t="e">
        <v>#N/A</v>
      </c>
      <c r="H349" s="3"/>
    </row>
    <row r="350" spans="1:8" ht="15" customHeight="1">
      <c r="A350" s="690" t="s">
        <v>2181</v>
      </c>
      <c r="B350" s="678" t="s">
        <v>797</v>
      </c>
      <c r="C350" s="679"/>
      <c r="D350" s="679"/>
      <c r="E350" s="680" t="s">
        <v>303</v>
      </c>
      <c r="F350" s="680"/>
      <c r="G350" s="682" t="e">
        <v>#N/A</v>
      </c>
      <c r="H350" s="3"/>
    </row>
    <row r="351" spans="1:8" ht="15" customHeight="1">
      <c r="A351" s="690" t="s">
        <v>2184</v>
      </c>
      <c r="B351" s="685" t="s">
        <v>1134</v>
      </c>
      <c r="C351" s="679" t="s">
        <v>176</v>
      </c>
      <c r="D351" s="679" t="s">
        <v>177</v>
      </c>
      <c r="E351" s="680" t="s">
        <v>303</v>
      </c>
      <c r="F351" s="680"/>
      <c r="G351" s="682" t="s">
        <v>1110</v>
      </c>
      <c r="H351" s="3"/>
    </row>
    <row r="352" spans="1:8" ht="15" customHeight="1">
      <c r="A352" s="690" t="s">
        <v>2187</v>
      </c>
      <c r="B352" s="685" t="s">
        <v>1135</v>
      </c>
      <c r="C352" s="679" t="s">
        <v>176</v>
      </c>
      <c r="D352" s="679" t="s">
        <v>177</v>
      </c>
      <c r="E352" s="680" t="s">
        <v>303</v>
      </c>
      <c r="F352" s="680"/>
      <c r="G352" s="682" t="e">
        <v>#N/A</v>
      </c>
      <c r="H352" s="3"/>
    </row>
    <row r="353" spans="1:8" ht="15" customHeight="1">
      <c r="A353" s="690" t="s">
        <v>2190</v>
      </c>
      <c r="B353" s="685" t="s">
        <v>1136</v>
      </c>
      <c r="C353" s="679" t="s">
        <v>176</v>
      </c>
      <c r="D353" s="679" t="s">
        <v>177</v>
      </c>
      <c r="E353" s="680" t="s">
        <v>303</v>
      </c>
      <c r="F353" s="680"/>
      <c r="G353" s="682" t="s">
        <v>2</v>
      </c>
      <c r="H353" s="3"/>
    </row>
    <row r="354" spans="1:8" ht="15" customHeight="1">
      <c r="A354" s="687" t="s">
        <v>3355</v>
      </c>
      <c r="B354" s="687" t="s">
        <v>798</v>
      </c>
      <c r="C354" s="679"/>
      <c r="D354" s="679"/>
      <c r="E354" s="680" t="s">
        <v>303</v>
      </c>
      <c r="F354" s="681"/>
      <c r="G354" s="682" t="e">
        <v>#N/A</v>
      </c>
      <c r="H354" s="3"/>
    </row>
    <row r="355" spans="1:8" ht="15" customHeight="1">
      <c r="A355" s="690" t="s">
        <v>2193</v>
      </c>
      <c r="B355" s="685" t="s">
        <v>1137</v>
      </c>
      <c r="C355" s="679" t="s">
        <v>180</v>
      </c>
      <c r="D355" s="679" t="s">
        <v>182</v>
      </c>
      <c r="E355" s="680" t="s">
        <v>303</v>
      </c>
      <c r="F355" s="680"/>
      <c r="G355" s="682" t="s">
        <v>1110</v>
      </c>
      <c r="H355" s="3"/>
    </row>
    <row r="356" spans="1:8" ht="15" customHeight="1">
      <c r="A356" s="690" t="s">
        <v>2196</v>
      </c>
      <c r="B356" s="685" t="s">
        <v>1138</v>
      </c>
      <c r="C356" s="679" t="s">
        <v>161</v>
      </c>
      <c r="D356" s="679" t="s">
        <v>164</v>
      </c>
      <c r="E356" s="680" t="s">
        <v>303</v>
      </c>
      <c r="F356" s="680"/>
      <c r="G356" s="682" t="s">
        <v>1110</v>
      </c>
      <c r="H356" s="3"/>
    </row>
    <row r="357" spans="1:8" ht="15" customHeight="1">
      <c r="A357" s="690" t="s">
        <v>2199</v>
      </c>
      <c r="B357" s="678" t="s">
        <v>1139</v>
      </c>
      <c r="C357" s="679" t="s">
        <v>180</v>
      </c>
      <c r="D357" s="679" t="s">
        <v>184</v>
      </c>
      <c r="E357" s="680" t="s">
        <v>303</v>
      </c>
      <c r="F357" s="680"/>
      <c r="G357" s="682" t="s">
        <v>2</v>
      </c>
      <c r="H357" s="3"/>
    </row>
    <row r="358" spans="1:8" ht="15" customHeight="1">
      <c r="A358" s="690" t="s">
        <v>3418</v>
      </c>
      <c r="B358" s="678" t="s">
        <v>1138</v>
      </c>
      <c r="C358" s="679" t="s">
        <v>161</v>
      </c>
      <c r="D358" s="679" t="s">
        <v>167</v>
      </c>
      <c r="E358" s="680" t="s">
        <v>303</v>
      </c>
      <c r="F358" s="680"/>
      <c r="G358" s="682" t="s">
        <v>2</v>
      </c>
      <c r="H358" s="3"/>
    </row>
    <row r="359" spans="1:8" ht="15" customHeight="1">
      <c r="A359" s="690" t="s">
        <v>2202</v>
      </c>
      <c r="B359" s="685" t="s">
        <v>1140</v>
      </c>
      <c r="C359" s="679" t="s">
        <v>180</v>
      </c>
      <c r="D359" s="679" t="s">
        <v>185</v>
      </c>
      <c r="E359" s="680" t="s">
        <v>303</v>
      </c>
      <c r="F359" s="680"/>
      <c r="G359" s="682" t="s">
        <v>1110</v>
      </c>
      <c r="H359" s="3"/>
    </row>
    <row r="360" spans="1:8" ht="15" customHeight="1">
      <c r="A360" s="690" t="s">
        <v>2205</v>
      </c>
      <c r="B360" s="678" t="s">
        <v>1138</v>
      </c>
      <c r="C360" s="679" t="s">
        <v>161</v>
      </c>
      <c r="D360" s="679" t="s">
        <v>167</v>
      </c>
      <c r="E360" s="680" t="s">
        <v>303</v>
      </c>
      <c r="F360" s="680"/>
      <c r="G360" s="682" t="e">
        <v>#N/A</v>
      </c>
      <c r="H360" s="3"/>
    </row>
    <row r="361" spans="1:8" ht="15" customHeight="1">
      <c r="A361" s="690" t="s">
        <v>2208</v>
      </c>
      <c r="B361" s="685" t="s">
        <v>1141</v>
      </c>
      <c r="C361" s="679" t="s">
        <v>180</v>
      </c>
      <c r="D361" s="679" t="s">
        <v>182</v>
      </c>
      <c r="E361" s="680" t="s">
        <v>303</v>
      </c>
      <c r="F361" s="680"/>
      <c r="G361" s="682" t="s">
        <v>2</v>
      </c>
      <c r="H361" s="3"/>
    </row>
    <row r="362" spans="1:8" ht="15" customHeight="1">
      <c r="A362" s="690" t="s">
        <v>3387</v>
      </c>
      <c r="B362" s="685" t="s">
        <v>1143</v>
      </c>
      <c r="C362" s="679" t="s">
        <v>180</v>
      </c>
      <c r="D362" s="679" t="s">
        <v>185</v>
      </c>
      <c r="E362" s="680" t="s">
        <v>303</v>
      </c>
      <c r="F362" s="680"/>
      <c r="G362" s="682" t="s">
        <v>2</v>
      </c>
      <c r="H362" s="3"/>
    </row>
    <row r="363" spans="1:8" ht="15" customHeight="1">
      <c r="A363" s="690" t="s">
        <v>2211</v>
      </c>
      <c r="B363" s="678" t="s">
        <v>1141</v>
      </c>
      <c r="C363" s="679" t="s">
        <v>180</v>
      </c>
      <c r="D363" s="679" t="s">
        <v>182</v>
      </c>
      <c r="E363" s="680" t="s">
        <v>303</v>
      </c>
      <c r="F363" s="680"/>
      <c r="G363" s="680" t="s">
        <v>2</v>
      </c>
      <c r="H363" s="3"/>
    </row>
    <row r="364" spans="1:8" ht="15" customHeight="1">
      <c r="A364" s="690" t="s">
        <v>2214</v>
      </c>
      <c r="B364" s="685" t="s">
        <v>1144</v>
      </c>
      <c r="C364" s="679" t="s">
        <v>180</v>
      </c>
      <c r="D364" s="679" t="s">
        <v>183</v>
      </c>
      <c r="E364" s="680" t="s">
        <v>303</v>
      </c>
      <c r="F364" s="680"/>
      <c r="G364" s="682" t="s">
        <v>1110</v>
      </c>
      <c r="H364" s="3"/>
    </row>
    <row r="365" spans="1:8" ht="15" customHeight="1">
      <c r="A365" s="690" t="s">
        <v>2217</v>
      </c>
      <c r="B365" s="678" t="s">
        <v>1145</v>
      </c>
      <c r="C365" s="679" t="s">
        <v>180</v>
      </c>
      <c r="D365" s="679" t="s">
        <v>183</v>
      </c>
      <c r="E365" s="680" t="s">
        <v>303</v>
      </c>
      <c r="F365" s="680"/>
      <c r="G365" s="682" t="e">
        <v>#N/A</v>
      </c>
      <c r="H365" s="3"/>
    </row>
    <row r="366" spans="1:8" ht="15" customHeight="1">
      <c r="A366" s="690" t="s">
        <v>2220</v>
      </c>
      <c r="B366" s="685" t="s">
        <v>1146</v>
      </c>
      <c r="C366" s="679" t="s">
        <v>180</v>
      </c>
      <c r="D366" s="679" t="s">
        <v>183</v>
      </c>
      <c r="E366" s="680" t="s">
        <v>303</v>
      </c>
      <c r="F366" s="680"/>
      <c r="G366" s="682" t="s">
        <v>1110</v>
      </c>
      <c r="H366" s="3"/>
    </row>
    <row r="367" spans="1:8" ht="15" customHeight="1">
      <c r="A367" s="690" t="s">
        <v>2223</v>
      </c>
      <c r="B367" s="685" t="s">
        <v>1147</v>
      </c>
      <c r="C367" s="679" t="s">
        <v>180</v>
      </c>
      <c r="D367" s="679" t="s">
        <v>186</v>
      </c>
      <c r="E367" s="680" t="s">
        <v>303</v>
      </c>
      <c r="F367" s="680"/>
      <c r="G367" s="682" t="s">
        <v>1110</v>
      </c>
      <c r="H367" s="3"/>
    </row>
    <row r="368" spans="1:8" ht="15" customHeight="1">
      <c r="A368" s="690" t="s">
        <v>2226</v>
      </c>
      <c r="B368" s="685" t="s">
        <v>1148</v>
      </c>
      <c r="C368" s="679" t="s">
        <v>180</v>
      </c>
      <c r="D368" s="679" t="s">
        <v>187</v>
      </c>
      <c r="E368" s="680" t="s">
        <v>303</v>
      </c>
      <c r="F368" s="680"/>
      <c r="G368" s="682" t="s">
        <v>1110</v>
      </c>
      <c r="H368" s="3"/>
    </row>
    <row r="369" spans="1:8" ht="15" customHeight="1">
      <c r="A369" s="690" t="s">
        <v>3684</v>
      </c>
      <c r="B369" s="685" t="s">
        <v>3683</v>
      </c>
      <c r="C369" s="679" t="s">
        <v>180</v>
      </c>
      <c r="D369" s="679" t="s">
        <v>187</v>
      </c>
      <c r="E369" s="680" t="s">
        <v>303</v>
      </c>
      <c r="F369" s="680"/>
      <c r="G369" s="682" t="s">
        <v>1110</v>
      </c>
      <c r="H369" s="3"/>
    </row>
    <row r="370" spans="1:8" ht="15" customHeight="1">
      <c r="A370" s="690" t="s">
        <v>2229</v>
      </c>
      <c r="B370" s="685" t="s">
        <v>1149</v>
      </c>
      <c r="C370" s="679" t="s">
        <v>180</v>
      </c>
      <c r="D370" s="679" t="s">
        <v>191</v>
      </c>
      <c r="E370" s="680" t="s">
        <v>303</v>
      </c>
      <c r="F370" s="680"/>
      <c r="G370" s="682" t="s">
        <v>1110</v>
      </c>
      <c r="H370" s="3"/>
    </row>
    <row r="371" spans="1:8" ht="15" customHeight="1">
      <c r="A371" s="690" t="s">
        <v>2232</v>
      </c>
      <c r="B371" s="685" t="s">
        <v>1150</v>
      </c>
      <c r="C371" s="679" t="s">
        <v>180</v>
      </c>
      <c r="D371" s="679" t="s">
        <v>191</v>
      </c>
      <c r="E371" s="680" t="s">
        <v>303</v>
      </c>
      <c r="F371" s="680"/>
      <c r="G371" s="682" t="s">
        <v>1110</v>
      </c>
      <c r="H371" s="3"/>
    </row>
    <row r="372" spans="1:8" ht="15" customHeight="1">
      <c r="A372" s="690" t="s">
        <v>3920</v>
      </c>
      <c r="B372" s="685" t="s">
        <v>3919</v>
      </c>
      <c r="C372" s="679" t="s">
        <v>180</v>
      </c>
      <c r="D372" s="679" t="s">
        <v>191</v>
      </c>
      <c r="E372" s="680" t="s">
        <v>303</v>
      </c>
      <c r="F372" s="680"/>
      <c r="G372" s="682" t="s">
        <v>1110</v>
      </c>
      <c r="H372" s="3"/>
    </row>
    <row r="373" spans="1:8" ht="15" customHeight="1">
      <c r="A373" s="690" t="s">
        <v>1152</v>
      </c>
      <c r="B373" s="678" t="s">
        <v>1387</v>
      </c>
      <c r="C373" s="679" t="s">
        <v>180</v>
      </c>
      <c r="D373" s="679" t="s">
        <v>189</v>
      </c>
      <c r="E373" s="680" t="s">
        <v>303</v>
      </c>
      <c r="F373" s="680"/>
      <c r="G373" s="680" t="s">
        <v>2</v>
      </c>
      <c r="H373" s="3"/>
    </row>
    <row r="374" spans="1:8" ht="15" customHeight="1">
      <c r="A374" s="690" t="s">
        <v>2237</v>
      </c>
      <c r="B374" s="685" t="s">
        <v>1151</v>
      </c>
      <c r="C374" s="679" t="s">
        <v>180</v>
      </c>
      <c r="D374" s="679" t="s">
        <v>188</v>
      </c>
      <c r="E374" s="680" t="s">
        <v>303</v>
      </c>
      <c r="F374" s="680"/>
      <c r="G374" s="682" t="s">
        <v>1110</v>
      </c>
      <c r="H374" s="3"/>
    </row>
    <row r="375" spans="1:8" ht="15" customHeight="1">
      <c r="A375" s="678" t="s">
        <v>2240</v>
      </c>
      <c r="B375" s="678" t="s">
        <v>725</v>
      </c>
      <c r="C375" s="679"/>
      <c r="D375" s="679"/>
      <c r="E375" s="686"/>
      <c r="F375" s="680"/>
      <c r="G375" s="682" t="s">
        <v>816</v>
      </c>
      <c r="H375" s="3"/>
    </row>
    <row r="376" spans="1:8" ht="15" customHeight="1">
      <c r="A376" s="690" t="s">
        <v>1155</v>
      </c>
      <c r="B376" s="685" t="s">
        <v>1153</v>
      </c>
      <c r="C376" s="679" t="s">
        <v>92</v>
      </c>
      <c r="D376" s="679" t="s">
        <v>111</v>
      </c>
      <c r="E376" s="680" t="s">
        <v>303</v>
      </c>
      <c r="F376" s="680"/>
      <c r="G376" s="682" t="s">
        <v>2</v>
      </c>
      <c r="H376" s="3"/>
    </row>
    <row r="377" spans="1:8" ht="15" customHeight="1">
      <c r="A377" s="690" t="s">
        <v>1157</v>
      </c>
      <c r="B377" s="685" t="s">
        <v>1156</v>
      </c>
      <c r="C377" s="679" t="s">
        <v>92</v>
      </c>
      <c r="D377" s="679" t="s">
        <v>112</v>
      </c>
      <c r="E377" s="680" t="s">
        <v>303</v>
      </c>
      <c r="F377" s="680"/>
      <c r="G377" s="682" t="s">
        <v>1110</v>
      </c>
      <c r="H377" s="3"/>
    </row>
    <row r="378" spans="1:8" ht="15" customHeight="1">
      <c r="A378" s="690" t="s">
        <v>1159</v>
      </c>
      <c r="B378" s="685" t="s">
        <v>1158</v>
      </c>
      <c r="C378" s="679" t="s">
        <v>92</v>
      </c>
      <c r="D378" s="679" t="s">
        <v>114</v>
      </c>
      <c r="E378" s="680" t="s">
        <v>303</v>
      </c>
      <c r="F378" s="680"/>
      <c r="G378" s="682" t="s">
        <v>1110</v>
      </c>
      <c r="H378" s="3"/>
    </row>
    <row r="379" spans="1:8" ht="15" customHeight="1">
      <c r="A379" s="690" t="s">
        <v>1161</v>
      </c>
      <c r="B379" s="685" t="s">
        <v>1160</v>
      </c>
      <c r="C379" s="679" t="s">
        <v>92</v>
      </c>
      <c r="D379" s="679" t="s">
        <v>115</v>
      </c>
      <c r="E379" s="680" t="s">
        <v>303</v>
      </c>
      <c r="F379" s="680"/>
      <c r="G379" s="682" t="s">
        <v>1110</v>
      </c>
      <c r="H379" s="3"/>
    </row>
    <row r="380" spans="1:8" ht="15" customHeight="1">
      <c r="A380" s="678" t="s">
        <v>1163</v>
      </c>
      <c r="B380" s="678" t="s">
        <v>1162</v>
      </c>
      <c r="C380" s="679" t="s">
        <v>92</v>
      </c>
      <c r="D380" s="679" t="s">
        <v>117</v>
      </c>
      <c r="E380" s="680" t="s">
        <v>303</v>
      </c>
      <c r="F380" s="680"/>
      <c r="G380" s="682" t="s">
        <v>1110</v>
      </c>
      <c r="H380" s="3"/>
    </row>
    <row r="381" spans="1:8" ht="15" customHeight="1">
      <c r="A381" s="690" t="s">
        <v>1165</v>
      </c>
      <c r="B381" s="685" t="s">
        <v>1164</v>
      </c>
      <c r="C381" s="679" t="s">
        <v>92</v>
      </c>
      <c r="D381" s="679" t="s">
        <v>113</v>
      </c>
      <c r="E381" s="680" t="s">
        <v>303</v>
      </c>
      <c r="F381" s="680"/>
      <c r="G381" s="682" t="s">
        <v>1110</v>
      </c>
      <c r="H381" s="3"/>
    </row>
    <row r="382" spans="1:8" ht="15" customHeight="1">
      <c r="A382" s="678" t="s">
        <v>1167</v>
      </c>
      <c r="B382" s="678" t="s">
        <v>1166</v>
      </c>
      <c r="C382" s="679" t="s">
        <v>92</v>
      </c>
      <c r="D382" s="679" t="s">
        <v>116</v>
      </c>
      <c r="E382" s="680" t="s">
        <v>303</v>
      </c>
      <c r="F382" s="680"/>
      <c r="G382" s="682" t="s">
        <v>2</v>
      </c>
      <c r="H382" s="3"/>
    </row>
    <row r="383" spans="1:8" ht="15" customHeight="1">
      <c r="A383" s="690" t="s">
        <v>2257</v>
      </c>
      <c r="B383" s="685" t="s">
        <v>1168</v>
      </c>
      <c r="C383" s="679" t="s">
        <v>92</v>
      </c>
      <c r="D383" s="679" t="s">
        <v>116</v>
      </c>
      <c r="E383" s="680" t="s">
        <v>303</v>
      </c>
      <c r="F383" s="680"/>
      <c r="G383" s="682" t="s">
        <v>2</v>
      </c>
      <c r="H383" s="3"/>
    </row>
    <row r="384" spans="1:8" ht="15" customHeight="1">
      <c r="A384" s="690" t="s">
        <v>1170</v>
      </c>
      <c r="B384" s="685" t="s">
        <v>1169</v>
      </c>
      <c r="C384" s="679" t="s">
        <v>92</v>
      </c>
      <c r="D384" s="679" t="s">
        <v>204</v>
      </c>
      <c r="E384" s="680" t="s">
        <v>303</v>
      </c>
      <c r="F384" s="680"/>
      <c r="G384" s="682" t="s">
        <v>1110</v>
      </c>
      <c r="H384" s="3"/>
    </row>
    <row r="385" spans="1:8" ht="15" customHeight="1">
      <c r="A385" s="678" t="s">
        <v>1172</v>
      </c>
      <c r="B385" s="678" t="s">
        <v>1171</v>
      </c>
      <c r="C385" s="679" t="s">
        <v>92</v>
      </c>
      <c r="D385" s="679" t="s">
        <v>120</v>
      </c>
      <c r="E385" s="680" t="s">
        <v>303</v>
      </c>
      <c r="F385" s="680"/>
      <c r="G385" s="682" t="s">
        <v>1110</v>
      </c>
      <c r="H385" s="3"/>
    </row>
    <row r="386" spans="1:8" ht="15" customHeight="1">
      <c r="A386" s="690" t="s">
        <v>1174</v>
      </c>
      <c r="B386" s="685" t="s">
        <v>1173</v>
      </c>
      <c r="C386" s="679" t="s">
        <v>92</v>
      </c>
      <c r="D386" s="679" t="s">
        <v>121</v>
      </c>
      <c r="E386" s="680" t="s">
        <v>303</v>
      </c>
      <c r="F386" s="680"/>
      <c r="G386" s="682" t="s">
        <v>1110</v>
      </c>
      <c r="H386" s="3"/>
    </row>
    <row r="387" spans="1:8" ht="15" customHeight="1">
      <c r="A387" s="678" t="s">
        <v>1176</v>
      </c>
      <c r="B387" s="678" t="s">
        <v>1175</v>
      </c>
      <c r="C387" s="679" t="s">
        <v>92</v>
      </c>
      <c r="D387" s="679" t="s">
        <v>122</v>
      </c>
      <c r="E387" s="680" t="s">
        <v>303</v>
      </c>
      <c r="F387" s="680"/>
      <c r="G387" s="682" t="s">
        <v>2</v>
      </c>
      <c r="H387" s="3"/>
    </row>
    <row r="388" spans="1:8" ht="15" customHeight="1">
      <c r="A388" s="690" t="s">
        <v>1178</v>
      </c>
      <c r="B388" s="685" t="s">
        <v>1177</v>
      </c>
      <c r="C388" s="679" t="s">
        <v>92</v>
      </c>
      <c r="D388" s="679" t="s">
        <v>124</v>
      </c>
      <c r="E388" s="680" t="s">
        <v>303</v>
      </c>
      <c r="F388" s="680"/>
      <c r="G388" s="682" t="s">
        <v>1110</v>
      </c>
      <c r="H388" s="3"/>
    </row>
    <row r="389" spans="1:8" ht="15" customHeight="1">
      <c r="A389" s="690" t="s">
        <v>1180</v>
      </c>
      <c r="B389" s="685" t="s">
        <v>1179</v>
      </c>
      <c r="C389" s="679" t="s">
        <v>92</v>
      </c>
      <c r="D389" s="679" t="s">
        <v>127</v>
      </c>
      <c r="E389" s="680" t="s">
        <v>303</v>
      </c>
      <c r="F389" s="680"/>
      <c r="G389" s="682" t="s">
        <v>1110</v>
      </c>
      <c r="H389" s="3"/>
    </row>
    <row r="390" spans="1:8" ht="15" customHeight="1">
      <c r="A390" s="690" t="s">
        <v>1182</v>
      </c>
      <c r="B390" s="685" t="s">
        <v>1181</v>
      </c>
      <c r="C390" s="679" t="s">
        <v>92</v>
      </c>
      <c r="D390" s="679" t="s">
        <v>125</v>
      </c>
      <c r="E390" s="680" t="s">
        <v>303</v>
      </c>
      <c r="F390" s="680"/>
      <c r="G390" s="682" t="s">
        <v>1110</v>
      </c>
      <c r="H390" s="4"/>
    </row>
    <row r="391" spans="1:8" ht="15" customHeight="1">
      <c r="A391" s="690" t="s">
        <v>1184</v>
      </c>
      <c r="B391" s="685" t="s">
        <v>1388</v>
      </c>
      <c r="C391" s="679" t="s">
        <v>92</v>
      </c>
      <c r="D391" s="679" t="s">
        <v>126</v>
      </c>
      <c r="E391" s="680" t="s">
        <v>303</v>
      </c>
      <c r="F391" s="680"/>
      <c r="G391" s="682" t="s">
        <v>1110</v>
      </c>
      <c r="H391" s="4"/>
    </row>
    <row r="392" spans="1:8" ht="15" customHeight="1">
      <c r="A392" s="678" t="s">
        <v>1186</v>
      </c>
      <c r="B392" s="678" t="s">
        <v>1185</v>
      </c>
      <c r="C392" s="679" t="s">
        <v>92</v>
      </c>
      <c r="D392" s="679" t="s">
        <v>126</v>
      </c>
      <c r="E392" s="680" t="s">
        <v>303</v>
      </c>
      <c r="F392" s="680"/>
      <c r="G392" s="682" t="s">
        <v>1110</v>
      </c>
      <c r="H392" s="3"/>
    </row>
    <row r="393" spans="1:8" ht="15" customHeight="1">
      <c r="A393" s="690" t="s">
        <v>2276</v>
      </c>
      <c r="B393" s="688" t="s">
        <v>799</v>
      </c>
      <c r="C393" s="679"/>
      <c r="D393" s="679"/>
      <c r="E393" s="680" t="s">
        <v>303</v>
      </c>
      <c r="F393" s="680"/>
      <c r="G393" s="682" t="s">
        <v>816</v>
      </c>
      <c r="H393" s="3"/>
    </row>
    <row r="394" spans="1:8" ht="15" customHeight="1">
      <c r="A394" s="678" t="s">
        <v>1188</v>
      </c>
      <c r="B394" s="678" t="s">
        <v>1187</v>
      </c>
      <c r="C394" s="679" t="s">
        <v>92</v>
      </c>
      <c r="D394" s="679" t="s">
        <v>135</v>
      </c>
      <c r="E394" s="680" t="s">
        <v>303</v>
      </c>
      <c r="F394" s="680"/>
      <c r="G394" s="682" t="s">
        <v>1110</v>
      </c>
      <c r="H394" s="3"/>
    </row>
    <row r="395" spans="1:8" ht="15" customHeight="1">
      <c r="A395" s="678" t="s">
        <v>1190</v>
      </c>
      <c r="B395" s="685" t="s">
        <v>1189</v>
      </c>
      <c r="C395" s="679" t="s">
        <v>92</v>
      </c>
      <c r="D395" s="679" t="s">
        <v>136</v>
      </c>
      <c r="E395" s="680" t="s">
        <v>303</v>
      </c>
      <c r="F395" s="680"/>
      <c r="G395" s="682" t="e">
        <v>#N/A</v>
      </c>
      <c r="H395" s="3"/>
    </row>
    <row r="396" spans="1:8" ht="15" customHeight="1">
      <c r="A396" s="678" t="s">
        <v>1192</v>
      </c>
      <c r="B396" s="685" t="s">
        <v>1191</v>
      </c>
      <c r="C396" s="679" t="s">
        <v>92</v>
      </c>
      <c r="D396" s="679" t="s">
        <v>141</v>
      </c>
      <c r="E396" s="680" t="s">
        <v>303</v>
      </c>
      <c r="F396" s="680"/>
      <c r="G396" s="682" t="e">
        <v>#N/A</v>
      </c>
      <c r="H396" s="3"/>
    </row>
    <row r="397" spans="1:8" ht="15" customHeight="1">
      <c r="A397" s="690" t="s">
        <v>1194</v>
      </c>
      <c r="B397" s="685" t="s">
        <v>1193</v>
      </c>
      <c r="C397" s="679" t="s">
        <v>92</v>
      </c>
      <c r="D397" s="679" t="s">
        <v>131</v>
      </c>
      <c r="E397" s="680" t="s">
        <v>303</v>
      </c>
      <c r="F397" s="680"/>
      <c r="G397" s="682" t="s">
        <v>1110</v>
      </c>
      <c r="H397" s="3"/>
    </row>
    <row r="398" spans="1:8" ht="15" customHeight="1">
      <c r="A398" s="678" t="s">
        <v>1196</v>
      </c>
      <c r="B398" s="678" t="s">
        <v>1195</v>
      </c>
      <c r="C398" s="679" t="s">
        <v>92</v>
      </c>
      <c r="D398" s="679" t="s">
        <v>139</v>
      </c>
      <c r="E398" s="680" t="s">
        <v>303</v>
      </c>
      <c r="F398" s="680"/>
      <c r="G398" s="682" t="s">
        <v>1110</v>
      </c>
      <c r="H398" s="3"/>
    </row>
    <row r="399" spans="1:8" ht="15" customHeight="1">
      <c r="A399" s="690" t="s">
        <v>1208</v>
      </c>
      <c r="B399" s="688" t="s">
        <v>800</v>
      </c>
      <c r="C399" s="679"/>
      <c r="D399" s="679"/>
      <c r="E399" s="680" t="s">
        <v>303</v>
      </c>
      <c r="F399" s="680"/>
      <c r="G399" s="682" t="s">
        <v>816</v>
      </c>
      <c r="H399" s="3"/>
    </row>
    <row r="400" spans="1:8" ht="15" customHeight="1">
      <c r="A400" s="678" t="s">
        <v>1198</v>
      </c>
      <c r="B400" s="678" t="s">
        <v>1197</v>
      </c>
      <c r="C400" s="679" t="s">
        <v>92</v>
      </c>
      <c r="D400" s="679" t="s">
        <v>132</v>
      </c>
      <c r="E400" s="680" t="s">
        <v>303</v>
      </c>
      <c r="F400" s="680"/>
      <c r="G400" s="682" t="s">
        <v>1110</v>
      </c>
      <c r="H400" s="3"/>
    </row>
    <row r="401" spans="1:8" ht="15" customHeight="1">
      <c r="A401" s="690" t="s">
        <v>1200</v>
      </c>
      <c r="B401" s="678" t="s">
        <v>1199</v>
      </c>
      <c r="C401" s="679" t="s">
        <v>92</v>
      </c>
      <c r="D401" s="679" t="s">
        <v>137</v>
      </c>
      <c r="E401" s="680" t="s">
        <v>303</v>
      </c>
      <c r="F401" s="680"/>
      <c r="G401" s="682" t="s">
        <v>1110</v>
      </c>
      <c r="H401" s="3"/>
    </row>
    <row r="402" spans="1:8" ht="15" customHeight="1">
      <c r="A402" s="678" t="s">
        <v>1202</v>
      </c>
      <c r="B402" s="678" t="s">
        <v>1201</v>
      </c>
      <c r="C402" s="679" t="s">
        <v>92</v>
      </c>
      <c r="D402" s="679" t="s">
        <v>138</v>
      </c>
      <c r="E402" s="680" t="s">
        <v>303</v>
      </c>
      <c r="F402" s="680"/>
      <c r="G402" s="682" t="s">
        <v>1110</v>
      </c>
      <c r="H402" s="3"/>
    </row>
    <row r="403" spans="1:8" ht="15" customHeight="1">
      <c r="A403" s="690" t="s">
        <v>1204</v>
      </c>
      <c r="B403" s="678" t="s">
        <v>1203</v>
      </c>
      <c r="C403" s="679" t="s">
        <v>92</v>
      </c>
      <c r="D403" s="679" t="s">
        <v>140</v>
      </c>
      <c r="E403" s="680" t="s">
        <v>303</v>
      </c>
      <c r="F403" s="680"/>
      <c r="G403" s="682" t="s">
        <v>1110</v>
      </c>
      <c r="H403" s="3"/>
    </row>
    <row r="404" spans="1:8" ht="15" customHeight="1">
      <c r="A404" s="678" t="s">
        <v>1206</v>
      </c>
      <c r="B404" s="678" t="s">
        <v>1205</v>
      </c>
      <c r="C404" s="679" t="s">
        <v>92</v>
      </c>
      <c r="D404" s="679" t="s">
        <v>133</v>
      </c>
      <c r="E404" s="680" t="s">
        <v>303</v>
      </c>
      <c r="F404" s="680"/>
      <c r="G404" s="682" t="s">
        <v>1110</v>
      </c>
      <c r="H404" s="3"/>
    </row>
    <row r="405" spans="1:8" ht="15" customHeight="1">
      <c r="A405" s="678" t="s">
        <v>3388</v>
      </c>
      <c r="B405" s="678" t="s">
        <v>1207</v>
      </c>
      <c r="C405" s="679" t="s">
        <v>92</v>
      </c>
      <c r="D405" s="679" t="s">
        <v>142</v>
      </c>
      <c r="E405" s="680" t="s">
        <v>303</v>
      </c>
      <c r="F405" s="680"/>
      <c r="G405" s="682" t="e">
        <v>#N/A</v>
      </c>
      <c r="H405" s="3"/>
    </row>
    <row r="406" spans="1:8" ht="15" customHeight="1">
      <c r="A406" s="690" t="s">
        <v>1210</v>
      </c>
      <c r="B406" s="685" t="s">
        <v>1209</v>
      </c>
      <c r="C406" s="679" t="s">
        <v>92</v>
      </c>
      <c r="D406" s="679" t="s">
        <v>134</v>
      </c>
      <c r="E406" s="680" t="s">
        <v>303</v>
      </c>
      <c r="F406" s="680"/>
      <c r="G406" s="682" t="s">
        <v>1110</v>
      </c>
      <c r="H406" s="3"/>
    </row>
    <row r="407" spans="1:8" ht="15" customHeight="1">
      <c r="A407" s="690" t="s">
        <v>1212</v>
      </c>
      <c r="B407" s="685" t="s">
        <v>1211</v>
      </c>
      <c r="C407" s="679" t="s">
        <v>92</v>
      </c>
      <c r="D407" s="679" t="s">
        <v>221</v>
      </c>
      <c r="E407" s="680" t="s">
        <v>303</v>
      </c>
      <c r="F407" s="680"/>
      <c r="G407" s="682" t="e">
        <v>#N/A</v>
      </c>
      <c r="H407" s="3"/>
    </row>
    <row r="408" spans="1:8" ht="15" customHeight="1">
      <c r="A408" s="690" t="s">
        <v>2304</v>
      </c>
      <c r="B408" s="685" t="s">
        <v>1389</v>
      </c>
      <c r="C408" s="679" t="s">
        <v>92</v>
      </c>
      <c r="D408" s="679" t="s">
        <v>213</v>
      </c>
      <c r="E408" s="680" t="s">
        <v>303</v>
      </c>
      <c r="F408" s="680"/>
      <c r="G408" s="680" t="s">
        <v>1154</v>
      </c>
      <c r="H408" s="3"/>
    </row>
    <row r="409" spans="1:8" ht="15" customHeight="1">
      <c r="A409" s="690" t="s">
        <v>1214</v>
      </c>
      <c r="B409" s="685" t="s">
        <v>1213</v>
      </c>
      <c r="C409" s="679" t="s">
        <v>92</v>
      </c>
      <c r="D409" s="679" t="s">
        <v>210</v>
      </c>
      <c r="E409" s="680" t="s">
        <v>303</v>
      </c>
      <c r="F409" s="680"/>
      <c r="G409" s="682" t="s">
        <v>1154</v>
      </c>
      <c r="H409" s="3"/>
    </row>
    <row r="410" spans="1:8" ht="15" customHeight="1">
      <c r="A410" s="678" t="s">
        <v>1216</v>
      </c>
      <c r="B410" s="678" t="s">
        <v>1215</v>
      </c>
      <c r="C410" s="679" t="s">
        <v>92</v>
      </c>
      <c r="D410" s="679" t="s">
        <v>205</v>
      </c>
      <c r="E410" s="680" t="s">
        <v>303</v>
      </c>
      <c r="F410" s="680"/>
      <c r="G410" s="682" t="s">
        <v>1154</v>
      </c>
      <c r="H410" s="3"/>
    </row>
    <row r="411" spans="1:8" ht="15" customHeight="1">
      <c r="A411" s="690" t="s">
        <v>1218</v>
      </c>
      <c r="B411" s="685" t="s">
        <v>1217</v>
      </c>
      <c r="C411" s="679" t="s">
        <v>92</v>
      </c>
      <c r="D411" s="679" t="s">
        <v>209</v>
      </c>
      <c r="E411" s="680" t="s">
        <v>303</v>
      </c>
      <c r="F411" s="680"/>
      <c r="G411" s="682" t="s">
        <v>1154</v>
      </c>
      <c r="H411" s="3"/>
    </row>
    <row r="412" spans="1:8" ht="15" customHeight="1">
      <c r="A412" s="678" t="s">
        <v>1220</v>
      </c>
      <c r="B412" s="678" t="s">
        <v>1219</v>
      </c>
      <c r="C412" s="679" t="s">
        <v>92</v>
      </c>
      <c r="D412" s="679" t="s">
        <v>206</v>
      </c>
      <c r="E412" s="680" t="s">
        <v>303</v>
      </c>
      <c r="F412" s="680"/>
      <c r="G412" s="682" t="s">
        <v>1154</v>
      </c>
      <c r="H412" s="3"/>
    </row>
    <row r="413" spans="1:8" ht="15" customHeight="1">
      <c r="A413" s="690" t="s">
        <v>1222</v>
      </c>
      <c r="B413" s="678" t="s">
        <v>1221</v>
      </c>
      <c r="C413" s="679" t="s">
        <v>92</v>
      </c>
      <c r="D413" s="679" t="s">
        <v>207</v>
      </c>
      <c r="E413" s="680" t="s">
        <v>303</v>
      </c>
      <c r="F413" s="680"/>
      <c r="G413" s="682" t="s">
        <v>1154</v>
      </c>
      <c r="H413" s="3"/>
    </row>
    <row r="414" spans="1:8" ht="15" customHeight="1">
      <c r="A414" s="678" t="s">
        <v>1224</v>
      </c>
      <c r="B414" s="678" t="s">
        <v>1223</v>
      </c>
      <c r="C414" s="679" t="s">
        <v>92</v>
      </c>
      <c r="D414" s="679" t="s">
        <v>211</v>
      </c>
      <c r="E414" s="680" t="s">
        <v>303</v>
      </c>
      <c r="F414" s="680"/>
      <c r="G414" s="682" t="s">
        <v>1154</v>
      </c>
      <c r="H414" s="3"/>
    </row>
    <row r="415" spans="1:8" ht="15" customHeight="1">
      <c r="A415" s="678" t="s">
        <v>3389</v>
      </c>
      <c r="B415" s="678" t="s">
        <v>1390</v>
      </c>
      <c r="C415" s="679" t="s">
        <v>92</v>
      </c>
      <c r="D415" s="679" t="s">
        <v>214</v>
      </c>
      <c r="E415" s="680" t="s">
        <v>303</v>
      </c>
      <c r="F415" s="680"/>
      <c r="G415" s="680" t="s">
        <v>1154</v>
      </c>
      <c r="H415" s="3"/>
    </row>
    <row r="416" spans="1:8" ht="15" customHeight="1">
      <c r="A416" s="690" t="s">
        <v>2319</v>
      </c>
      <c r="B416" s="688" t="s">
        <v>1225</v>
      </c>
      <c r="C416" s="679" t="s">
        <v>152</v>
      </c>
      <c r="D416" s="679" t="s">
        <v>111</v>
      </c>
      <c r="E416" s="680" t="s">
        <v>303</v>
      </c>
      <c r="F416" s="680"/>
      <c r="G416" s="682" t="s">
        <v>1154</v>
      </c>
      <c r="H416" s="3"/>
    </row>
    <row r="417" spans="1:12" ht="15" customHeight="1">
      <c r="A417" s="690" t="s">
        <v>2322</v>
      </c>
      <c r="B417" s="688" t="s">
        <v>1156</v>
      </c>
      <c r="C417" s="679" t="s">
        <v>152</v>
      </c>
      <c r="D417" s="679" t="s">
        <v>112</v>
      </c>
      <c r="E417" s="680" t="s">
        <v>303</v>
      </c>
      <c r="F417" s="680"/>
      <c r="G417" s="682" t="s">
        <v>1154</v>
      </c>
      <c r="H417" s="3"/>
    </row>
    <row r="418" spans="1:12" ht="15" customHeight="1">
      <c r="A418" s="678" t="s">
        <v>2325</v>
      </c>
      <c r="B418" s="678" t="s">
        <v>1226</v>
      </c>
      <c r="C418" s="679" t="s">
        <v>152</v>
      </c>
      <c r="D418" s="679" t="s">
        <v>114</v>
      </c>
      <c r="E418" s="680" t="s">
        <v>303</v>
      </c>
      <c r="F418" s="680"/>
      <c r="G418" s="682" t="s">
        <v>1154</v>
      </c>
      <c r="H418" s="3"/>
    </row>
    <row r="419" spans="1:12" ht="15" customHeight="1">
      <c r="A419" s="690" t="s">
        <v>2328</v>
      </c>
      <c r="B419" s="688" t="s">
        <v>1160</v>
      </c>
      <c r="C419" s="679" t="s">
        <v>152</v>
      </c>
      <c r="D419" s="679" t="s">
        <v>115</v>
      </c>
      <c r="E419" s="680" t="s">
        <v>303</v>
      </c>
      <c r="F419" s="680"/>
      <c r="G419" s="682" t="s">
        <v>1154</v>
      </c>
      <c r="H419" s="3"/>
    </row>
    <row r="420" spans="1:12" ht="15" customHeight="1">
      <c r="A420" s="678" t="s">
        <v>2331</v>
      </c>
      <c r="B420" s="678" t="s">
        <v>1162</v>
      </c>
      <c r="C420" s="679" t="s">
        <v>152</v>
      </c>
      <c r="D420" s="679" t="s">
        <v>117</v>
      </c>
      <c r="E420" s="680" t="s">
        <v>303</v>
      </c>
      <c r="F420" s="680"/>
      <c r="G420" s="682" t="s">
        <v>1154</v>
      </c>
      <c r="H420" s="3"/>
    </row>
    <row r="421" spans="1:12" ht="15" customHeight="1">
      <c r="A421" s="690" t="s">
        <v>2334</v>
      </c>
      <c r="B421" s="688" t="s">
        <v>1164</v>
      </c>
      <c r="C421" s="679" t="s">
        <v>152</v>
      </c>
      <c r="D421" s="679" t="s">
        <v>113</v>
      </c>
      <c r="E421" s="680" t="s">
        <v>303</v>
      </c>
      <c r="F421" s="680"/>
      <c r="G421" s="682" t="s">
        <v>1154</v>
      </c>
      <c r="H421" s="3"/>
      <c r="L421" s="3"/>
    </row>
    <row r="422" spans="1:12" ht="15" customHeight="1">
      <c r="A422" s="678" t="s">
        <v>2337</v>
      </c>
      <c r="B422" s="678" t="s">
        <v>801</v>
      </c>
      <c r="C422" s="679"/>
      <c r="D422" s="679"/>
      <c r="E422" s="680" t="s">
        <v>303</v>
      </c>
      <c r="F422" s="680"/>
      <c r="G422" s="682" t="s">
        <v>816</v>
      </c>
      <c r="H422" s="3"/>
      <c r="L422" s="3"/>
    </row>
    <row r="423" spans="1:12" ht="15" customHeight="1">
      <c r="A423" s="690" t="s">
        <v>2340</v>
      </c>
      <c r="B423" s="688" t="s">
        <v>1166</v>
      </c>
      <c r="C423" s="679" t="s">
        <v>152</v>
      </c>
      <c r="D423" s="679" t="s">
        <v>116</v>
      </c>
      <c r="E423" s="680" t="s">
        <v>303</v>
      </c>
      <c r="F423" s="680"/>
      <c r="G423" s="682" t="s">
        <v>1154</v>
      </c>
      <c r="H423" s="3"/>
    </row>
    <row r="424" spans="1:12" ht="15" customHeight="1">
      <c r="A424" s="678" t="s">
        <v>2343</v>
      </c>
      <c r="B424" s="678" t="s">
        <v>1227</v>
      </c>
      <c r="C424" s="679" t="s">
        <v>152</v>
      </c>
      <c r="D424" s="679" t="s">
        <v>116</v>
      </c>
      <c r="E424" s="680" t="s">
        <v>303</v>
      </c>
      <c r="F424" s="680"/>
      <c r="G424" s="682" t="s">
        <v>1154</v>
      </c>
      <c r="H424" s="3"/>
    </row>
    <row r="425" spans="1:12" ht="15" customHeight="1">
      <c r="A425" s="690" t="s">
        <v>2346</v>
      </c>
      <c r="B425" s="688" t="s">
        <v>802</v>
      </c>
      <c r="C425" s="679"/>
      <c r="D425" s="679"/>
      <c r="E425" s="680" t="s">
        <v>303</v>
      </c>
      <c r="F425" s="680"/>
      <c r="G425" s="682" t="s">
        <v>816</v>
      </c>
      <c r="H425" s="3"/>
    </row>
    <row r="426" spans="1:12" ht="15" customHeight="1">
      <c r="A426" s="678" t="s">
        <v>2349</v>
      </c>
      <c r="B426" s="688" t="s">
        <v>1169</v>
      </c>
      <c r="C426" s="679" t="s">
        <v>152</v>
      </c>
      <c r="D426" s="679" t="s">
        <v>204</v>
      </c>
      <c r="E426" s="680" t="s">
        <v>303</v>
      </c>
      <c r="F426" s="680"/>
      <c r="G426" s="682" t="s">
        <v>1154</v>
      </c>
      <c r="H426" s="3"/>
    </row>
    <row r="427" spans="1:12" ht="15" customHeight="1">
      <c r="A427" s="690" t="s">
        <v>2352</v>
      </c>
      <c r="B427" s="688" t="s">
        <v>1171</v>
      </c>
      <c r="C427" s="679" t="s">
        <v>152</v>
      </c>
      <c r="D427" s="679" t="s">
        <v>120</v>
      </c>
      <c r="E427" s="680" t="s">
        <v>303</v>
      </c>
      <c r="F427" s="680"/>
      <c r="G427" s="682" t="s">
        <v>2</v>
      </c>
      <c r="H427" s="3"/>
    </row>
    <row r="428" spans="1:12" ht="15" customHeight="1">
      <c r="A428" s="690" t="s">
        <v>2355</v>
      </c>
      <c r="B428" s="688" t="s">
        <v>1173</v>
      </c>
      <c r="C428" s="679" t="s">
        <v>152</v>
      </c>
      <c r="D428" s="679" t="s">
        <v>121</v>
      </c>
      <c r="E428" s="680" t="s">
        <v>303</v>
      </c>
      <c r="F428" s="680"/>
      <c r="G428" s="682" t="s">
        <v>1154</v>
      </c>
      <c r="H428" s="3"/>
    </row>
    <row r="429" spans="1:12" ht="15" customHeight="1">
      <c r="A429" s="690" t="s">
        <v>2358</v>
      </c>
      <c r="B429" s="688" t="s">
        <v>1228</v>
      </c>
      <c r="C429" s="679" t="s">
        <v>152</v>
      </c>
      <c r="D429" s="679" t="s">
        <v>122</v>
      </c>
      <c r="E429" s="680" t="s">
        <v>303</v>
      </c>
      <c r="F429" s="680"/>
      <c r="G429" s="682" t="e">
        <v>#N/A</v>
      </c>
      <c r="H429" s="3"/>
    </row>
    <row r="430" spans="1:12" ht="15" customHeight="1">
      <c r="A430" s="690" t="s">
        <v>2359</v>
      </c>
      <c r="B430" s="688" t="s">
        <v>1229</v>
      </c>
      <c r="C430" s="679" t="s">
        <v>152</v>
      </c>
      <c r="D430" s="679" t="s">
        <v>124</v>
      </c>
      <c r="E430" s="680" t="s">
        <v>303</v>
      </c>
      <c r="F430" s="680"/>
      <c r="G430" s="682" t="s">
        <v>1154</v>
      </c>
      <c r="H430" s="3"/>
    </row>
    <row r="431" spans="1:12" ht="15" customHeight="1">
      <c r="A431" s="690" t="s">
        <v>2362</v>
      </c>
      <c r="B431" s="688" t="s">
        <v>1179</v>
      </c>
      <c r="C431" s="679" t="s">
        <v>152</v>
      </c>
      <c r="D431" s="679" t="s">
        <v>127</v>
      </c>
      <c r="E431" s="680" t="s">
        <v>303</v>
      </c>
      <c r="F431" s="680"/>
      <c r="G431" s="682" t="s">
        <v>1154</v>
      </c>
      <c r="H431" s="3"/>
    </row>
    <row r="432" spans="1:12" ht="15" customHeight="1">
      <c r="A432" s="690" t="s">
        <v>2365</v>
      </c>
      <c r="B432" s="688" t="s">
        <v>1181</v>
      </c>
      <c r="C432" s="679" t="s">
        <v>152</v>
      </c>
      <c r="D432" s="679" t="s">
        <v>125</v>
      </c>
      <c r="E432" s="680" t="s">
        <v>303</v>
      </c>
      <c r="F432" s="680"/>
      <c r="G432" s="682" t="s">
        <v>1154</v>
      </c>
      <c r="H432" s="3"/>
    </row>
    <row r="433" spans="1:8" ht="15" customHeight="1">
      <c r="A433" s="690" t="s">
        <v>3390</v>
      </c>
      <c r="B433" s="688" t="s">
        <v>1391</v>
      </c>
      <c r="C433" s="679" t="s">
        <v>152</v>
      </c>
      <c r="D433" s="679" t="s">
        <v>126</v>
      </c>
      <c r="E433" s="680" t="s">
        <v>303</v>
      </c>
      <c r="F433" s="680"/>
      <c r="G433" s="682" t="s">
        <v>2</v>
      </c>
      <c r="H433" s="3"/>
    </row>
    <row r="434" spans="1:8" ht="15" customHeight="1">
      <c r="A434" s="690" t="s">
        <v>2368</v>
      </c>
      <c r="B434" s="688" t="s">
        <v>1231</v>
      </c>
      <c r="C434" s="679" t="s">
        <v>152</v>
      </c>
      <c r="D434" s="679" t="s">
        <v>126</v>
      </c>
      <c r="E434" s="680" t="s">
        <v>303</v>
      </c>
      <c r="F434" s="680"/>
      <c r="G434" s="682" t="s">
        <v>1154</v>
      </c>
      <c r="H434" s="3"/>
    </row>
    <row r="435" spans="1:8" ht="15" customHeight="1">
      <c r="A435" s="690" t="s">
        <v>2371</v>
      </c>
      <c r="B435" s="688" t="s">
        <v>803</v>
      </c>
      <c r="C435" s="679"/>
      <c r="D435" s="679"/>
      <c r="E435" s="680" t="s">
        <v>303</v>
      </c>
      <c r="F435" s="680"/>
      <c r="G435" s="682" t="s">
        <v>816</v>
      </c>
      <c r="H435" s="3"/>
    </row>
    <row r="436" spans="1:8" ht="15" customHeight="1">
      <c r="A436" s="690" t="s">
        <v>2374</v>
      </c>
      <c r="B436" s="688" t="s">
        <v>1187</v>
      </c>
      <c r="C436" s="679" t="s">
        <v>152</v>
      </c>
      <c r="D436" s="679" t="s">
        <v>135</v>
      </c>
      <c r="E436" s="680" t="s">
        <v>303</v>
      </c>
      <c r="F436" s="680"/>
      <c r="G436" s="682" t="s">
        <v>1154</v>
      </c>
      <c r="H436" s="3"/>
    </row>
    <row r="437" spans="1:8" ht="15" customHeight="1">
      <c r="A437" s="690" t="s">
        <v>2376</v>
      </c>
      <c r="B437" s="688" t="s">
        <v>1189</v>
      </c>
      <c r="C437" s="679" t="s">
        <v>152</v>
      </c>
      <c r="D437" s="679" t="s">
        <v>136</v>
      </c>
      <c r="E437" s="680" t="s">
        <v>303</v>
      </c>
      <c r="F437" s="680"/>
      <c r="G437" s="680" t="s">
        <v>1154</v>
      </c>
      <c r="H437" s="3"/>
    </row>
    <row r="438" spans="1:8" ht="15" customHeight="1">
      <c r="A438" s="678" t="s">
        <v>2379</v>
      </c>
      <c r="B438" s="678" t="s">
        <v>1191</v>
      </c>
      <c r="C438" s="679" t="s">
        <v>152</v>
      </c>
      <c r="D438" s="679" t="s">
        <v>141</v>
      </c>
      <c r="E438" s="680" t="s">
        <v>303</v>
      </c>
      <c r="F438" s="680"/>
      <c r="G438" s="682" t="s">
        <v>1154</v>
      </c>
      <c r="H438" s="3"/>
    </row>
    <row r="439" spans="1:8" ht="15" customHeight="1">
      <c r="A439" s="690" t="s">
        <v>2382</v>
      </c>
      <c r="B439" s="688" t="s">
        <v>1193</v>
      </c>
      <c r="C439" s="679" t="s">
        <v>152</v>
      </c>
      <c r="D439" s="679" t="s">
        <v>131</v>
      </c>
      <c r="E439" s="680" t="s">
        <v>303</v>
      </c>
      <c r="F439" s="680"/>
      <c r="G439" s="682" t="s">
        <v>1154</v>
      </c>
      <c r="H439" s="3"/>
    </row>
    <row r="440" spans="1:8" ht="15" customHeight="1">
      <c r="A440" s="678" t="s">
        <v>2385</v>
      </c>
      <c r="B440" s="678" t="s">
        <v>1195</v>
      </c>
      <c r="C440" s="679" t="s">
        <v>152</v>
      </c>
      <c r="D440" s="679" t="s">
        <v>139</v>
      </c>
      <c r="E440" s="680" t="s">
        <v>303</v>
      </c>
      <c r="F440" s="686"/>
      <c r="G440" s="682" t="s">
        <v>1154</v>
      </c>
      <c r="H440" s="3"/>
    </row>
    <row r="441" spans="1:8" ht="15" customHeight="1">
      <c r="A441" s="690" t="s">
        <v>2388</v>
      </c>
      <c r="B441" s="688" t="s">
        <v>1197</v>
      </c>
      <c r="C441" s="679" t="s">
        <v>152</v>
      </c>
      <c r="D441" s="679" t="s">
        <v>132</v>
      </c>
      <c r="E441" s="680" t="s">
        <v>303</v>
      </c>
      <c r="F441" s="680"/>
      <c r="G441" s="682" t="s">
        <v>1154</v>
      </c>
      <c r="H441" s="3"/>
    </row>
    <row r="442" spans="1:8" ht="15" customHeight="1">
      <c r="A442" s="678" t="s">
        <v>2391</v>
      </c>
      <c r="B442" s="678" t="s">
        <v>1199</v>
      </c>
      <c r="C442" s="679" t="s">
        <v>152</v>
      </c>
      <c r="D442" s="679" t="s">
        <v>137</v>
      </c>
      <c r="E442" s="680" t="s">
        <v>303</v>
      </c>
      <c r="F442" s="680"/>
      <c r="G442" s="682" t="s">
        <v>1154</v>
      </c>
      <c r="H442" s="3"/>
    </row>
    <row r="443" spans="1:8" ht="15" customHeight="1">
      <c r="A443" s="690" t="s">
        <v>2394</v>
      </c>
      <c r="B443" s="688" t="s">
        <v>1201</v>
      </c>
      <c r="C443" s="679" t="s">
        <v>152</v>
      </c>
      <c r="D443" s="679" t="s">
        <v>138</v>
      </c>
      <c r="E443" s="680" t="s">
        <v>303</v>
      </c>
      <c r="F443" s="680"/>
      <c r="G443" s="682" t="e">
        <v>#N/A</v>
      </c>
      <c r="H443" s="3"/>
    </row>
    <row r="444" spans="1:8" ht="15" customHeight="1">
      <c r="A444" s="690" t="s">
        <v>2397</v>
      </c>
      <c r="B444" s="678" t="s">
        <v>1203</v>
      </c>
      <c r="C444" s="679" t="s">
        <v>152</v>
      </c>
      <c r="D444" s="679" t="s">
        <v>140</v>
      </c>
      <c r="E444" s="680" t="s">
        <v>303</v>
      </c>
      <c r="F444" s="680"/>
      <c r="G444" s="682" t="s">
        <v>1154</v>
      </c>
      <c r="H444" s="3"/>
    </row>
    <row r="445" spans="1:8" ht="15" customHeight="1">
      <c r="A445" s="690" t="s">
        <v>2400</v>
      </c>
      <c r="B445" s="688" t="s">
        <v>1232</v>
      </c>
      <c r="C445" s="679" t="s">
        <v>152</v>
      </c>
      <c r="D445" s="679" t="s">
        <v>133</v>
      </c>
      <c r="E445" s="680" t="s">
        <v>303</v>
      </c>
      <c r="F445" s="680"/>
      <c r="G445" s="682" t="s">
        <v>1154</v>
      </c>
      <c r="H445" s="3"/>
    </row>
    <row r="446" spans="1:8" ht="15" customHeight="1">
      <c r="A446" s="690" t="s">
        <v>3391</v>
      </c>
      <c r="B446" s="688" t="s">
        <v>1233</v>
      </c>
      <c r="C446" s="679" t="s">
        <v>152</v>
      </c>
      <c r="D446" s="679" t="s">
        <v>142</v>
      </c>
      <c r="E446" s="680" t="s">
        <v>303</v>
      </c>
      <c r="F446" s="680"/>
      <c r="G446" s="682" t="s">
        <v>1154</v>
      </c>
      <c r="H446" s="3"/>
    </row>
    <row r="447" spans="1:8" ht="15" customHeight="1">
      <c r="A447" s="690" t="s">
        <v>2403</v>
      </c>
      <c r="B447" s="678" t="s">
        <v>1209</v>
      </c>
      <c r="C447" s="679" t="s">
        <v>152</v>
      </c>
      <c r="D447" s="679" t="s">
        <v>134</v>
      </c>
      <c r="E447" s="680" t="s">
        <v>303</v>
      </c>
      <c r="F447" s="686"/>
      <c r="G447" s="682" t="s">
        <v>1154</v>
      </c>
      <c r="H447" s="3"/>
    </row>
    <row r="448" spans="1:8" ht="15" customHeight="1">
      <c r="A448" s="690" t="s">
        <v>2406</v>
      </c>
      <c r="B448" s="688" t="s">
        <v>1211</v>
      </c>
      <c r="C448" s="679" t="s">
        <v>152</v>
      </c>
      <c r="D448" s="679" t="s">
        <v>221</v>
      </c>
      <c r="E448" s="680" t="s">
        <v>303</v>
      </c>
      <c r="F448" s="680"/>
      <c r="G448" s="682" t="s">
        <v>1154</v>
      </c>
      <c r="H448" s="3"/>
    </row>
    <row r="449" spans="1:8" ht="15" customHeight="1">
      <c r="A449" s="690" t="s">
        <v>2409</v>
      </c>
      <c r="B449" s="688" t="s">
        <v>1389</v>
      </c>
      <c r="C449" s="679" t="s">
        <v>152</v>
      </c>
      <c r="D449" s="679" t="s">
        <v>213</v>
      </c>
      <c r="E449" s="680" t="s">
        <v>303</v>
      </c>
      <c r="F449" s="680"/>
      <c r="G449" s="680" t="s">
        <v>1154</v>
      </c>
      <c r="H449" s="3"/>
    </row>
    <row r="450" spans="1:8" ht="15" customHeight="1">
      <c r="A450" s="690" t="s">
        <v>2412</v>
      </c>
      <c r="B450" s="678" t="s">
        <v>1235</v>
      </c>
      <c r="C450" s="679" t="s">
        <v>152</v>
      </c>
      <c r="D450" s="679" t="s">
        <v>210</v>
      </c>
      <c r="E450" s="680" t="s">
        <v>303</v>
      </c>
      <c r="F450" s="680"/>
      <c r="G450" s="682" t="e">
        <v>#N/A</v>
      </c>
      <c r="H450" s="3"/>
    </row>
    <row r="451" spans="1:8" ht="15" customHeight="1">
      <c r="A451" s="690" t="s">
        <v>2415</v>
      </c>
      <c r="B451" s="688" t="s">
        <v>1236</v>
      </c>
      <c r="C451" s="679" t="s">
        <v>152</v>
      </c>
      <c r="D451" s="679" t="s">
        <v>205</v>
      </c>
      <c r="E451" s="680" t="s">
        <v>303</v>
      </c>
      <c r="F451" s="680"/>
      <c r="G451" s="682" t="s">
        <v>1154</v>
      </c>
      <c r="H451" s="3"/>
    </row>
    <row r="452" spans="1:8" ht="15" customHeight="1">
      <c r="A452" s="690" t="s">
        <v>2418</v>
      </c>
      <c r="B452" s="688" t="s">
        <v>1237</v>
      </c>
      <c r="C452" s="679" t="s">
        <v>152</v>
      </c>
      <c r="D452" s="679" t="s">
        <v>209</v>
      </c>
      <c r="E452" s="680" t="s">
        <v>303</v>
      </c>
      <c r="F452" s="680"/>
      <c r="G452" s="682" t="s">
        <v>1154</v>
      </c>
      <c r="H452" s="3"/>
    </row>
    <row r="453" spans="1:8" ht="15" customHeight="1">
      <c r="A453" s="690" t="s">
        <v>2421</v>
      </c>
      <c r="B453" s="678" t="s">
        <v>1238</v>
      </c>
      <c r="C453" s="679" t="s">
        <v>152</v>
      </c>
      <c r="D453" s="679" t="s">
        <v>206</v>
      </c>
      <c r="E453" s="680" t="s">
        <v>303</v>
      </c>
      <c r="F453" s="680"/>
      <c r="G453" s="682" t="s">
        <v>1154</v>
      </c>
      <c r="H453" s="3"/>
    </row>
    <row r="454" spans="1:8" ht="15" customHeight="1">
      <c r="A454" s="690" t="s">
        <v>2424</v>
      </c>
      <c r="B454" s="688" t="s">
        <v>1239</v>
      </c>
      <c r="C454" s="679" t="s">
        <v>152</v>
      </c>
      <c r="D454" s="679" t="s">
        <v>207</v>
      </c>
      <c r="E454" s="680" t="s">
        <v>303</v>
      </c>
      <c r="F454" s="680"/>
      <c r="G454" s="682" t="s">
        <v>1154</v>
      </c>
      <c r="H454" s="3"/>
    </row>
    <row r="455" spans="1:8" ht="15" customHeight="1">
      <c r="A455" s="690" t="s">
        <v>2427</v>
      </c>
      <c r="B455" s="678" t="s">
        <v>1240</v>
      </c>
      <c r="C455" s="679" t="s">
        <v>152</v>
      </c>
      <c r="D455" s="679" t="s">
        <v>211</v>
      </c>
      <c r="E455" s="680" t="s">
        <v>303</v>
      </c>
      <c r="F455" s="680"/>
      <c r="G455" s="682" t="s">
        <v>1154</v>
      </c>
      <c r="H455" s="3"/>
    </row>
    <row r="456" spans="1:8" ht="15" customHeight="1">
      <c r="A456" s="678" t="s">
        <v>3392</v>
      </c>
      <c r="B456" s="678" t="s">
        <v>1392</v>
      </c>
      <c r="C456" s="679" t="s">
        <v>152</v>
      </c>
      <c r="D456" s="679" t="s">
        <v>214</v>
      </c>
      <c r="E456" s="680" t="s">
        <v>303</v>
      </c>
      <c r="F456" s="680"/>
      <c r="G456" s="680" t="s">
        <v>1154</v>
      </c>
      <c r="H456" s="3"/>
    </row>
    <row r="457" spans="1:8" ht="15" customHeight="1">
      <c r="A457" s="678" t="s">
        <v>3393</v>
      </c>
      <c r="B457" s="678" t="s">
        <v>3315</v>
      </c>
      <c r="C457" s="679" t="s">
        <v>152</v>
      </c>
      <c r="D457" s="679" t="s">
        <v>140</v>
      </c>
      <c r="E457" s="680" t="s">
        <v>303</v>
      </c>
      <c r="F457" s="680"/>
      <c r="G457" s="682" t="s">
        <v>2</v>
      </c>
      <c r="H457" s="3"/>
    </row>
    <row r="458" spans="1:8" ht="15" customHeight="1">
      <c r="A458" s="690" t="s">
        <v>2430</v>
      </c>
      <c r="B458" s="688" t="s">
        <v>1241</v>
      </c>
      <c r="C458" s="679" t="s">
        <v>161</v>
      </c>
      <c r="D458" s="679" t="s">
        <v>130</v>
      </c>
      <c r="E458" s="680" t="s">
        <v>303</v>
      </c>
      <c r="F458" s="680"/>
      <c r="G458" s="682" t="s">
        <v>1154</v>
      </c>
      <c r="H458" s="3"/>
    </row>
    <row r="459" spans="1:8" ht="15" customHeight="1">
      <c r="A459" s="678" t="s">
        <v>2433</v>
      </c>
      <c r="B459" s="678" t="s">
        <v>1243</v>
      </c>
      <c r="C459" s="679" t="s">
        <v>161</v>
      </c>
      <c r="D459" s="679" t="s">
        <v>130</v>
      </c>
      <c r="E459" s="680" t="s">
        <v>303</v>
      </c>
      <c r="F459" s="680"/>
      <c r="G459" s="682" t="s">
        <v>1154</v>
      </c>
      <c r="H459" s="3"/>
    </row>
    <row r="460" spans="1:8" ht="15" customHeight="1">
      <c r="A460" s="690" t="s">
        <v>2436</v>
      </c>
      <c r="B460" s="688" t="s">
        <v>1166</v>
      </c>
      <c r="C460" s="679" t="s">
        <v>161</v>
      </c>
      <c r="D460" s="679" t="s">
        <v>129</v>
      </c>
      <c r="E460" s="680" t="s">
        <v>303</v>
      </c>
      <c r="F460" s="680"/>
      <c r="G460" s="682" t="s">
        <v>2</v>
      </c>
      <c r="H460" s="3"/>
    </row>
    <row r="461" spans="1:8" ht="15" customHeight="1">
      <c r="A461" s="678" t="s">
        <v>2439</v>
      </c>
      <c r="B461" s="678" t="s">
        <v>1169</v>
      </c>
      <c r="C461" s="679" t="s">
        <v>161</v>
      </c>
      <c r="D461" s="679" t="s">
        <v>204</v>
      </c>
      <c r="E461" s="680" t="s">
        <v>303</v>
      </c>
      <c r="F461" s="680"/>
      <c r="G461" s="682" t="s">
        <v>1154</v>
      </c>
      <c r="H461" s="3"/>
    </row>
    <row r="462" spans="1:8" ht="15" customHeight="1">
      <c r="A462" s="690" t="s">
        <v>2442</v>
      </c>
      <c r="B462" s="688" t="s">
        <v>1171</v>
      </c>
      <c r="C462" s="679" t="s">
        <v>161</v>
      </c>
      <c r="D462" s="679" t="s">
        <v>120</v>
      </c>
      <c r="E462" s="680" t="s">
        <v>303</v>
      </c>
      <c r="F462" s="680"/>
      <c r="G462" s="682" t="s">
        <v>1154</v>
      </c>
      <c r="H462" s="3"/>
    </row>
    <row r="463" spans="1:8" ht="15" customHeight="1">
      <c r="A463" s="678" t="s">
        <v>2445</v>
      </c>
      <c r="B463" s="678" t="s">
        <v>1244</v>
      </c>
      <c r="C463" s="679" t="s">
        <v>161</v>
      </c>
      <c r="D463" s="679" t="s">
        <v>121</v>
      </c>
      <c r="E463" s="680" t="s">
        <v>303</v>
      </c>
      <c r="F463" s="680"/>
      <c r="G463" s="682" t="s">
        <v>1154</v>
      </c>
      <c r="H463" s="3"/>
    </row>
    <row r="464" spans="1:8" ht="15" customHeight="1">
      <c r="A464" s="690" t="s">
        <v>2448</v>
      </c>
      <c r="B464" s="688" t="s">
        <v>1175</v>
      </c>
      <c r="C464" s="679" t="s">
        <v>161</v>
      </c>
      <c r="D464" s="679" t="s">
        <v>122</v>
      </c>
      <c r="E464" s="680" t="s">
        <v>303</v>
      </c>
      <c r="F464" s="680"/>
      <c r="G464" s="682" t="s">
        <v>1154</v>
      </c>
      <c r="H464" s="3"/>
    </row>
    <row r="465" spans="1:8" ht="15" customHeight="1">
      <c r="A465" s="678" t="s">
        <v>2451</v>
      </c>
      <c r="B465" s="678" t="s">
        <v>1245</v>
      </c>
      <c r="C465" s="679" t="s">
        <v>161</v>
      </c>
      <c r="D465" s="679" t="s">
        <v>123</v>
      </c>
      <c r="E465" s="680" t="s">
        <v>303</v>
      </c>
      <c r="F465" s="680"/>
      <c r="G465" s="682" t="s">
        <v>1154</v>
      </c>
      <c r="H465" s="3"/>
    </row>
    <row r="466" spans="1:8" ht="15" customHeight="1">
      <c r="A466" s="690" t="s">
        <v>2454</v>
      </c>
      <c r="B466" s="688" t="s">
        <v>1247</v>
      </c>
      <c r="C466" s="679" t="s">
        <v>161</v>
      </c>
      <c r="D466" s="679" t="s">
        <v>124</v>
      </c>
      <c r="E466" s="680" t="s">
        <v>303</v>
      </c>
      <c r="F466" s="680"/>
      <c r="G466" s="682" t="s">
        <v>1154</v>
      </c>
      <c r="H466" s="3"/>
    </row>
    <row r="467" spans="1:8" ht="15" customHeight="1">
      <c r="A467" s="678" t="s">
        <v>2457</v>
      </c>
      <c r="B467" s="678" t="s">
        <v>1179</v>
      </c>
      <c r="C467" s="679" t="s">
        <v>161</v>
      </c>
      <c r="D467" s="679" t="s">
        <v>127</v>
      </c>
      <c r="E467" s="680" t="s">
        <v>303</v>
      </c>
      <c r="F467" s="680"/>
      <c r="G467" s="682" t="s">
        <v>1154</v>
      </c>
      <c r="H467" s="3"/>
    </row>
    <row r="468" spans="1:8" ht="15" customHeight="1">
      <c r="A468" s="690" t="s">
        <v>2460</v>
      </c>
      <c r="B468" s="688" t="s">
        <v>1181</v>
      </c>
      <c r="C468" s="679" t="s">
        <v>161</v>
      </c>
      <c r="D468" s="679" t="s">
        <v>125</v>
      </c>
      <c r="E468" s="680" t="s">
        <v>303</v>
      </c>
      <c r="F468" s="680"/>
      <c r="G468" s="682" t="s">
        <v>1154</v>
      </c>
      <c r="H468" s="3"/>
    </row>
    <row r="469" spans="1:8" ht="15" customHeight="1">
      <c r="A469" s="678" t="s">
        <v>2463</v>
      </c>
      <c r="B469" s="678" t="s">
        <v>1248</v>
      </c>
      <c r="C469" s="679" t="s">
        <v>161</v>
      </c>
      <c r="D469" s="679" t="s">
        <v>126</v>
      </c>
      <c r="E469" s="680" t="s">
        <v>303</v>
      </c>
      <c r="F469" s="680"/>
      <c r="G469" s="682" t="s">
        <v>1154</v>
      </c>
      <c r="H469" s="3"/>
    </row>
    <row r="470" spans="1:8" ht="15" customHeight="1">
      <c r="A470" s="690" t="s">
        <v>2466</v>
      </c>
      <c r="B470" s="688" t="s">
        <v>1231</v>
      </c>
      <c r="C470" s="679" t="s">
        <v>161</v>
      </c>
      <c r="D470" s="679" t="s">
        <v>126</v>
      </c>
      <c r="E470" s="680" t="s">
        <v>303</v>
      </c>
      <c r="F470" s="680"/>
      <c r="G470" s="682" t="s">
        <v>2</v>
      </c>
      <c r="H470" s="3"/>
    </row>
    <row r="471" spans="1:8" ht="15" customHeight="1">
      <c r="A471" s="678" t="s">
        <v>2469</v>
      </c>
      <c r="B471" s="678" t="s">
        <v>804</v>
      </c>
      <c r="C471" s="679"/>
      <c r="D471" s="679"/>
      <c r="E471" s="680" t="s">
        <v>303</v>
      </c>
      <c r="F471" s="680"/>
      <c r="G471" s="682" t="s">
        <v>816</v>
      </c>
      <c r="H471" s="3"/>
    </row>
    <row r="472" spans="1:8" ht="15" customHeight="1">
      <c r="A472" s="690" t="s">
        <v>2472</v>
      </c>
      <c r="B472" s="688" t="s">
        <v>1249</v>
      </c>
      <c r="C472" s="679" t="s">
        <v>161</v>
      </c>
      <c r="D472" s="679" t="s">
        <v>130</v>
      </c>
      <c r="E472" s="680" t="s">
        <v>303</v>
      </c>
      <c r="F472" s="680"/>
      <c r="G472" s="682" t="s">
        <v>1154</v>
      </c>
      <c r="H472" s="3"/>
    </row>
    <row r="473" spans="1:8" ht="15" customHeight="1">
      <c r="A473" s="690" t="s">
        <v>2475</v>
      </c>
      <c r="B473" s="688" t="s">
        <v>1187</v>
      </c>
      <c r="C473" s="679" t="s">
        <v>161</v>
      </c>
      <c r="D473" s="679" t="s">
        <v>135</v>
      </c>
      <c r="E473" s="680" t="s">
        <v>303</v>
      </c>
      <c r="F473" s="680"/>
      <c r="G473" s="682" t="e">
        <v>#N/A</v>
      </c>
      <c r="H473" s="3"/>
    </row>
    <row r="474" spans="1:8" ht="15" customHeight="1">
      <c r="A474" s="678" t="s">
        <v>2478</v>
      </c>
      <c r="B474" s="678" t="s">
        <v>1189</v>
      </c>
      <c r="C474" s="679" t="s">
        <v>161</v>
      </c>
      <c r="D474" s="679" t="s">
        <v>136</v>
      </c>
      <c r="E474" s="680" t="s">
        <v>303</v>
      </c>
      <c r="F474" s="680"/>
      <c r="G474" s="682" t="s">
        <v>1154</v>
      </c>
      <c r="H474" s="3"/>
    </row>
    <row r="475" spans="1:8" ht="15" customHeight="1">
      <c r="A475" s="690" t="s">
        <v>2481</v>
      </c>
      <c r="B475" s="688" t="s">
        <v>1191</v>
      </c>
      <c r="C475" s="679" t="s">
        <v>161</v>
      </c>
      <c r="D475" s="679" t="s">
        <v>141</v>
      </c>
      <c r="E475" s="680" t="s">
        <v>303</v>
      </c>
      <c r="F475" s="680"/>
      <c r="G475" s="682" t="s">
        <v>1154</v>
      </c>
      <c r="H475" s="3"/>
    </row>
    <row r="476" spans="1:8" ht="15" customHeight="1">
      <c r="A476" s="678" t="s">
        <v>2484</v>
      </c>
      <c r="B476" s="678" t="s">
        <v>1250</v>
      </c>
      <c r="C476" s="679" t="s">
        <v>161</v>
      </c>
      <c r="D476" s="679" t="s">
        <v>131</v>
      </c>
      <c r="E476" s="680" t="s">
        <v>303</v>
      </c>
      <c r="F476" s="680"/>
      <c r="G476" s="682" t="s">
        <v>1154</v>
      </c>
      <c r="H476" s="3"/>
    </row>
    <row r="477" spans="1:8" ht="15" customHeight="1">
      <c r="A477" s="690" t="s">
        <v>2487</v>
      </c>
      <c r="B477" s="688" t="s">
        <v>1195</v>
      </c>
      <c r="C477" s="679" t="s">
        <v>161</v>
      </c>
      <c r="D477" s="679" t="s">
        <v>139</v>
      </c>
      <c r="E477" s="680" t="s">
        <v>303</v>
      </c>
      <c r="F477" s="680"/>
      <c r="G477" s="682" t="s">
        <v>1154</v>
      </c>
      <c r="H477" s="3"/>
    </row>
    <row r="478" spans="1:8" ht="15" customHeight="1">
      <c r="A478" s="678" t="s">
        <v>2490</v>
      </c>
      <c r="B478" s="678" t="s">
        <v>1197</v>
      </c>
      <c r="C478" s="679" t="s">
        <v>161</v>
      </c>
      <c r="D478" s="679" t="s">
        <v>132</v>
      </c>
      <c r="E478" s="680" t="s">
        <v>303</v>
      </c>
      <c r="F478" s="680"/>
      <c r="G478" s="682" t="s">
        <v>1154</v>
      </c>
      <c r="H478" s="3"/>
    </row>
    <row r="479" spans="1:8" ht="15" customHeight="1">
      <c r="A479" s="690" t="s">
        <v>2493</v>
      </c>
      <c r="B479" s="688" t="s">
        <v>1199</v>
      </c>
      <c r="C479" s="679" t="s">
        <v>161</v>
      </c>
      <c r="D479" s="679" t="s">
        <v>137</v>
      </c>
      <c r="E479" s="680" t="s">
        <v>303</v>
      </c>
      <c r="F479" s="680"/>
      <c r="G479" s="682" t="s">
        <v>1154</v>
      </c>
      <c r="H479" s="3"/>
    </row>
    <row r="480" spans="1:8" ht="15" customHeight="1">
      <c r="A480" s="678" t="s">
        <v>2496</v>
      </c>
      <c r="B480" s="678" t="s">
        <v>1201</v>
      </c>
      <c r="C480" s="679" t="s">
        <v>161</v>
      </c>
      <c r="D480" s="679" t="s">
        <v>138</v>
      </c>
      <c r="E480" s="680" t="s">
        <v>303</v>
      </c>
      <c r="F480" s="680"/>
      <c r="G480" s="682" t="s">
        <v>1154</v>
      </c>
      <c r="H480" s="3"/>
    </row>
    <row r="481" spans="1:8" ht="15" customHeight="1">
      <c r="A481" s="690" t="s">
        <v>2499</v>
      </c>
      <c r="B481" s="688" t="s">
        <v>1203</v>
      </c>
      <c r="C481" s="679" t="s">
        <v>161</v>
      </c>
      <c r="D481" s="679" t="s">
        <v>140</v>
      </c>
      <c r="E481" s="680" t="s">
        <v>303</v>
      </c>
      <c r="F481" s="680"/>
      <c r="G481" s="682" t="s">
        <v>1154</v>
      </c>
      <c r="H481" s="3"/>
    </row>
    <row r="482" spans="1:8" ht="15" customHeight="1">
      <c r="A482" s="690" t="s">
        <v>2502</v>
      </c>
      <c r="B482" s="688" t="s">
        <v>1251</v>
      </c>
      <c r="C482" s="679" t="s">
        <v>161</v>
      </c>
      <c r="D482" s="679" t="s">
        <v>133</v>
      </c>
      <c r="E482" s="680" t="s">
        <v>303</v>
      </c>
      <c r="F482" s="680"/>
      <c r="G482" s="682" t="s">
        <v>1154</v>
      </c>
      <c r="H482" s="3"/>
    </row>
    <row r="483" spans="1:8" ht="15" customHeight="1">
      <c r="A483" s="690" t="s">
        <v>3394</v>
      </c>
      <c r="B483" s="688" t="s">
        <v>1252</v>
      </c>
      <c r="C483" s="679" t="s">
        <v>161</v>
      </c>
      <c r="D483" s="679" t="s">
        <v>142</v>
      </c>
      <c r="E483" s="680" t="s">
        <v>303</v>
      </c>
      <c r="F483" s="680"/>
      <c r="G483" s="682" t="s">
        <v>1154</v>
      </c>
      <c r="H483" s="3"/>
    </row>
    <row r="484" spans="1:8" ht="15" customHeight="1">
      <c r="A484" s="678" t="s">
        <v>2505</v>
      </c>
      <c r="B484" s="678" t="s">
        <v>1209</v>
      </c>
      <c r="C484" s="679" t="s">
        <v>161</v>
      </c>
      <c r="D484" s="679" t="s">
        <v>134</v>
      </c>
      <c r="E484" s="680" t="s">
        <v>303</v>
      </c>
      <c r="F484" s="680"/>
      <c r="G484" s="682" t="s">
        <v>1154</v>
      </c>
      <c r="H484" s="3"/>
    </row>
    <row r="485" spans="1:8" ht="15" customHeight="1">
      <c r="A485" s="690" t="s">
        <v>2508</v>
      </c>
      <c r="B485" s="688" t="s">
        <v>1211</v>
      </c>
      <c r="C485" s="679" t="s">
        <v>161</v>
      </c>
      <c r="D485" s="679" t="s">
        <v>221</v>
      </c>
      <c r="E485" s="680" t="s">
        <v>303</v>
      </c>
      <c r="F485" s="680"/>
      <c r="G485" s="682" t="e">
        <v>#N/A</v>
      </c>
      <c r="H485" s="3"/>
    </row>
    <row r="486" spans="1:8" ht="15" customHeight="1">
      <c r="A486" s="678" t="s">
        <v>2511</v>
      </c>
      <c r="B486" s="678" t="s">
        <v>1389</v>
      </c>
      <c r="C486" s="679" t="s">
        <v>161</v>
      </c>
      <c r="D486" s="679" t="s">
        <v>213</v>
      </c>
      <c r="E486" s="680" t="s">
        <v>303</v>
      </c>
      <c r="F486" s="680"/>
      <c r="G486" s="680" t="s">
        <v>1154</v>
      </c>
      <c r="H486" s="3"/>
    </row>
    <row r="487" spans="1:8" ht="15" customHeight="1">
      <c r="A487" s="690" t="s">
        <v>2514</v>
      </c>
      <c r="B487" s="688" t="s">
        <v>1254</v>
      </c>
      <c r="C487" s="679" t="s">
        <v>161</v>
      </c>
      <c r="D487" s="679" t="s">
        <v>212</v>
      </c>
      <c r="E487" s="680" t="s">
        <v>303</v>
      </c>
      <c r="F487" s="680"/>
      <c r="G487" s="682" t="s">
        <v>1154</v>
      </c>
      <c r="H487" s="3"/>
    </row>
    <row r="488" spans="1:8" ht="15" customHeight="1">
      <c r="A488" s="690" t="s">
        <v>2517</v>
      </c>
      <c r="B488" s="688" t="s">
        <v>1256</v>
      </c>
      <c r="C488" s="679" t="s">
        <v>161</v>
      </c>
      <c r="D488" s="679" t="s">
        <v>210</v>
      </c>
      <c r="E488" s="680" t="s">
        <v>303</v>
      </c>
      <c r="F488" s="680"/>
      <c r="G488" s="682" t="s">
        <v>1154</v>
      </c>
      <c r="H488" s="3"/>
    </row>
    <row r="489" spans="1:8" ht="15" customHeight="1">
      <c r="A489" s="690" t="s">
        <v>2520</v>
      </c>
      <c r="B489" s="688" t="s">
        <v>1257</v>
      </c>
      <c r="C489" s="679" t="s">
        <v>161</v>
      </c>
      <c r="D489" s="679" t="s">
        <v>205</v>
      </c>
      <c r="E489" s="680" t="s">
        <v>303</v>
      </c>
      <c r="F489" s="680"/>
      <c r="G489" s="682" t="s">
        <v>1154</v>
      </c>
      <c r="H489" s="3"/>
    </row>
    <row r="490" spans="1:8" ht="15" customHeight="1">
      <c r="A490" s="678" t="s">
        <v>2523</v>
      </c>
      <c r="B490" s="678" t="s">
        <v>1258</v>
      </c>
      <c r="C490" s="679" t="s">
        <v>161</v>
      </c>
      <c r="D490" s="679" t="s">
        <v>209</v>
      </c>
      <c r="E490" s="680" t="s">
        <v>303</v>
      </c>
      <c r="F490" s="680"/>
      <c r="G490" s="682" t="s">
        <v>1154</v>
      </c>
      <c r="H490" s="3"/>
    </row>
    <row r="491" spans="1:8" ht="15" customHeight="1">
      <c r="A491" s="690" t="s">
        <v>2526</v>
      </c>
      <c r="B491" s="688" t="s">
        <v>1259</v>
      </c>
      <c r="C491" s="679" t="s">
        <v>161</v>
      </c>
      <c r="D491" s="679" t="s">
        <v>206</v>
      </c>
      <c r="E491" s="680" t="s">
        <v>303</v>
      </c>
      <c r="F491" s="680"/>
      <c r="G491" s="682" t="s">
        <v>1154</v>
      </c>
      <c r="H491" s="3"/>
    </row>
    <row r="492" spans="1:8" ht="15" customHeight="1">
      <c r="A492" s="690" t="s">
        <v>2529</v>
      </c>
      <c r="B492" s="688" t="s">
        <v>1260</v>
      </c>
      <c r="C492" s="679" t="s">
        <v>161</v>
      </c>
      <c r="D492" s="679" t="s">
        <v>207</v>
      </c>
      <c r="E492" s="680" t="s">
        <v>303</v>
      </c>
      <c r="F492" s="680"/>
      <c r="G492" s="682" t="e">
        <v>#N/A</v>
      </c>
      <c r="H492" s="3"/>
    </row>
    <row r="493" spans="1:8" ht="15" customHeight="1">
      <c r="A493" s="690" t="s">
        <v>2532</v>
      </c>
      <c r="B493" s="688" t="s">
        <v>1261</v>
      </c>
      <c r="C493" s="679" t="s">
        <v>161</v>
      </c>
      <c r="D493" s="679" t="s">
        <v>211</v>
      </c>
      <c r="E493" s="680" t="s">
        <v>303</v>
      </c>
      <c r="F493" s="680"/>
      <c r="G493" s="682" t="e">
        <v>#N/A</v>
      </c>
      <c r="H493" s="3"/>
    </row>
    <row r="494" spans="1:8" ht="15" customHeight="1">
      <c r="A494" s="678" t="s">
        <v>3395</v>
      </c>
      <c r="B494" s="678" t="s">
        <v>1393</v>
      </c>
      <c r="C494" s="679" t="s">
        <v>161</v>
      </c>
      <c r="D494" s="679" t="s">
        <v>214</v>
      </c>
      <c r="E494" s="680" t="s">
        <v>303</v>
      </c>
      <c r="F494" s="680"/>
      <c r="G494" s="680" t="s">
        <v>1154</v>
      </c>
      <c r="H494" s="3"/>
    </row>
    <row r="495" spans="1:8" ht="15" customHeight="1">
      <c r="A495" s="696" t="s">
        <v>3396</v>
      </c>
      <c r="B495" s="696" t="s">
        <v>1262</v>
      </c>
      <c r="C495" s="679" t="s">
        <v>161</v>
      </c>
      <c r="D495" s="679" t="s">
        <v>140</v>
      </c>
      <c r="E495" s="680" t="s">
        <v>303</v>
      </c>
      <c r="F495" s="680"/>
      <c r="G495" s="682" t="s">
        <v>1154</v>
      </c>
      <c r="H495" s="3"/>
    </row>
    <row r="496" spans="1:8" ht="15" customHeight="1">
      <c r="A496" s="678" t="s">
        <v>2535</v>
      </c>
      <c r="B496" s="678" t="s">
        <v>1158</v>
      </c>
      <c r="C496" s="679" t="s">
        <v>176</v>
      </c>
      <c r="D496" s="679" t="s">
        <v>130</v>
      </c>
      <c r="E496" s="680" t="s">
        <v>303</v>
      </c>
      <c r="F496" s="680"/>
      <c r="G496" s="682" t="s">
        <v>1154</v>
      </c>
      <c r="H496" s="3"/>
    </row>
    <row r="497" spans="1:8" ht="15" customHeight="1">
      <c r="A497" s="690" t="s">
        <v>2538</v>
      </c>
      <c r="B497" s="688" t="s">
        <v>805</v>
      </c>
      <c r="C497" s="679"/>
      <c r="D497" s="679"/>
      <c r="E497" s="680" t="s">
        <v>303</v>
      </c>
      <c r="F497" s="680"/>
      <c r="G497" s="682" t="s">
        <v>816</v>
      </c>
      <c r="H497" s="3"/>
    </row>
    <row r="498" spans="1:8" ht="15" customHeight="1">
      <c r="A498" s="690" t="s">
        <v>2541</v>
      </c>
      <c r="B498" s="688" t="s">
        <v>1166</v>
      </c>
      <c r="C498" s="679" t="s">
        <v>176</v>
      </c>
      <c r="D498" s="679" t="s">
        <v>129</v>
      </c>
      <c r="E498" s="680" t="s">
        <v>303</v>
      </c>
      <c r="F498" s="680"/>
      <c r="G498" s="682" t="s">
        <v>1154</v>
      </c>
      <c r="H498" s="3"/>
    </row>
    <row r="499" spans="1:8" ht="15" customHeight="1">
      <c r="A499" s="690" t="s">
        <v>2544</v>
      </c>
      <c r="B499" s="678" t="s">
        <v>806</v>
      </c>
      <c r="C499" s="679"/>
      <c r="D499" s="679"/>
      <c r="E499" s="680" t="s">
        <v>303</v>
      </c>
      <c r="F499" s="680"/>
      <c r="G499" s="682" t="s">
        <v>816</v>
      </c>
      <c r="H499" s="3"/>
    </row>
    <row r="500" spans="1:8" ht="15" customHeight="1">
      <c r="A500" s="690" t="s">
        <v>2547</v>
      </c>
      <c r="B500" s="688" t="s">
        <v>1169</v>
      </c>
      <c r="C500" s="679" t="s">
        <v>176</v>
      </c>
      <c r="D500" s="679" t="s">
        <v>204</v>
      </c>
      <c r="E500" s="680" t="s">
        <v>303</v>
      </c>
      <c r="F500" s="680"/>
      <c r="G500" s="682" t="s">
        <v>1154</v>
      </c>
      <c r="H500" s="3"/>
    </row>
    <row r="501" spans="1:8" ht="15" customHeight="1">
      <c r="A501" s="690" t="s">
        <v>2550</v>
      </c>
      <c r="B501" s="688" t="s">
        <v>1171</v>
      </c>
      <c r="C501" s="679" t="s">
        <v>176</v>
      </c>
      <c r="D501" s="679" t="s">
        <v>120</v>
      </c>
      <c r="E501" s="680" t="s">
        <v>303</v>
      </c>
      <c r="F501" s="680"/>
      <c r="G501" s="682" t="s">
        <v>1154</v>
      </c>
      <c r="H501" s="3"/>
    </row>
    <row r="502" spans="1:8" ht="15" customHeight="1">
      <c r="A502" s="690" t="s">
        <v>2553</v>
      </c>
      <c r="B502" s="688" t="s">
        <v>1244</v>
      </c>
      <c r="C502" s="679" t="s">
        <v>176</v>
      </c>
      <c r="D502" s="679" t="s">
        <v>121</v>
      </c>
      <c r="E502" s="680" t="s">
        <v>303</v>
      </c>
      <c r="F502" s="680"/>
      <c r="G502" s="682" t="s">
        <v>1154</v>
      </c>
      <c r="H502" s="3"/>
    </row>
    <row r="503" spans="1:8" ht="15" customHeight="1">
      <c r="A503" s="690" t="s">
        <v>2556</v>
      </c>
      <c r="B503" s="688" t="s">
        <v>1175</v>
      </c>
      <c r="C503" s="679" t="s">
        <v>176</v>
      </c>
      <c r="D503" s="679" t="s">
        <v>122</v>
      </c>
      <c r="E503" s="680" t="s">
        <v>303</v>
      </c>
      <c r="F503" s="680"/>
      <c r="G503" s="682" t="s">
        <v>1154</v>
      </c>
      <c r="H503" s="3"/>
    </row>
    <row r="504" spans="1:8" ht="15" customHeight="1">
      <c r="A504" s="690" t="s">
        <v>2559</v>
      </c>
      <c r="B504" s="688" t="s">
        <v>1245</v>
      </c>
      <c r="C504" s="679" t="s">
        <v>176</v>
      </c>
      <c r="D504" s="679" t="s">
        <v>123</v>
      </c>
      <c r="E504" s="680" t="s">
        <v>303</v>
      </c>
      <c r="F504" s="680"/>
      <c r="G504" s="682" t="s">
        <v>1154</v>
      </c>
      <c r="H504" s="3"/>
    </row>
    <row r="505" spans="1:8" ht="15" customHeight="1">
      <c r="A505" s="690" t="s">
        <v>2562</v>
      </c>
      <c r="B505" s="678" t="s">
        <v>1229</v>
      </c>
      <c r="C505" s="679" t="s">
        <v>176</v>
      </c>
      <c r="D505" s="679" t="s">
        <v>124</v>
      </c>
      <c r="E505" s="680" t="s">
        <v>303</v>
      </c>
      <c r="F505" s="680"/>
      <c r="G505" s="682" t="s">
        <v>1154</v>
      </c>
      <c r="H505" s="3"/>
    </row>
    <row r="506" spans="1:8" ht="15" customHeight="1">
      <c r="A506" s="690" t="s">
        <v>2565</v>
      </c>
      <c r="B506" s="688" t="s">
        <v>1179</v>
      </c>
      <c r="C506" s="679" t="s">
        <v>176</v>
      </c>
      <c r="D506" s="679" t="s">
        <v>127</v>
      </c>
      <c r="E506" s="680" t="s">
        <v>303</v>
      </c>
      <c r="F506" s="680"/>
      <c r="G506" s="682" t="s">
        <v>1154</v>
      </c>
      <c r="H506" s="3"/>
    </row>
    <row r="507" spans="1:8" ht="15" customHeight="1">
      <c r="A507" s="690" t="s">
        <v>2568</v>
      </c>
      <c r="B507" s="688" t="s">
        <v>1181</v>
      </c>
      <c r="C507" s="679" t="s">
        <v>176</v>
      </c>
      <c r="D507" s="679" t="s">
        <v>125</v>
      </c>
      <c r="E507" s="680" t="s">
        <v>303</v>
      </c>
      <c r="F507" s="680"/>
      <c r="G507" s="682" t="s">
        <v>1154</v>
      </c>
      <c r="H507" s="3"/>
    </row>
    <row r="508" spans="1:8" ht="15" customHeight="1">
      <c r="A508" s="690" t="s">
        <v>3397</v>
      </c>
      <c r="B508" s="688" t="s">
        <v>1394</v>
      </c>
      <c r="C508" s="679" t="s">
        <v>176</v>
      </c>
      <c r="D508" s="679" t="s">
        <v>126</v>
      </c>
      <c r="E508" s="680" t="s">
        <v>303</v>
      </c>
      <c r="F508" s="680"/>
      <c r="G508" s="682" t="s">
        <v>1154</v>
      </c>
      <c r="H508" s="3"/>
    </row>
    <row r="509" spans="1:8" ht="15" customHeight="1">
      <c r="A509" s="690" t="s">
        <v>2571</v>
      </c>
      <c r="B509" s="688" t="s">
        <v>1231</v>
      </c>
      <c r="C509" s="679" t="s">
        <v>176</v>
      </c>
      <c r="D509" s="679" t="s">
        <v>126</v>
      </c>
      <c r="E509" s="680" t="s">
        <v>303</v>
      </c>
      <c r="F509" s="680"/>
      <c r="G509" s="682" t="s">
        <v>2</v>
      </c>
      <c r="H509" s="3"/>
    </row>
    <row r="510" spans="1:8" ht="15" customHeight="1">
      <c r="A510" s="690" t="s">
        <v>2574</v>
      </c>
      <c r="B510" s="688" t="s">
        <v>807</v>
      </c>
      <c r="C510" s="679"/>
      <c r="D510" s="679"/>
      <c r="E510" s="680" t="s">
        <v>303</v>
      </c>
      <c r="F510" s="680"/>
      <c r="G510" s="682" t="e">
        <v>#N/A</v>
      </c>
      <c r="H510" s="3"/>
    </row>
    <row r="511" spans="1:8" ht="15" customHeight="1">
      <c r="A511" s="690" t="s">
        <v>3686</v>
      </c>
      <c r="B511" s="688" t="s">
        <v>1249</v>
      </c>
      <c r="C511" s="679" t="s">
        <v>161</v>
      </c>
      <c r="D511" s="679" t="s">
        <v>130</v>
      </c>
      <c r="E511" s="680" t="s">
        <v>303</v>
      </c>
      <c r="F511" s="680"/>
      <c r="G511" s="682" t="s">
        <v>1154</v>
      </c>
      <c r="H511" s="3"/>
    </row>
    <row r="512" spans="1:8" ht="15" customHeight="1">
      <c r="A512" s="690" t="s">
        <v>2577</v>
      </c>
      <c r="B512" s="688" t="s">
        <v>1187</v>
      </c>
      <c r="C512" s="679" t="s">
        <v>176</v>
      </c>
      <c r="D512" s="679" t="s">
        <v>135</v>
      </c>
      <c r="E512" s="680" t="s">
        <v>303</v>
      </c>
      <c r="F512" s="680"/>
      <c r="G512" s="682" t="s">
        <v>1154</v>
      </c>
      <c r="H512" s="3"/>
    </row>
    <row r="513" spans="1:29" ht="15" customHeight="1">
      <c r="A513" s="690" t="s">
        <v>2580</v>
      </c>
      <c r="B513" s="678" t="s">
        <v>1395</v>
      </c>
      <c r="C513" s="679" t="s">
        <v>176</v>
      </c>
      <c r="D513" s="679" t="s">
        <v>136</v>
      </c>
      <c r="E513" s="680" t="s">
        <v>303</v>
      </c>
      <c r="F513" s="680"/>
      <c r="G513" s="680" t="s">
        <v>1154</v>
      </c>
      <c r="H513" s="3"/>
    </row>
    <row r="514" spans="1:29" ht="15" customHeight="1">
      <c r="A514" s="690" t="s">
        <v>2583</v>
      </c>
      <c r="B514" s="688" t="s">
        <v>1191</v>
      </c>
      <c r="C514" s="679" t="s">
        <v>176</v>
      </c>
      <c r="D514" s="679" t="s">
        <v>141</v>
      </c>
      <c r="E514" s="680" t="s">
        <v>303</v>
      </c>
      <c r="F514" s="680"/>
      <c r="G514" s="682" t="s">
        <v>1154</v>
      </c>
      <c r="H514" s="3"/>
    </row>
    <row r="515" spans="1:29" ht="15" customHeight="1">
      <c r="A515" s="690" t="s">
        <v>2586</v>
      </c>
      <c r="B515" s="688" t="s">
        <v>1193</v>
      </c>
      <c r="C515" s="679" t="s">
        <v>176</v>
      </c>
      <c r="D515" s="679" t="s">
        <v>131</v>
      </c>
      <c r="E515" s="680" t="s">
        <v>303</v>
      </c>
      <c r="F515" s="680"/>
      <c r="G515" s="682" t="s">
        <v>1154</v>
      </c>
      <c r="H515" s="3"/>
    </row>
    <row r="516" spans="1:29" ht="15" customHeight="1">
      <c r="A516" s="690" t="s">
        <v>2589</v>
      </c>
      <c r="B516" s="678" t="s">
        <v>1195</v>
      </c>
      <c r="C516" s="679" t="s">
        <v>176</v>
      </c>
      <c r="D516" s="679" t="s">
        <v>139</v>
      </c>
      <c r="E516" s="680" t="s">
        <v>303</v>
      </c>
      <c r="F516" s="680"/>
      <c r="G516" s="682" t="s">
        <v>1154</v>
      </c>
      <c r="H516" s="3"/>
    </row>
    <row r="517" spans="1:29" ht="15" customHeight="1">
      <c r="A517" s="690" t="s">
        <v>1267</v>
      </c>
      <c r="B517" s="678" t="s">
        <v>808</v>
      </c>
      <c r="C517" s="679"/>
      <c r="D517" s="679"/>
      <c r="E517" s="680" t="s">
        <v>303</v>
      </c>
      <c r="F517" s="686"/>
      <c r="G517" s="682" t="e">
        <v>#N/A</v>
      </c>
      <c r="H517" s="3"/>
      <c r="I517" s="3"/>
      <c r="J517" s="3"/>
      <c r="L517" s="3"/>
      <c r="M517" s="3"/>
      <c r="N517" s="3"/>
      <c r="O517" s="3"/>
      <c r="P517" s="3"/>
      <c r="Q517" s="3"/>
      <c r="R517" s="3"/>
      <c r="S517" s="3"/>
      <c r="T517" s="3"/>
      <c r="U517" s="3"/>
      <c r="V517" s="3"/>
      <c r="W517" s="3"/>
      <c r="X517" s="3"/>
      <c r="Y517" s="3"/>
      <c r="Z517" s="3"/>
      <c r="AA517" s="3"/>
      <c r="AB517" s="3"/>
      <c r="AC517" s="3"/>
    </row>
    <row r="518" spans="1:29" ht="15" customHeight="1">
      <c r="A518" s="690" t="s">
        <v>2594</v>
      </c>
      <c r="B518" s="688" t="s">
        <v>1197</v>
      </c>
      <c r="C518" s="679" t="s">
        <v>176</v>
      </c>
      <c r="D518" s="679" t="s">
        <v>132</v>
      </c>
      <c r="E518" s="680" t="s">
        <v>303</v>
      </c>
      <c r="F518" s="680"/>
      <c r="G518" s="682" t="s">
        <v>1154</v>
      </c>
      <c r="H518" s="3"/>
      <c r="I518" s="3"/>
      <c r="J518" s="3"/>
      <c r="L518" s="3"/>
      <c r="M518" s="3"/>
      <c r="N518" s="3"/>
      <c r="O518" s="3"/>
      <c r="P518" s="3"/>
      <c r="Q518" s="3"/>
      <c r="R518" s="3"/>
      <c r="S518" s="3"/>
      <c r="T518" s="3"/>
      <c r="U518" s="3"/>
      <c r="V518" s="3"/>
      <c r="W518" s="3"/>
      <c r="X518" s="3"/>
      <c r="Y518" s="3"/>
      <c r="Z518" s="3"/>
      <c r="AA518" s="3"/>
      <c r="AB518" s="3"/>
      <c r="AC518" s="3"/>
    </row>
    <row r="519" spans="1:29" ht="13.5" customHeight="1">
      <c r="A519" s="690" t="s">
        <v>2597</v>
      </c>
      <c r="B519" s="678" t="s">
        <v>1199</v>
      </c>
      <c r="C519" s="679" t="s">
        <v>176</v>
      </c>
      <c r="D519" s="679" t="s">
        <v>137</v>
      </c>
      <c r="E519" s="680" t="s">
        <v>303</v>
      </c>
      <c r="F519" s="686"/>
      <c r="G519" s="682" t="s">
        <v>1154</v>
      </c>
      <c r="H519" s="3"/>
    </row>
    <row r="520" spans="1:29" ht="15" customHeight="1">
      <c r="A520" s="690" t="s">
        <v>2600</v>
      </c>
      <c r="B520" s="688" t="s">
        <v>1201</v>
      </c>
      <c r="C520" s="679" t="s">
        <v>176</v>
      </c>
      <c r="D520" s="679" t="s">
        <v>138</v>
      </c>
      <c r="E520" s="680" t="s">
        <v>303</v>
      </c>
      <c r="F520" s="680"/>
      <c r="G520" s="682" t="s">
        <v>1154</v>
      </c>
      <c r="H520" s="3"/>
    </row>
    <row r="521" spans="1:29" ht="15" customHeight="1">
      <c r="A521" s="690" t="s">
        <v>2603</v>
      </c>
      <c r="B521" s="678" t="s">
        <v>1203</v>
      </c>
      <c r="C521" s="679" t="s">
        <v>176</v>
      </c>
      <c r="D521" s="679" t="s">
        <v>140</v>
      </c>
      <c r="E521" s="680" t="s">
        <v>303</v>
      </c>
      <c r="F521" s="686"/>
      <c r="G521" s="682" t="s">
        <v>1154</v>
      </c>
      <c r="H521" s="3"/>
    </row>
    <row r="522" spans="1:29" ht="15" customHeight="1">
      <c r="A522" s="690" t="s">
        <v>2606</v>
      </c>
      <c r="B522" s="678" t="s">
        <v>1265</v>
      </c>
      <c r="C522" s="679" t="s">
        <v>176</v>
      </c>
      <c r="D522" s="679" t="s">
        <v>133</v>
      </c>
      <c r="E522" s="680" t="s">
        <v>303</v>
      </c>
      <c r="F522" s="680"/>
      <c r="G522" s="682" t="s">
        <v>1154</v>
      </c>
      <c r="H522" s="3"/>
    </row>
    <row r="523" spans="1:29" ht="15" customHeight="1">
      <c r="A523" s="690" t="s">
        <v>3398</v>
      </c>
      <c r="B523" s="678" t="s">
        <v>1266</v>
      </c>
      <c r="C523" s="679" t="s">
        <v>176</v>
      </c>
      <c r="D523" s="679" t="s">
        <v>142</v>
      </c>
      <c r="E523" s="680" t="s">
        <v>303</v>
      </c>
      <c r="F523" s="680"/>
      <c r="G523" s="682" t="s">
        <v>1154</v>
      </c>
      <c r="H523" s="3"/>
    </row>
    <row r="524" spans="1:29" ht="15" customHeight="1">
      <c r="A524" s="690" t="s">
        <v>2609</v>
      </c>
      <c r="B524" s="678" t="s">
        <v>1209</v>
      </c>
      <c r="C524" s="679" t="s">
        <v>176</v>
      </c>
      <c r="D524" s="679" t="s">
        <v>134</v>
      </c>
      <c r="E524" s="680" t="s">
        <v>303</v>
      </c>
      <c r="F524" s="686"/>
      <c r="G524" s="682" t="s">
        <v>1154</v>
      </c>
      <c r="H524" s="3"/>
      <c r="K524" s="3"/>
    </row>
    <row r="525" spans="1:29" ht="15" customHeight="1">
      <c r="A525" s="690" t="s">
        <v>2611</v>
      </c>
      <c r="B525" s="688" t="s">
        <v>1211</v>
      </c>
      <c r="C525" s="679" t="s">
        <v>176</v>
      </c>
      <c r="D525" s="679" t="s">
        <v>221</v>
      </c>
      <c r="E525" s="680" t="s">
        <v>303</v>
      </c>
      <c r="F525" s="680"/>
      <c r="G525" s="682" t="s">
        <v>1154</v>
      </c>
      <c r="H525" s="3"/>
      <c r="I525" s="3"/>
      <c r="J525" s="3"/>
      <c r="K525" s="3"/>
      <c r="L525" s="3"/>
      <c r="M525" s="3"/>
      <c r="N525" s="3"/>
      <c r="O525" s="3"/>
      <c r="P525" s="3"/>
      <c r="Q525" s="3"/>
      <c r="R525" s="3"/>
      <c r="S525" s="3"/>
      <c r="T525" s="3"/>
      <c r="U525" s="3"/>
      <c r="V525" s="3"/>
      <c r="W525" s="3"/>
      <c r="X525" s="3"/>
      <c r="Y525" s="3"/>
      <c r="Z525" s="3"/>
      <c r="AA525" s="3"/>
      <c r="AB525" s="3"/>
      <c r="AC525" s="3"/>
    </row>
    <row r="526" spans="1:29" ht="15" customHeight="1">
      <c r="A526" s="690" t="s">
        <v>2614</v>
      </c>
      <c r="B526" s="678" t="s">
        <v>1389</v>
      </c>
      <c r="C526" s="679" t="s">
        <v>176</v>
      </c>
      <c r="D526" s="679" t="s">
        <v>213</v>
      </c>
      <c r="E526" s="680" t="s">
        <v>303</v>
      </c>
      <c r="F526" s="680"/>
      <c r="G526" s="680" t="s">
        <v>1154</v>
      </c>
      <c r="H526" s="3"/>
    </row>
    <row r="527" spans="1:29" ht="15" customHeight="1">
      <c r="A527" s="678" t="s">
        <v>2617</v>
      </c>
      <c r="B527" s="678" t="s">
        <v>809</v>
      </c>
      <c r="C527" s="679"/>
      <c r="D527" s="679"/>
      <c r="E527" s="680" t="s">
        <v>303</v>
      </c>
      <c r="F527" s="680"/>
      <c r="G527" s="682" t="s">
        <v>816</v>
      </c>
      <c r="H527" s="3"/>
    </row>
    <row r="528" spans="1:29" ht="15" customHeight="1">
      <c r="A528" s="690" t="s">
        <v>2620</v>
      </c>
      <c r="B528" s="688" t="s">
        <v>1268</v>
      </c>
      <c r="C528" s="679" t="s">
        <v>176</v>
      </c>
      <c r="D528" s="679" t="s">
        <v>210</v>
      </c>
      <c r="E528" s="680" t="s">
        <v>303</v>
      </c>
      <c r="F528" s="680"/>
      <c r="G528" s="682" t="s">
        <v>1154</v>
      </c>
      <c r="H528" s="3"/>
    </row>
    <row r="529" spans="1:29" ht="15" customHeight="1">
      <c r="A529" s="690" t="s">
        <v>2623</v>
      </c>
      <c r="B529" s="678" t="s">
        <v>1269</v>
      </c>
      <c r="C529" s="679" t="s">
        <v>176</v>
      </c>
      <c r="D529" s="679" t="s">
        <v>205</v>
      </c>
      <c r="E529" s="680" t="s">
        <v>303</v>
      </c>
      <c r="F529" s="680"/>
      <c r="G529" s="682" t="s">
        <v>1154</v>
      </c>
      <c r="H529" s="3"/>
    </row>
    <row r="530" spans="1:29" ht="15" customHeight="1">
      <c r="A530" s="678" t="s">
        <v>2625</v>
      </c>
      <c r="B530" s="688" t="s">
        <v>1270</v>
      </c>
      <c r="C530" s="679" t="s">
        <v>176</v>
      </c>
      <c r="D530" s="679" t="s">
        <v>209</v>
      </c>
      <c r="E530" s="680" t="s">
        <v>303</v>
      </c>
      <c r="F530" s="680"/>
      <c r="G530" s="682" t="s">
        <v>1154</v>
      </c>
      <c r="H530" s="3"/>
    </row>
    <row r="531" spans="1:29" ht="15" customHeight="1">
      <c r="A531" s="678" t="s">
        <v>2627</v>
      </c>
      <c r="B531" s="688" t="s">
        <v>1271</v>
      </c>
      <c r="C531" s="679" t="s">
        <v>176</v>
      </c>
      <c r="D531" s="679" t="s">
        <v>206</v>
      </c>
      <c r="E531" s="680" t="s">
        <v>303</v>
      </c>
      <c r="F531" s="680"/>
      <c r="G531" s="682" t="s">
        <v>1154</v>
      </c>
      <c r="H531" s="3"/>
    </row>
    <row r="532" spans="1:29" ht="15" customHeight="1">
      <c r="A532" s="690" t="s">
        <v>2630</v>
      </c>
      <c r="B532" s="678" t="s">
        <v>1272</v>
      </c>
      <c r="C532" s="679" t="s">
        <v>176</v>
      </c>
      <c r="D532" s="679" t="s">
        <v>207</v>
      </c>
      <c r="E532" s="680" t="s">
        <v>303</v>
      </c>
      <c r="F532" s="680"/>
      <c r="G532" s="682" t="s">
        <v>1154</v>
      </c>
      <c r="H532" s="3"/>
      <c r="I532" s="3"/>
      <c r="J532" s="3"/>
      <c r="L532" s="3"/>
      <c r="M532" s="3"/>
      <c r="N532" s="3"/>
      <c r="O532" s="3"/>
      <c r="P532" s="3"/>
      <c r="Q532" s="3"/>
      <c r="R532" s="3"/>
      <c r="S532" s="3"/>
      <c r="T532" s="3"/>
      <c r="U532" s="3"/>
      <c r="V532" s="3"/>
      <c r="W532" s="3"/>
      <c r="X532" s="3"/>
      <c r="Y532" s="3"/>
      <c r="Z532" s="3"/>
      <c r="AA532" s="3"/>
      <c r="AB532" s="3"/>
      <c r="AC532" s="3"/>
    </row>
    <row r="533" spans="1:29" ht="15" customHeight="1">
      <c r="A533" s="690" t="s">
        <v>2632</v>
      </c>
      <c r="B533" s="678" t="s">
        <v>1273</v>
      </c>
      <c r="C533" s="679" t="s">
        <v>176</v>
      </c>
      <c r="D533" s="679" t="s">
        <v>211</v>
      </c>
      <c r="E533" s="680" t="s">
        <v>303</v>
      </c>
      <c r="F533" s="680"/>
      <c r="G533" s="682" t="s">
        <v>1154</v>
      </c>
      <c r="H533" s="3"/>
      <c r="K533" s="3"/>
    </row>
    <row r="534" spans="1:29" ht="15" customHeight="1">
      <c r="A534" s="678" t="s">
        <v>3399</v>
      </c>
      <c r="B534" s="678" t="s">
        <v>1396</v>
      </c>
      <c r="C534" s="679" t="s">
        <v>176</v>
      </c>
      <c r="D534" s="679" t="s">
        <v>214</v>
      </c>
      <c r="E534" s="680" t="s">
        <v>303</v>
      </c>
      <c r="F534" s="680"/>
      <c r="G534" s="680" t="s">
        <v>1154</v>
      </c>
      <c r="H534" s="3"/>
      <c r="K534" s="3"/>
    </row>
    <row r="535" spans="1:29" ht="15" customHeight="1">
      <c r="A535" s="678" t="s">
        <v>3400</v>
      </c>
      <c r="B535" s="678" t="s">
        <v>3316</v>
      </c>
      <c r="C535" s="679" t="s">
        <v>176</v>
      </c>
      <c r="D535" s="679" t="s">
        <v>140</v>
      </c>
      <c r="E535" s="680" t="s">
        <v>303</v>
      </c>
      <c r="F535" s="680"/>
      <c r="G535" s="682" t="s">
        <v>1154</v>
      </c>
      <c r="H535" s="3"/>
    </row>
    <row r="536" spans="1:29" ht="15" customHeight="1">
      <c r="A536" s="678" t="s">
        <v>2635</v>
      </c>
      <c r="B536" s="688" t="s">
        <v>810</v>
      </c>
      <c r="C536" s="679"/>
      <c r="D536" s="679"/>
      <c r="E536" s="680" t="s">
        <v>303</v>
      </c>
      <c r="F536" s="680"/>
      <c r="G536" s="682" t="s">
        <v>816</v>
      </c>
      <c r="H536" s="3"/>
    </row>
    <row r="537" spans="1:29" ht="15" customHeight="1">
      <c r="A537" s="690" t="s">
        <v>2638</v>
      </c>
      <c r="B537" s="678" t="s">
        <v>811</v>
      </c>
      <c r="C537" s="679"/>
      <c r="D537" s="679"/>
      <c r="E537" s="680" t="s">
        <v>303</v>
      </c>
      <c r="F537" s="686"/>
      <c r="G537" s="682" t="s">
        <v>816</v>
      </c>
      <c r="H537" s="3"/>
    </row>
    <row r="538" spans="1:29" ht="15" customHeight="1">
      <c r="A538" s="690" t="s">
        <v>2641</v>
      </c>
      <c r="B538" s="688" t="s">
        <v>812</v>
      </c>
      <c r="C538" s="679"/>
      <c r="D538" s="679"/>
      <c r="E538" s="680" t="s">
        <v>303</v>
      </c>
      <c r="F538" s="680"/>
      <c r="G538" s="682" t="s">
        <v>816</v>
      </c>
      <c r="H538" s="3"/>
    </row>
    <row r="539" spans="1:29" ht="15" customHeight="1">
      <c r="A539" s="690" t="s">
        <v>2644</v>
      </c>
      <c r="B539" s="688" t="s">
        <v>813</v>
      </c>
      <c r="C539" s="679"/>
      <c r="D539" s="679"/>
      <c r="E539" s="680" t="s">
        <v>303</v>
      </c>
      <c r="F539" s="680"/>
      <c r="G539" s="682" t="s">
        <v>816</v>
      </c>
      <c r="H539" s="3"/>
    </row>
    <row r="540" spans="1:29" ht="15" customHeight="1">
      <c r="A540" s="690" t="s">
        <v>2647</v>
      </c>
      <c r="B540" s="678" t="s">
        <v>1158</v>
      </c>
      <c r="C540" s="679" t="s">
        <v>180</v>
      </c>
      <c r="D540" s="679" t="s">
        <v>130</v>
      </c>
      <c r="E540" s="680" t="s">
        <v>303</v>
      </c>
      <c r="F540" s="680"/>
      <c r="G540" s="682" t="e">
        <v>#N/A</v>
      </c>
      <c r="H540" s="3"/>
    </row>
    <row r="541" spans="1:29" ht="15" customHeight="1">
      <c r="A541" s="690" t="s">
        <v>2650</v>
      </c>
      <c r="B541" s="688" t="s">
        <v>1397</v>
      </c>
      <c r="C541" s="679" t="s">
        <v>180</v>
      </c>
      <c r="D541" s="679" t="s">
        <v>130</v>
      </c>
      <c r="E541" s="680" t="s">
        <v>303</v>
      </c>
      <c r="F541" s="680"/>
      <c r="G541" s="680" t="e">
        <v>#N/A</v>
      </c>
      <c r="H541" s="3"/>
    </row>
    <row r="542" spans="1:29" ht="15" customHeight="1">
      <c r="A542" s="678" t="s">
        <v>2653</v>
      </c>
      <c r="B542" s="688" t="s">
        <v>1166</v>
      </c>
      <c r="C542" s="679" t="s">
        <v>180</v>
      </c>
      <c r="D542" s="679" t="s">
        <v>129</v>
      </c>
      <c r="E542" s="680" t="s">
        <v>303</v>
      </c>
      <c r="F542" s="680"/>
      <c r="G542" s="682" t="s">
        <v>1154</v>
      </c>
      <c r="H542" s="3"/>
    </row>
    <row r="543" spans="1:29" ht="15" customHeight="1">
      <c r="A543" s="690" t="s">
        <v>2656</v>
      </c>
      <c r="B543" s="678" t="s">
        <v>1274</v>
      </c>
      <c r="C543" s="679" t="s">
        <v>180</v>
      </c>
      <c r="D543" s="679" t="s">
        <v>204</v>
      </c>
      <c r="E543" s="680" t="s">
        <v>303</v>
      </c>
      <c r="F543" s="680"/>
      <c r="G543" s="682" t="s">
        <v>2</v>
      </c>
      <c r="H543" s="3"/>
    </row>
    <row r="544" spans="1:29" ht="15" customHeight="1">
      <c r="A544" s="678" t="s">
        <v>2659</v>
      </c>
      <c r="B544" s="688" t="s">
        <v>1171</v>
      </c>
      <c r="C544" s="679" t="s">
        <v>180</v>
      </c>
      <c r="D544" s="679" t="s">
        <v>120</v>
      </c>
      <c r="E544" s="680" t="s">
        <v>303</v>
      </c>
      <c r="F544" s="680"/>
      <c r="G544" s="682" t="s">
        <v>1154</v>
      </c>
      <c r="H544" s="3"/>
    </row>
    <row r="545" spans="1:29" ht="15" customHeight="1">
      <c r="A545" s="690" t="s">
        <v>2662</v>
      </c>
      <c r="B545" s="678" t="s">
        <v>1173</v>
      </c>
      <c r="C545" s="679" t="s">
        <v>180</v>
      </c>
      <c r="D545" s="679" t="s">
        <v>121</v>
      </c>
      <c r="E545" s="680" t="s">
        <v>303</v>
      </c>
      <c r="F545" s="680"/>
      <c r="G545" s="682" t="s">
        <v>2</v>
      </c>
      <c r="H545" s="3"/>
    </row>
    <row r="546" spans="1:29" ht="15" customHeight="1">
      <c r="A546" s="690" t="s">
        <v>2665</v>
      </c>
      <c r="B546" s="688" t="s">
        <v>1175</v>
      </c>
      <c r="C546" s="679" t="s">
        <v>180</v>
      </c>
      <c r="D546" s="679" t="s">
        <v>122</v>
      </c>
      <c r="E546" s="680" t="s">
        <v>303</v>
      </c>
      <c r="F546" s="680"/>
      <c r="G546" s="682" t="s">
        <v>1154</v>
      </c>
      <c r="H546" s="3"/>
    </row>
    <row r="547" spans="1:29" ht="15" customHeight="1">
      <c r="A547" s="690" t="s">
        <v>2668</v>
      </c>
      <c r="B547" s="678" t="s">
        <v>1275</v>
      </c>
      <c r="C547" s="679" t="s">
        <v>180</v>
      </c>
      <c r="D547" s="679" t="s">
        <v>124</v>
      </c>
      <c r="E547" s="680" t="s">
        <v>303</v>
      </c>
      <c r="F547" s="680"/>
      <c r="G547" s="682" t="s">
        <v>1154</v>
      </c>
      <c r="H547" s="3"/>
    </row>
    <row r="548" spans="1:29" ht="15" customHeight="1">
      <c r="A548" s="690" t="s">
        <v>2671</v>
      </c>
      <c r="B548" s="688" t="s">
        <v>1179</v>
      </c>
      <c r="C548" s="679" t="s">
        <v>180</v>
      </c>
      <c r="D548" s="679" t="s">
        <v>127</v>
      </c>
      <c r="E548" s="680" t="s">
        <v>303</v>
      </c>
      <c r="F548" s="680"/>
      <c r="G548" s="682" t="s">
        <v>1154</v>
      </c>
      <c r="H548" s="3"/>
    </row>
    <row r="549" spans="1:29" ht="15" customHeight="1">
      <c r="A549" s="690" t="s">
        <v>2674</v>
      </c>
      <c r="B549" s="678" t="s">
        <v>1181</v>
      </c>
      <c r="C549" s="679" t="s">
        <v>180</v>
      </c>
      <c r="D549" s="679" t="s">
        <v>125</v>
      </c>
      <c r="E549" s="680" t="s">
        <v>303</v>
      </c>
      <c r="F549" s="680"/>
      <c r="G549" s="682" t="s">
        <v>1154</v>
      </c>
      <c r="H549" s="3"/>
    </row>
    <row r="550" spans="1:29" ht="15" customHeight="1">
      <c r="A550" s="690" t="s">
        <v>2677</v>
      </c>
      <c r="B550" s="688" t="s">
        <v>1276</v>
      </c>
      <c r="C550" s="679" t="s">
        <v>180</v>
      </c>
      <c r="D550" s="679" t="s">
        <v>125</v>
      </c>
      <c r="E550" s="680" t="s">
        <v>303</v>
      </c>
      <c r="F550" s="680"/>
      <c r="G550" s="682" t="e">
        <v>#N/A</v>
      </c>
      <c r="H550" s="3"/>
    </row>
    <row r="551" spans="1:29" ht="15" customHeight="1">
      <c r="A551" s="690" t="s">
        <v>2680</v>
      </c>
      <c r="B551" s="678" t="s">
        <v>1231</v>
      </c>
      <c r="C551" s="679" t="s">
        <v>180</v>
      </c>
      <c r="D551" s="679" t="s">
        <v>126</v>
      </c>
      <c r="E551" s="680" t="s">
        <v>303</v>
      </c>
      <c r="F551" s="680"/>
      <c r="G551" s="682" t="s">
        <v>1154</v>
      </c>
      <c r="H551" s="3"/>
      <c r="I551" s="3"/>
      <c r="J551" s="3"/>
      <c r="L551" s="3"/>
      <c r="M551" s="3"/>
      <c r="N551" s="3"/>
      <c r="O551" s="3"/>
      <c r="P551" s="3"/>
      <c r="Q551" s="3"/>
      <c r="R551" s="3"/>
      <c r="S551" s="3"/>
      <c r="T551" s="3"/>
      <c r="U551" s="3"/>
      <c r="V551" s="3"/>
      <c r="W551" s="3"/>
      <c r="X551" s="3"/>
      <c r="Y551" s="3"/>
      <c r="Z551" s="3"/>
      <c r="AA551" s="3"/>
      <c r="AB551" s="3"/>
      <c r="AC551" s="3"/>
    </row>
    <row r="552" spans="1:29" ht="15" customHeight="1">
      <c r="A552" s="690" t="s">
        <v>2684</v>
      </c>
      <c r="B552" s="688" t="s">
        <v>1187</v>
      </c>
      <c r="C552" s="679" t="s">
        <v>180</v>
      </c>
      <c r="D552" s="679" t="s">
        <v>135</v>
      </c>
      <c r="E552" s="680" t="s">
        <v>303</v>
      </c>
      <c r="F552" s="680"/>
      <c r="G552" s="682" t="s">
        <v>1154</v>
      </c>
      <c r="H552" s="3"/>
    </row>
    <row r="553" spans="1:29" ht="15" customHeight="1">
      <c r="A553" s="1019" t="s">
        <v>2687</v>
      </c>
      <c r="B553" s="692" t="s">
        <v>1189</v>
      </c>
      <c r="C553" s="693" t="s">
        <v>180</v>
      </c>
      <c r="D553" s="679" t="s">
        <v>136</v>
      </c>
      <c r="E553" s="680" t="s">
        <v>303</v>
      </c>
      <c r="F553" s="680"/>
      <c r="G553" s="680" t="s">
        <v>1154</v>
      </c>
      <c r="H553" s="3"/>
    </row>
    <row r="554" spans="1:29" ht="15" customHeight="1">
      <c r="A554" s="690" t="s">
        <v>2690</v>
      </c>
      <c r="B554" s="688" t="s">
        <v>1191</v>
      </c>
      <c r="C554" s="679" t="s">
        <v>180</v>
      </c>
      <c r="D554" s="679" t="s">
        <v>141</v>
      </c>
      <c r="E554" s="680" t="s">
        <v>303</v>
      </c>
      <c r="F554" s="680"/>
      <c r="G554" s="682" t="s">
        <v>1154</v>
      </c>
      <c r="H554" s="3"/>
    </row>
    <row r="555" spans="1:29" ht="15" customHeight="1">
      <c r="A555" s="690" t="s">
        <v>2693</v>
      </c>
      <c r="B555" s="678" t="s">
        <v>1193</v>
      </c>
      <c r="C555" s="679" t="s">
        <v>180</v>
      </c>
      <c r="D555" s="679" t="s">
        <v>131</v>
      </c>
      <c r="E555" s="680" t="s">
        <v>303</v>
      </c>
      <c r="F555" s="680"/>
      <c r="G555" s="682" t="s">
        <v>1154</v>
      </c>
      <c r="H555" s="3"/>
    </row>
    <row r="556" spans="1:29" ht="15" customHeight="1">
      <c r="A556" s="678" t="s">
        <v>2696</v>
      </c>
      <c r="B556" s="685" t="s">
        <v>1195</v>
      </c>
      <c r="C556" s="679" t="s">
        <v>180</v>
      </c>
      <c r="D556" s="679" t="s">
        <v>139</v>
      </c>
      <c r="E556" s="680" t="s">
        <v>303</v>
      </c>
      <c r="F556" s="681"/>
      <c r="G556" s="682" t="s">
        <v>2</v>
      </c>
      <c r="H556" s="3"/>
    </row>
    <row r="557" spans="1:29" ht="15" customHeight="1">
      <c r="A557" s="690" t="s">
        <v>2698</v>
      </c>
      <c r="B557" s="685" t="s">
        <v>1197</v>
      </c>
      <c r="C557" s="679" t="s">
        <v>180</v>
      </c>
      <c r="D557" s="679" t="s">
        <v>132</v>
      </c>
      <c r="E557" s="680" t="s">
        <v>303</v>
      </c>
      <c r="F557" s="681"/>
      <c r="G557" s="682" t="e">
        <v>#N/A</v>
      </c>
      <c r="H557" s="3"/>
    </row>
    <row r="558" spans="1:29" ht="15" customHeight="1">
      <c r="A558" s="690" t="s">
        <v>2701</v>
      </c>
      <c r="B558" s="685" t="s">
        <v>1199</v>
      </c>
      <c r="C558" s="679" t="s">
        <v>180</v>
      </c>
      <c r="D558" s="679" t="s">
        <v>137</v>
      </c>
      <c r="E558" s="680" t="s">
        <v>303</v>
      </c>
      <c r="F558" s="681"/>
      <c r="G558" s="682" t="e">
        <v>#N/A</v>
      </c>
      <c r="H558" s="3"/>
    </row>
    <row r="559" spans="1:29" ht="15" customHeight="1">
      <c r="A559" s="690" t="s">
        <v>2704</v>
      </c>
      <c r="B559" s="685" t="s">
        <v>1201</v>
      </c>
      <c r="C559" s="679" t="s">
        <v>180</v>
      </c>
      <c r="D559" s="679" t="s">
        <v>138</v>
      </c>
      <c r="E559" s="680" t="s">
        <v>303</v>
      </c>
      <c r="F559" s="681"/>
      <c r="G559" s="682" t="s">
        <v>1154</v>
      </c>
      <c r="H559" s="3"/>
    </row>
    <row r="560" spans="1:29" ht="15" customHeight="1">
      <c r="A560" s="690" t="s">
        <v>2707</v>
      </c>
      <c r="B560" s="685" t="s">
        <v>1203</v>
      </c>
      <c r="C560" s="679" t="s">
        <v>180</v>
      </c>
      <c r="D560" s="679" t="s">
        <v>140</v>
      </c>
      <c r="E560" s="680" t="s">
        <v>303</v>
      </c>
      <c r="F560" s="681"/>
      <c r="G560" s="682" t="s">
        <v>1154</v>
      </c>
      <c r="H560" s="3"/>
    </row>
    <row r="561" spans="1:8" ht="15" customHeight="1">
      <c r="A561" s="690" t="s">
        <v>2710</v>
      </c>
      <c r="B561" s="685" t="s">
        <v>1277</v>
      </c>
      <c r="C561" s="679" t="s">
        <v>180</v>
      </c>
      <c r="D561" s="679" t="s">
        <v>133</v>
      </c>
      <c r="E561" s="680" t="s">
        <v>303</v>
      </c>
      <c r="F561" s="681"/>
      <c r="G561" s="682" t="s">
        <v>1154</v>
      </c>
      <c r="H561" s="3"/>
    </row>
    <row r="562" spans="1:8" ht="15" customHeight="1">
      <c r="A562" s="690" t="s">
        <v>3401</v>
      </c>
      <c r="B562" s="685" t="s">
        <v>1278</v>
      </c>
      <c r="C562" s="679" t="s">
        <v>180</v>
      </c>
      <c r="D562" s="679" t="s">
        <v>142</v>
      </c>
      <c r="E562" s="680" t="s">
        <v>303</v>
      </c>
      <c r="F562" s="681"/>
      <c r="G562" s="682" t="s">
        <v>2</v>
      </c>
      <c r="H562" s="3"/>
    </row>
    <row r="563" spans="1:8" ht="15" customHeight="1">
      <c r="A563" s="690" t="s">
        <v>3890</v>
      </c>
      <c r="B563" s="685" t="s">
        <v>3889</v>
      </c>
      <c r="C563" s="679" t="s">
        <v>180</v>
      </c>
      <c r="D563" s="679" t="s">
        <v>134</v>
      </c>
      <c r="E563" s="680" t="s">
        <v>303</v>
      </c>
      <c r="F563" s="681"/>
      <c r="G563" s="682" t="s">
        <v>1154</v>
      </c>
      <c r="H563" s="3"/>
    </row>
    <row r="564" spans="1:8" ht="15" customHeight="1">
      <c r="A564" s="690" t="s">
        <v>2713</v>
      </c>
      <c r="B564" s="685" t="s">
        <v>1209</v>
      </c>
      <c r="C564" s="679" t="s">
        <v>180</v>
      </c>
      <c r="D564" s="679" t="s">
        <v>134</v>
      </c>
      <c r="E564" s="680" t="s">
        <v>303</v>
      </c>
      <c r="F564" s="681"/>
      <c r="G564" s="682" t="s">
        <v>1154</v>
      </c>
      <c r="H564" s="3"/>
    </row>
    <row r="565" spans="1:8" ht="15" customHeight="1">
      <c r="A565" s="690" t="s">
        <v>2716</v>
      </c>
      <c r="B565" s="688" t="s">
        <v>1211</v>
      </c>
      <c r="C565" s="679" t="s">
        <v>180</v>
      </c>
      <c r="D565" s="679" t="s">
        <v>221</v>
      </c>
      <c r="E565" s="680" t="s">
        <v>303</v>
      </c>
      <c r="F565" s="681"/>
      <c r="G565" s="682" t="s">
        <v>1154</v>
      </c>
      <c r="H565" s="3"/>
    </row>
    <row r="566" spans="1:8" ht="15" customHeight="1">
      <c r="A566" s="690" t="s">
        <v>2719</v>
      </c>
      <c r="B566" s="685" t="s">
        <v>1389</v>
      </c>
      <c r="C566" s="679" t="s">
        <v>180</v>
      </c>
      <c r="D566" s="679" t="s">
        <v>213</v>
      </c>
      <c r="E566" s="680" t="s">
        <v>303</v>
      </c>
      <c r="F566" s="681"/>
      <c r="G566" s="680" t="s">
        <v>1154</v>
      </c>
      <c r="H566" s="3"/>
    </row>
    <row r="567" spans="1:8" ht="15" customHeight="1">
      <c r="A567" s="690" t="s">
        <v>2722</v>
      </c>
      <c r="B567" s="685" t="s">
        <v>814</v>
      </c>
      <c r="C567" s="679"/>
      <c r="D567" s="679"/>
      <c r="E567" s="680" t="s">
        <v>303</v>
      </c>
      <c r="F567" s="681"/>
      <c r="G567" s="682" t="s">
        <v>816</v>
      </c>
      <c r="H567" s="3"/>
    </row>
    <row r="568" spans="1:8" ht="15" customHeight="1">
      <c r="A568" s="690" t="s">
        <v>2725</v>
      </c>
      <c r="B568" s="685" t="s">
        <v>1279</v>
      </c>
      <c r="C568" s="679" t="s">
        <v>180</v>
      </c>
      <c r="D568" s="679" t="s">
        <v>210</v>
      </c>
      <c r="E568" s="680" t="s">
        <v>303</v>
      </c>
      <c r="F568" s="681"/>
      <c r="G568" s="682" t="s">
        <v>1154</v>
      </c>
      <c r="H568" s="3"/>
    </row>
    <row r="569" spans="1:8" ht="15" customHeight="1">
      <c r="A569" s="690" t="s">
        <v>2728</v>
      </c>
      <c r="B569" s="685" t="s">
        <v>1280</v>
      </c>
      <c r="C569" s="679" t="s">
        <v>180</v>
      </c>
      <c r="D569" s="679" t="s">
        <v>205</v>
      </c>
      <c r="E569" s="680" t="s">
        <v>303</v>
      </c>
      <c r="F569" s="681"/>
      <c r="G569" s="682" t="s">
        <v>1154</v>
      </c>
      <c r="H569" s="3"/>
    </row>
    <row r="570" spans="1:8" ht="15" customHeight="1">
      <c r="A570" s="690" t="s">
        <v>2731</v>
      </c>
      <c r="B570" s="685" t="s">
        <v>1281</v>
      </c>
      <c r="C570" s="679" t="s">
        <v>180</v>
      </c>
      <c r="D570" s="679" t="s">
        <v>209</v>
      </c>
      <c r="E570" s="680" t="s">
        <v>303</v>
      </c>
      <c r="F570" s="681"/>
      <c r="G570" s="682" t="s">
        <v>1154</v>
      </c>
      <c r="H570" s="3"/>
    </row>
    <row r="571" spans="1:8" ht="15" customHeight="1">
      <c r="A571" s="690" t="s">
        <v>2734</v>
      </c>
      <c r="B571" s="685" t="s">
        <v>1282</v>
      </c>
      <c r="C571" s="679" t="s">
        <v>180</v>
      </c>
      <c r="D571" s="679" t="s">
        <v>206</v>
      </c>
      <c r="E571" s="680" t="s">
        <v>303</v>
      </c>
      <c r="F571" s="681"/>
      <c r="G571" s="682" t="s">
        <v>1154</v>
      </c>
      <c r="H571" s="3"/>
    </row>
    <row r="572" spans="1:8" ht="15" customHeight="1">
      <c r="A572" s="690" t="s">
        <v>2737</v>
      </c>
      <c r="B572" s="685" t="s">
        <v>1283</v>
      </c>
      <c r="C572" s="679" t="s">
        <v>180</v>
      </c>
      <c r="D572" s="679" t="s">
        <v>207</v>
      </c>
      <c r="E572" s="680" t="s">
        <v>303</v>
      </c>
      <c r="F572" s="681"/>
      <c r="G572" s="682" t="s">
        <v>1154</v>
      </c>
      <c r="H572" s="3"/>
    </row>
    <row r="573" spans="1:8" ht="15" customHeight="1">
      <c r="A573" s="690" t="s">
        <v>2740</v>
      </c>
      <c r="B573" s="685" t="s">
        <v>1284</v>
      </c>
      <c r="C573" s="679" t="s">
        <v>180</v>
      </c>
      <c r="D573" s="679" t="s">
        <v>211</v>
      </c>
      <c r="E573" s="680" t="s">
        <v>303</v>
      </c>
      <c r="F573" s="681"/>
      <c r="G573" s="682" t="e">
        <v>#N/A</v>
      </c>
      <c r="H573" s="3"/>
    </row>
    <row r="574" spans="1:8" ht="15" customHeight="1">
      <c r="A574" s="697" t="s">
        <v>3402</v>
      </c>
      <c r="B574" s="697" t="s">
        <v>1398</v>
      </c>
      <c r="C574" s="679" t="s">
        <v>180</v>
      </c>
      <c r="D574" s="679" t="s">
        <v>214</v>
      </c>
      <c r="E574" s="680" t="s">
        <v>303</v>
      </c>
      <c r="F574" s="680"/>
      <c r="G574" s="680" t="s">
        <v>2</v>
      </c>
      <c r="H574" s="3"/>
    </row>
    <row r="575" spans="1:8" ht="15" customHeight="1">
      <c r="A575" s="678" t="s">
        <v>2742</v>
      </c>
      <c r="B575" s="685" t="s">
        <v>726</v>
      </c>
      <c r="C575" s="679"/>
      <c r="D575" s="679"/>
      <c r="E575" s="680"/>
      <c r="F575" s="681"/>
      <c r="G575" s="682" t="e">
        <v>#N/A</v>
      </c>
      <c r="H575" s="3"/>
    </row>
    <row r="576" spans="1:8" ht="15" customHeight="1">
      <c r="A576" s="690" t="s">
        <v>2745</v>
      </c>
      <c r="B576" s="685" t="s">
        <v>727</v>
      </c>
      <c r="C576" s="679"/>
      <c r="D576" s="679"/>
      <c r="E576" s="680"/>
      <c r="F576" s="681"/>
      <c r="G576" s="682" t="e">
        <v>#N/A</v>
      </c>
      <c r="H576" s="3"/>
    </row>
    <row r="577" spans="1:11" ht="15" customHeight="1">
      <c r="A577" s="690" t="s">
        <v>2748</v>
      </c>
      <c r="B577" s="685" t="s">
        <v>728</v>
      </c>
      <c r="C577" s="679"/>
      <c r="D577" s="679"/>
      <c r="E577" s="680"/>
      <c r="F577" s="681"/>
      <c r="G577" s="682" t="s">
        <v>816</v>
      </c>
      <c r="H577" s="3"/>
    </row>
    <row r="578" spans="1:11" ht="15" customHeight="1">
      <c r="A578" s="678" t="s">
        <v>3403</v>
      </c>
      <c r="B578" s="678" t="s">
        <v>1399</v>
      </c>
      <c r="C578" s="679" t="s">
        <v>198</v>
      </c>
      <c r="D578" s="679" t="s">
        <v>216</v>
      </c>
      <c r="E578" s="680" t="s">
        <v>303</v>
      </c>
      <c r="F578" s="681"/>
      <c r="G578" s="682" t="s">
        <v>1154</v>
      </c>
      <c r="H578" s="3"/>
    </row>
    <row r="579" spans="1:11" ht="15" customHeight="1">
      <c r="A579" s="698" t="s">
        <v>2751</v>
      </c>
      <c r="B579" s="695" t="s">
        <v>1287</v>
      </c>
      <c r="C579" s="693" t="s">
        <v>92</v>
      </c>
      <c r="D579" s="679" t="s">
        <v>148</v>
      </c>
      <c r="E579" s="680" t="s">
        <v>303</v>
      </c>
      <c r="F579" s="681"/>
      <c r="G579" s="682" t="s">
        <v>1154</v>
      </c>
      <c r="H579" s="3"/>
    </row>
    <row r="580" spans="1:11" ht="15" customHeight="1">
      <c r="A580" s="698" t="s">
        <v>1289</v>
      </c>
      <c r="B580" s="695" t="s">
        <v>1288</v>
      </c>
      <c r="C580" s="693" t="s">
        <v>180</v>
      </c>
      <c r="D580" s="679" t="s">
        <v>188</v>
      </c>
      <c r="E580" s="680" t="s">
        <v>303</v>
      </c>
      <c r="F580" s="681"/>
      <c r="G580" s="682" t="s">
        <v>1154</v>
      </c>
      <c r="H580" s="3"/>
      <c r="K580" s="3"/>
    </row>
    <row r="581" spans="1:11" ht="15" customHeight="1">
      <c r="A581" s="690" t="s">
        <v>2756</v>
      </c>
      <c r="B581" s="685" t="s">
        <v>1400</v>
      </c>
      <c r="C581" s="679" t="s">
        <v>92</v>
      </c>
      <c r="D581" s="679" t="s">
        <v>145</v>
      </c>
      <c r="E581" s="680" t="s">
        <v>303</v>
      </c>
      <c r="F581" s="681"/>
      <c r="G581" s="682" t="s">
        <v>1154</v>
      </c>
      <c r="H581" s="3"/>
    </row>
    <row r="582" spans="1:11" ht="15" customHeight="1">
      <c r="A582" s="698" t="s">
        <v>1291</v>
      </c>
      <c r="B582" s="705" t="s">
        <v>1290</v>
      </c>
      <c r="C582" s="679" t="s">
        <v>92</v>
      </c>
      <c r="D582" s="679" t="s">
        <v>105</v>
      </c>
      <c r="E582" s="680" t="s">
        <v>303</v>
      </c>
      <c r="F582" s="681" t="s">
        <v>1368</v>
      </c>
      <c r="G582" s="682" t="s">
        <v>1154</v>
      </c>
      <c r="H582" s="3"/>
    </row>
    <row r="583" spans="1:11" ht="15" customHeight="1">
      <c r="A583" s="699" t="s">
        <v>1293</v>
      </c>
      <c r="B583" s="1039" t="s">
        <v>1292</v>
      </c>
      <c r="C583" s="693" t="s">
        <v>92</v>
      </c>
      <c r="D583" s="679"/>
      <c r="E583" s="686" t="s">
        <v>341</v>
      </c>
      <c r="F583" s="681"/>
      <c r="G583" s="682" t="s">
        <v>1285</v>
      </c>
      <c r="H583" s="3"/>
    </row>
    <row r="584" spans="1:11" ht="15" customHeight="1">
      <c r="A584" s="690" t="s">
        <v>1295</v>
      </c>
      <c r="B584" s="695" t="s">
        <v>1294</v>
      </c>
      <c r="C584" s="693" t="s">
        <v>152</v>
      </c>
      <c r="D584" s="679" t="s">
        <v>105</v>
      </c>
      <c r="E584" s="680" t="s">
        <v>303</v>
      </c>
      <c r="F584" s="681" t="s">
        <v>1368</v>
      </c>
      <c r="G584" s="682" t="s">
        <v>1154</v>
      </c>
      <c r="H584" s="3"/>
    </row>
    <row r="585" spans="1:11" ht="15" customHeight="1">
      <c r="A585" s="1035" t="s">
        <v>1296</v>
      </c>
      <c r="B585" s="1035" t="s">
        <v>1294</v>
      </c>
      <c r="C585" s="679" t="s">
        <v>152</v>
      </c>
      <c r="D585" s="679"/>
      <c r="E585" s="686" t="s">
        <v>341</v>
      </c>
      <c r="F585" s="681"/>
      <c r="G585" s="682" t="s">
        <v>1285</v>
      </c>
      <c r="H585" s="3"/>
    </row>
    <row r="586" spans="1:11" ht="15" customHeight="1">
      <c r="A586" s="690" t="s">
        <v>2763</v>
      </c>
      <c r="B586" s="685" t="s">
        <v>1297</v>
      </c>
      <c r="C586" s="679" t="s">
        <v>92</v>
      </c>
      <c r="D586" s="679" t="s">
        <v>107</v>
      </c>
      <c r="E586" s="680" t="s">
        <v>303</v>
      </c>
      <c r="F586" s="681" t="s">
        <v>1368</v>
      </c>
      <c r="G586" s="682" t="e">
        <v>#N/A</v>
      </c>
      <c r="H586" s="3"/>
    </row>
    <row r="587" spans="1:11" ht="15" customHeight="1">
      <c r="A587" s="690" t="s">
        <v>2766</v>
      </c>
      <c r="B587" s="685" t="s">
        <v>1298</v>
      </c>
      <c r="C587" s="679" t="s">
        <v>152</v>
      </c>
      <c r="D587" s="679" t="s">
        <v>107</v>
      </c>
      <c r="E587" s="680" t="s">
        <v>303</v>
      </c>
      <c r="F587" s="681" t="s">
        <v>1368</v>
      </c>
      <c r="G587" s="682" t="e">
        <v>#N/A</v>
      </c>
      <c r="H587" s="3"/>
    </row>
    <row r="588" spans="1:11" ht="15" customHeight="1">
      <c r="A588" s="1035" t="s">
        <v>1300</v>
      </c>
      <c r="B588" s="1035" t="s">
        <v>1299</v>
      </c>
      <c r="C588" s="679" t="s">
        <v>152</v>
      </c>
      <c r="D588" s="679"/>
      <c r="E588" s="686" t="s">
        <v>341</v>
      </c>
      <c r="F588" s="681"/>
      <c r="G588" s="682" t="e">
        <v>#N/A</v>
      </c>
      <c r="H588" s="3"/>
    </row>
    <row r="589" spans="1:11" ht="15" customHeight="1">
      <c r="A589" s="690" t="s">
        <v>2769</v>
      </c>
      <c r="B589" s="685" t="s">
        <v>1301</v>
      </c>
      <c r="C589" s="679" t="s">
        <v>92</v>
      </c>
      <c r="D589" s="679" t="s">
        <v>106</v>
      </c>
      <c r="E589" s="680" t="s">
        <v>303</v>
      </c>
      <c r="F589" s="681" t="s">
        <v>1368</v>
      </c>
      <c r="G589" s="682" t="s">
        <v>2</v>
      </c>
      <c r="H589" s="3"/>
    </row>
    <row r="590" spans="1:11" ht="15" customHeight="1">
      <c r="A590" s="699" t="s">
        <v>3346</v>
      </c>
      <c r="B590" s="1037" t="s">
        <v>3345</v>
      </c>
      <c r="C590" s="679"/>
      <c r="D590" s="679"/>
      <c r="E590" s="686" t="s">
        <v>341</v>
      </c>
      <c r="F590" s="681"/>
      <c r="G590" s="682" t="e">
        <v>#N/A</v>
      </c>
      <c r="H590" s="3"/>
    </row>
    <row r="591" spans="1:11" ht="15" customHeight="1">
      <c r="A591" s="698" t="s">
        <v>2772</v>
      </c>
      <c r="B591" s="679" t="s">
        <v>1302</v>
      </c>
      <c r="C591" s="679" t="s">
        <v>92</v>
      </c>
      <c r="D591" s="679" t="s">
        <v>106</v>
      </c>
      <c r="E591" s="680" t="s">
        <v>303</v>
      </c>
      <c r="F591" s="681" t="s">
        <v>1368</v>
      </c>
      <c r="G591" s="682" t="s">
        <v>2</v>
      </c>
      <c r="H591" s="3"/>
    </row>
    <row r="592" spans="1:11" ht="15" customHeight="1">
      <c r="A592" s="699" t="s">
        <v>3348</v>
      </c>
      <c r="B592" s="1037" t="s">
        <v>3347</v>
      </c>
      <c r="C592" s="679" t="s">
        <v>92</v>
      </c>
      <c r="D592" s="679"/>
      <c r="E592" s="686" t="s">
        <v>341</v>
      </c>
      <c r="F592" s="681"/>
      <c r="G592" s="682" t="e">
        <v>#N/A</v>
      </c>
      <c r="H592" s="3"/>
    </row>
    <row r="593" spans="1:11" ht="15" customHeight="1">
      <c r="A593" s="698" t="s">
        <v>2775</v>
      </c>
      <c r="B593" s="679" t="s">
        <v>1303</v>
      </c>
      <c r="C593" s="679" t="s">
        <v>152</v>
      </c>
      <c r="D593" s="679" t="s">
        <v>106</v>
      </c>
      <c r="E593" s="680" t="s">
        <v>303</v>
      </c>
      <c r="F593" s="681" t="s">
        <v>1368</v>
      </c>
      <c r="G593" s="682" t="s">
        <v>2</v>
      </c>
      <c r="H593" s="3"/>
      <c r="K593" s="3"/>
    </row>
    <row r="594" spans="1:11" ht="15" customHeight="1">
      <c r="A594" s="699" t="s">
        <v>1305</v>
      </c>
      <c r="B594" s="699" t="s">
        <v>1304</v>
      </c>
      <c r="C594" s="679" t="s">
        <v>152</v>
      </c>
      <c r="D594" s="679"/>
      <c r="E594" s="686" t="s">
        <v>341</v>
      </c>
      <c r="F594" s="681"/>
      <c r="G594" s="682" t="e">
        <v>#N/A</v>
      </c>
      <c r="H594" s="3"/>
    </row>
    <row r="595" spans="1:11" ht="15" customHeight="1">
      <c r="A595" s="698" t="s">
        <v>2778</v>
      </c>
      <c r="B595" s="679" t="s">
        <v>1306</v>
      </c>
      <c r="C595" s="679" t="s">
        <v>152</v>
      </c>
      <c r="D595" s="679" t="s">
        <v>106</v>
      </c>
      <c r="E595" s="680" t="s">
        <v>303</v>
      </c>
      <c r="F595" s="681" t="s">
        <v>1368</v>
      </c>
      <c r="G595" s="682" t="s">
        <v>2</v>
      </c>
      <c r="H595" s="3"/>
    </row>
    <row r="596" spans="1:11" ht="15" customHeight="1">
      <c r="A596" s="699" t="s">
        <v>1308</v>
      </c>
      <c r="B596" s="699" t="s">
        <v>1307</v>
      </c>
      <c r="C596" s="679" t="s">
        <v>152</v>
      </c>
      <c r="D596" s="679"/>
      <c r="E596" s="686" t="s">
        <v>341</v>
      </c>
      <c r="F596" s="681"/>
      <c r="G596" s="682" t="e">
        <v>#N/A</v>
      </c>
      <c r="H596" s="3"/>
    </row>
    <row r="597" spans="1:11" ht="15" customHeight="1">
      <c r="A597" s="698" t="s">
        <v>2781</v>
      </c>
      <c r="B597" s="679" t="s">
        <v>1401</v>
      </c>
      <c r="C597" s="679" t="s">
        <v>92</v>
      </c>
      <c r="D597" s="679" t="s">
        <v>149</v>
      </c>
      <c r="E597" s="680" t="s">
        <v>303</v>
      </c>
      <c r="F597" s="681"/>
      <c r="G597" s="682" t="s">
        <v>1154</v>
      </c>
      <c r="H597" s="3"/>
    </row>
    <row r="598" spans="1:11" ht="15" customHeight="1">
      <c r="A598" s="698" t="s">
        <v>3404</v>
      </c>
      <c r="B598" s="679" t="s">
        <v>1402</v>
      </c>
      <c r="C598" s="679" t="s">
        <v>152</v>
      </c>
      <c r="D598" s="679" t="s">
        <v>149</v>
      </c>
      <c r="E598" s="680" t="s">
        <v>303</v>
      </c>
      <c r="F598" s="681"/>
      <c r="G598" s="682" t="s">
        <v>1154</v>
      </c>
      <c r="H598" s="3"/>
    </row>
    <row r="599" spans="1:11" ht="15" customHeight="1">
      <c r="A599" s="698" t="s">
        <v>1310</v>
      </c>
      <c r="B599" s="679" t="s">
        <v>1312</v>
      </c>
      <c r="C599" s="679" t="s">
        <v>198</v>
      </c>
      <c r="D599" s="679" t="s">
        <v>216</v>
      </c>
      <c r="E599" s="680" t="s">
        <v>303</v>
      </c>
      <c r="F599" s="681"/>
      <c r="G599" s="682" t="s">
        <v>1154</v>
      </c>
      <c r="H599" s="3"/>
    </row>
    <row r="600" spans="1:11" ht="15" customHeight="1">
      <c r="A600" s="698" t="s">
        <v>3405</v>
      </c>
      <c r="B600" s="679" t="s">
        <v>1403</v>
      </c>
      <c r="C600" s="679" t="s">
        <v>198</v>
      </c>
      <c r="D600" s="679" t="s">
        <v>216</v>
      </c>
      <c r="E600" s="680" t="s">
        <v>303</v>
      </c>
      <c r="F600" s="681"/>
      <c r="G600" s="680" t="s">
        <v>1154</v>
      </c>
      <c r="H600" s="3"/>
    </row>
    <row r="601" spans="1:11" ht="15" customHeight="1">
      <c r="A601" s="698" t="s">
        <v>1315</v>
      </c>
      <c r="B601" s="1038" t="s">
        <v>1313</v>
      </c>
      <c r="C601" s="679" t="s">
        <v>198</v>
      </c>
      <c r="D601" s="679" t="s">
        <v>223</v>
      </c>
      <c r="E601" s="680" t="s">
        <v>303</v>
      </c>
      <c r="F601" s="681"/>
      <c r="G601" s="682" t="s">
        <v>1154</v>
      </c>
      <c r="H601" s="3"/>
    </row>
    <row r="602" spans="1:11" ht="15" customHeight="1">
      <c r="A602" s="698" t="s">
        <v>2788</v>
      </c>
      <c r="B602" s="1038" t="s">
        <v>1404</v>
      </c>
      <c r="C602" s="679" t="s">
        <v>198</v>
      </c>
      <c r="D602" s="679" t="s">
        <v>222</v>
      </c>
      <c r="E602" s="680" t="s">
        <v>303</v>
      </c>
      <c r="F602" s="681"/>
      <c r="G602" s="680" t="s">
        <v>1154</v>
      </c>
      <c r="H602" s="3"/>
    </row>
    <row r="603" spans="1:11" ht="15" customHeight="1">
      <c r="A603" s="698" t="s">
        <v>2791</v>
      </c>
      <c r="B603" s="679" t="s">
        <v>1316</v>
      </c>
      <c r="C603" s="679" t="s">
        <v>198</v>
      </c>
      <c r="D603" s="679" t="s">
        <v>223</v>
      </c>
      <c r="E603" s="680" t="s">
        <v>303</v>
      </c>
      <c r="F603" s="681"/>
      <c r="G603" s="682" t="s">
        <v>1154</v>
      </c>
      <c r="H603" s="3"/>
    </row>
    <row r="604" spans="1:11" ht="15" customHeight="1">
      <c r="A604" s="698" t="s">
        <v>3892</v>
      </c>
      <c r="B604" s="679" t="s">
        <v>3891</v>
      </c>
      <c r="C604" s="679" t="s">
        <v>1325</v>
      </c>
      <c r="D604" s="679" t="s">
        <v>3861</v>
      </c>
      <c r="E604" s="680" t="s">
        <v>303</v>
      </c>
      <c r="F604" s="681"/>
      <c r="G604" s="682" t="s">
        <v>1154</v>
      </c>
      <c r="H604" s="3"/>
    </row>
    <row r="605" spans="1:11" ht="15" customHeight="1">
      <c r="A605" s="698" t="s">
        <v>2794</v>
      </c>
      <c r="B605" s="679" t="s">
        <v>1405</v>
      </c>
      <c r="C605" s="679" t="s">
        <v>198</v>
      </c>
      <c r="D605" s="679" t="s">
        <v>142</v>
      </c>
      <c r="E605" s="680" t="s">
        <v>303</v>
      </c>
      <c r="F605" s="681"/>
      <c r="G605" s="680" t="s">
        <v>1154</v>
      </c>
      <c r="H605" s="3"/>
    </row>
    <row r="606" spans="1:11" ht="15" customHeight="1">
      <c r="A606" s="690" t="s">
        <v>3554</v>
      </c>
      <c r="B606" s="685" t="s">
        <v>3553</v>
      </c>
      <c r="C606" s="679" t="s">
        <v>161</v>
      </c>
      <c r="D606" s="679" t="s">
        <v>140</v>
      </c>
      <c r="E606" s="680" t="s">
        <v>303</v>
      </c>
      <c r="F606" s="680"/>
      <c r="G606" s="682" t="s">
        <v>1154</v>
      </c>
      <c r="H606" s="3"/>
    </row>
    <row r="607" spans="1:11" ht="15" customHeight="1">
      <c r="A607" s="1172" t="s">
        <v>3906</v>
      </c>
      <c r="B607" s="1173" t="s">
        <v>3905</v>
      </c>
      <c r="C607" s="679" t="s">
        <v>152</v>
      </c>
      <c r="D607" s="679" t="s">
        <v>153</v>
      </c>
      <c r="E607" s="680" t="s">
        <v>303</v>
      </c>
      <c r="F607" s="681"/>
      <c r="G607" s="680" t="s">
        <v>1110</v>
      </c>
      <c r="H607" s="3"/>
    </row>
    <row r="608" spans="1:11" ht="15" customHeight="1">
      <c r="A608" s="1174" t="s">
        <v>3907</v>
      </c>
      <c r="B608" s="1173" t="s">
        <v>1397</v>
      </c>
      <c r="C608" s="679" t="s">
        <v>176</v>
      </c>
      <c r="D608" s="679" t="s">
        <v>130</v>
      </c>
      <c r="E608" s="680" t="s">
        <v>303</v>
      </c>
      <c r="F608" s="681"/>
      <c r="G608" s="680" t="s">
        <v>1154</v>
      </c>
      <c r="H608" s="3"/>
    </row>
    <row r="609" spans="1:8" ht="15" customHeight="1">
      <c r="A609" s="685"/>
      <c r="B609" s="685"/>
      <c r="C609" s="679"/>
      <c r="D609" s="679"/>
      <c r="E609" s="680"/>
      <c r="F609" s="681"/>
      <c r="G609" s="680" t="e">
        <v>#N/A</v>
      </c>
      <c r="H609" s="3"/>
    </row>
    <row r="610" spans="1:8" ht="15" customHeight="1">
      <c r="A610" s="677"/>
      <c r="B610" s="688"/>
      <c r="C610" s="679"/>
      <c r="D610" s="679"/>
      <c r="E610" s="680"/>
      <c r="F610" s="681"/>
      <c r="G610" s="680" t="e">
        <v>#N/A</v>
      </c>
      <c r="H610" s="3"/>
    </row>
    <row r="611" spans="1:8" ht="15" customHeight="1">
      <c r="A611" s="685"/>
      <c r="B611" s="685"/>
      <c r="C611" s="679"/>
      <c r="D611" s="679"/>
      <c r="E611" s="680"/>
      <c r="F611" s="681"/>
      <c r="G611" s="680" t="e">
        <v>#N/A</v>
      </c>
      <c r="H611" s="3"/>
    </row>
    <row r="612" spans="1:8" ht="15" customHeight="1">
      <c r="A612" s="685"/>
      <c r="B612" s="685"/>
      <c r="C612" s="679"/>
      <c r="D612" s="679"/>
      <c r="E612" s="680"/>
      <c r="F612" s="681"/>
      <c r="G612" s="680" t="e">
        <v>#N/A</v>
      </c>
      <c r="H612" s="3"/>
    </row>
    <row r="613" spans="1:8" ht="15" customHeight="1">
      <c r="A613" s="690"/>
      <c r="B613" s="685"/>
      <c r="C613" s="679"/>
      <c r="D613" s="679"/>
      <c r="E613" s="680"/>
      <c r="F613" s="681"/>
      <c r="G613" s="680" t="e">
        <v>#N/A</v>
      </c>
      <c r="H613" s="3"/>
    </row>
    <row r="614" spans="1:8" ht="15" customHeight="1">
      <c r="A614" s="677"/>
      <c r="B614" s="688"/>
      <c r="C614" s="679"/>
      <c r="D614" s="679"/>
      <c r="E614" s="680"/>
      <c r="F614" s="681"/>
      <c r="G614" s="680" t="e">
        <v>#N/A</v>
      </c>
      <c r="H614" s="3"/>
    </row>
    <row r="615" spans="1:8" ht="15" customHeight="1">
      <c r="A615" s="689"/>
      <c r="B615" s="678"/>
      <c r="C615" s="679"/>
      <c r="D615" s="679"/>
      <c r="E615" s="680"/>
      <c r="F615" s="681"/>
      <c r="G615" s="680" t="e">
        <v>#N/A</v>
      </c>
      <c r="H615" s="3"/>
    </row>
    <row r="616" spans="1:8" ht="15" customHeight="1">
      <c r="A616" s="689"/>
      <c r="B616" s="678"/>
      <c r="C616" s="679"/>
      <c r="D616" s="679"/>
      <c r="E616" s="680"/>
      <c r="F616" s="681"/>
      <c r="G616" s="680" t="e">
        <v>#N/A</v>
      </c>
      <c r="H616" s="3"/>
    </row>
    <row r="617" spans="1:8" ht="15" customHeight="1">
      <c r="A617" s="677"/>
      <c r="B617" s="685"/>
      <c r="C617" s="679"/>
      <c r="D617" s="679"/>
      <c r="E617" s="680"/>
      <c r="F617" s="681"/>
      <c r="G617" s="680" t="e">
        <v>#N/A</v>
      </c>
      <c r="H617" s="3"/>
    </row>
    <row r="618" spans="1:8" ht="15" customHeight="1">
      <c r="A618" s="690"/>
      <c r="B618" s="685"/>
      <c r="C618" s="679"/>
      <c r="D618" s="679"/>
      <c r="E618" s="680"/>
      <c r="F618" s="681"/>
      <c r="G618" s="680" t="e">
        <v>#N/A</v>
      </c>
      <c r="H618" s="3"/>
    </row>
    <row r="619" spans="1:8" ht="15" customHeight="1">
      <c r="A619" s="690"/>
      <c r="B619" s="685"/>
      <c r="C619" s="679"/>
      <c r="D619" s="679"/>
      <c r="E619" s="680"/>
      <c r="F619" s="681"/>
      <c r="G619" s="680" t="e">
        <v>#N/A</v>
      </c>
      <c r="H619" s="3"/>
    </row>
    <row r="620" spans="1:8" ht="15" customHeight="1">
      <c r="A620" s="690"/>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77"/>
      <c r="B622" s="688"/>
      <c r="C622" s="679"/>
      <c r="D622" s="679"/>
      <c r="E622" s="680"/>
      <c r="F622" s="681"/>
      <c r="G622" s="680" t="e">
        <v>#N/A</v>
      </c>
      <c r="H622" s="3"/>
    </row>
    <row r="623" spans="1:8" ht="15" customHeight="1">
      <c r="A623" s="677"/>
      <c r="B623" s="688"/>
      <c r="C623" s="679"/>
      <c r="D623" s="679"/>
      <c r="E623" s="680"/>
      <c r="F623" s="681"/>
      <c r="G623" s="680" t="e">
        <v>#N/A</v>
      </c>
      <c r="H623" s="3"/>
    </row>
    <row r="624" spans="1:8" ht="15" customHeight="1">
      <c r="A624" s="677"/>
      <c r="B624" s="688"/>
      <c r="C624" s="679"/>
      <c r="D624" s="679"/>
      <c r="E624" s="680"/>
      <c r="F624" s="681"/>
      <c r="G624" s="680" t="e">
        <v>#N/A</v>
      </c>
      <c r="H624" s="3"/>
    </row>
    <row r="625" spans="1:29" ht="15" customHeight="1">
      <c r="A625" s="691"/>
      <c r="B625" s="700"/>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77"/>
      <c r="B628" s="688"/>
      <c r="C628" s="679"/>
      <c r="D628" s="679"/>
      <c r="E628" s="680"/>
      <c r="F628" s="681"/>
      <c r="G628" s="680" t="e">
        <v>#N/A</v>
      </c>
      <c r="H628" s="3"/>
    </row>
    <row r="629" spans="1:29" ht="15" customHeight="1">
      <c r="A629" s="677"/>
      <c r="B629" s="688"/>
      <c r="C629" s="679"/>
      <c r="D629" s="679"/>
      <c r="E629" s="680"/>
      <c r="F629" s="681"/>
      <c r="G629" s="680" t="e">
        <v>#N/A</v>
      </c>
      <c r="H629" s="3"/>
      <c r="I629" s="3"/>
      <c r="J629" s="3"/>
      <c r="L629" s="3"/>
      <c r="M629" s="3"/>
      <c r="N629" s="3"/>
      <c r="O629" s="3"/>
      <c r="P629" s="3"/>
      <c r="Q629" s="3"/>
      <c r="R629" s="3"/>
      <c r="S629" s="3"/>
      <c r="T629" s="3"/>
      <c r="U629" s="3"/>
      <c r="V629" s="3"/>
      <c r="W629" s="3"/>
      <c r="X629" s="3"/>
      <c r="Y629" s="3"/>
      <c r="Z629" s="3"/>
      <c r="AA629" s="3"/>
      <c r="AB629" s="3"/>
      <c r="AC629" s="3"/>
    </row>
    <row r="630" spans="1:29" ht="15" customHeight="1">
      <c r="A630" s="688"/>
      <c r="B630" s="688"/>
      <c r="C630" s="679"/>
      <c r="D630" s="679"/>
      <c r="E630" s="680"/>
      <c r="F630" s="681"/>
      <c r="G630" s="680" t="e">
        <v>#N/A</v>
      </c>
      <c r="H630" s="3"/>
    </row>
    <row r="631" spans="1:29" ht="15" customHeight="1">
      <c r="A631" s="688"/>
      <c r="B631" s="688"/>
      <c r="C631" s="679"/>
      <c r="D631" s="679"/>
      <c r="E631" s="680"/>
      <c r="F631" s="681"/>
      <c r="G631" s="680" t="e">
        <v>#N/A</v>
      </c>
      <c r="H631" s="3"/>
    </row>
    <row r="632" spans="1:29" ht="15" customHeight="1">
      <c r="A632" s="677"/>
      <c r="B632" s="688"/>
      <c r="C632" s="679"/>
      <c r="D632" s="679"/>
      <c r="E632" s="680"/>
      <c r="F632" s="681"/>
      <c r="G632" s="680" t="e">
        <v>#N/A</v>
      </c>
      <c r="H632" s="3"/>
    </row>
    <row r="633" spans="1:29" ht="15" customHeight="1">
      <c r="A633" s="677"/>
      <c r="B633" s="688"/>
      <c r="C633" s="679"/>
      <c r="D633" s="679"/>
      <c r="E633" s="680"/>
      <c r="F633" s="681"/>
      <c r="G633" s="680" t="e">
        <v>#N/A</v>
      </c>
      <c r="H633" s="3"/>
    </row>
    <row r="634" spans="1:29" ht="15" customHeight="1">
      <c r="A634" s="677"/>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c r="K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88"/>
      <c r="B650" s="688"/>
      <c r="C650" s="679"/>
      <c r="D650" s="679"/>
      <c r="E650" s="680"/>
      <c r="F650" s="681"/>
      <c r="G650" s="680" t="e">
        <v>#N/A</v>
      </c>
      <c r="H650" s="3"/>
    </row>
    <row r="651" spans="1:8" ht="15" customHeight="1">
      <c r="A651" s="688"/>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77"/>
      <c r="B653" s="688"/>
      <c r="C653" s="679"/>
      <c r="D653" s="679"/>
      <c r="E653" s="680"/>
      <c r="F653" s="681"/>
      <c r="G653" s="680" t="e">
        <v>#N/A</v>
      </c>
      <c r="H653" s="3"/>
    </row>
    <row r="654" spans="1:8" ht="15" customHeight="1">
      <c r="A654" s="677"/>
      <c r="B654" s="688"/>
      <c r="C654" s="679"/>
      <c r="D654" s="679"/>
      <c r="E654" s="680"/>
      <c r="F654" s="681"/>
      <c r="G654" s="680" t="e">
        <v>#N/A</v>
      </c>
      <c r="H654" s="3"/>
    </row>
    <row r="655" spans="1:8" ht="15" customHeight="1">
      <c r="A655" s="677"/>
      <c r="B655" s="701"/>
      <c r="C655" s="693"/>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688"/>
      <c r="C658" s="679"/>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c r="I660" s="3"/>
      <c r="J660" s="3"/>
      <c r="L660" s="3"/>
      <c r="M660" s="3"/>
      <c r="N660" s="3"/>
      <c r="O660" s="3"/>
      <c r="P660" s="3"/>
      <c r="Q660" s="3"/>
      <c r="R660" s="3"/>
      <c r="S660" s="3"/>
      <c r="T660" s="3"/>
      <c r="U660" s="3"/>
      <c r="V660" s="3"/>
      <c r="W660" s="3"/>
      <c r="X660" s="3"/>
      <c r="Y660" s="3"/>
      <c r="Z660" s="3"/>
      <c r="AA660" s="3"/>
      <c r="AB660" s="3"/>
      <c r="AC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700"/>
      <c r="C683" s="679"/>
      <c r="D683" s="679"/>
      <c r="E683" s="680"/>
      <c r="F683" s="681"/>
      <c r="G683" s="680" t="e">
        <v>#N/A</v>
      </c>
      <c r="H683" s="3"/>
    </row>
    <row r="684" spans="1:8" ht="15" customHeight="1">
      <c r="A684" s="677"/>
      <c r="B684" s="700"/>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688"/>
      <c r="C686" s="679"/>
      <c r="D686" s="679"/>
      <c r="E686" s="680"/>
      <c r="F686" s="681"/>
      <c r="G686" s="680" t="e">
        <v>#N/A</v>
      </c>
      <c r="H686" s="3"/>
    </row>
    <row r="687" spans="1:8" ht="15" customHeight="1">
      <c r="A687" s="677"/>
      <c r="B687" s="688"/>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c r="I695" s="3"/>
      <c r="J695" s="3"/>
      <c r="L695" s="3"/>
      <c r="M695" s="3"/>
      <c r="N695" s="3"/>
      <c r="O695" s="3"/>
      <c r="P695" s="3"/>
      <c r="Q695" s="3"/>
      <c r="R695" s="3"/>
      <c r="S695" s="3"/>
      <c r="T695" s="3"/>
      <c r="U695" s="3"/>
      <c r="V695" s="3"/>
      <c r="W695" s="3"/>
      <c r="X695" s="3"/>
      <c r="Y695" s="3"/>
      <c r="Z695" s="3"/>
      <c r="AA695" s="3"/>
      <c r="AB695" s="3"/>
      <c r="AC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89"/>
      <c r="B698" s="678"/>
      <c r="C698" s="679"/>
      <c r="D698" s="679"/>
      <c r="E698" s="680"/>
      <c r="F698" s="681"/>
      <c r="G698" s="680" t="e">
        <v>#N/A</v>
      </c>
      <c r="H698" s="3"/>
    </row>
    <row r="699" spans="1:29" ht="15" customHeight="1">
      <c r="A699" s="677"/>
      <c r="B699" s="688"/>
      <c r="C699" s="679"/>
      <c r="D699" s="679"/>
      <c r="E699" s="680"/>
      <c r="F699" s="681"/>
      <c r="G699" s="680" t="e">
        <v>#N/A</v>
      </c>
      <c r="H699" s="3"/>
    </row>
    <row r="700" spans="1:29" ht="15" customHeight="1">
      <c r="A700" s="678"/>
      <c r="B700" s="678"/>
      <c r="C700" s="679"/>
      <c r="D700" s="679"/>
      <c r="E700" s="680"/>
      <c r="F700" s="681"/>
      <c r="G700" s="680" t="e">
        <v>#N/A</v>
      </c>
      <c r="H700" s="3"/>
    </row>
    <row r="701" spans="1:29" ht="15" customHeight="1">
      <c r="A701" s="688"/>
      <c r="B701" s="688"/>
      <c r="C701" s="679"/>
      <c r="D701" s="679"/>
      <c r="E701" s="680"/>
      <c r="F701" s="681"/>
      <c r="G701" s="680" t="e">
        <v>#N/A</v>
      </c>
      <c r="H701" s="3"/>
    </row>
    <row r="702" spans="1:29" ht="15" customHeight="1">
      <c r="A702" s="689"/>
      <c r="B702" s="678"/>
      <c r="C702" s="679"/>
      <c r="D702" s="679"/>
      <c r="E702" s="680"/>
      <c r="F702" s="681"/>
      <c r="G702" s="680" t="e">
        <v>#N/A</v>
      </c>
      <c r="H702" s="3"/>
    </row>
    <row r="703" spans="1:29" ht="15" customHeight="1">
      <c r="A703" s="688"/>
      <c r="B703" s="688"/>
      <c r="C703" s="679"/>
      <c r="D703" s="679"/>
      <c r="E703" s="680"/>
      <c r="F703" s="681"/>
      <c r="G703" s="680" t="e">
        <v>#N/A</v>
      </c>
      <c r="H703" s="3"/>
    </row>
    <row r="704" spans="1:29" ht="15" customHeight="1">
      <c r="A704" s="689"/>
      <c r="B704" s="678"/>
      <c r="C704" s="679"/>
      <c r="D704" s="679"/>
      <c r="E704" s="680"/>
      <c r="F704" s="681"/>
      <c r="G704" s="680" t="e">
        <v>#N/A</v>
      </c>
      <c r="H704" s="3"/>
    </row>
    <row r="705" spans="1:29" ht="15" customHeight="1">
      <c r="A705" s="688"/>
      <c r="B705" s="688"/>
      <c r="C705" s="679"/>
      <c r="D705" s="679"/>
      <c r="E705" s="680"/>
      <c r="F705" s="681"/>
      <c r="G705" s="680" t="e">
        <v>#N/A</v>
      </c>
      <c r="H705" s="3"/>
    </row>
    <row r="706" spans="1:29" ht="15" customHeight="1">
      <c r="A706" s="677"/>
      <c r="B706" s="688"/>
      <c r="C706" s="679"/>
      <c r="D706" s="679"/>
      <c r="E706" s="680"/>
      <c r="F706" s="681"/>
      <c r="G706" s="680" t="e">
        <v>#N/A</v>
      </c>
      <c r="H706" s="3"/>
    </row>
    <row r="707" spans="1:29" ht="15" customHeight="1">
      <c r="A707" s="677"/>
      <c r="B707" s="688"/>
      <c r="C707" s="679"/>
      <c r="D707" s="679"/>
      <c r="E707" s="680"/>
      <c r="F707" s="681"/>
      <c r="G707" s="680" t="e">
        <v>#N/A</v>
      </c>
      <c r="H707" s="3"/>
    </row>
    <row r="708" spans="1:29" ht="15" customHeight="1">
      <c r="A708" s="677"/>
      <c r="B708" s="688"/>
      <c r="C708" s="679"/>
      <c r="D708" s="679"/>
      <c r="E708" s="680"/>
      <c r="F708" s="681"/>
      <c r="G708" s="680" t="e">
        <v>#N/A</v>
      </c>
      <c r="H708" s="3"/>
      <c r="I708" s="3"/>
      <c r="J708" s="3"/>
      <c r="L708" s="3"/>
      <c r="M708" s="3"/>
      <c r="N708" s="3"/>
      <c r="O708" s="3"/>
      <c r="P708" s="3"/>
      <c r="Q708" s="3"/>
      <c r="R708" s="3"/>
      <c r="S708" s="3"/>
      <c r="T708" s="3"/>
      <c r="U708" s="3"/>
      <c r="V708" s="3"/>
      <c r="W708" s="3"/>
      <c r="X708" s="3"/>
      <c r="Y708" s="3"/>
      <c r="Z708" s="3"/>
      <c r="AA708" s="3"/>
      <c r="AB708" s="3"/>
      <c r="AC708" s="3"/>
    </row>
    <row r="709" spans="1:29" ht="15" customHeight="1">
      <c r="A709" s="688"/>
      <c r="B709" s="688"/>
      <c r="C709" s="679"/>
      <c r="D709" s="679"/>
      <c r="E709" s="680"/>
      <c r="F709" s="681"/>
      <c r="G709" s="680" t="e">
        <v>#N/A</v>
      </c>
      <c r="H709" s="3"/>
    </row>
    <row r="710" spans="1:29" ht="15" customHeight="1">
      <c r="A710" s="688"/>
      <c r="B710" s="688"/>
      <c r="C710" s="679"/>
      <c r="D710" s="679"/>
      <c r="E710" s="680"/>
      <c r="F710" s="681"/>
      <c r="G710" s="680" t="e">
        <v>#N/A</v>
      </c>
      <c r="H710" s="3"/>
      <c r="I710" s="3"/>
      <c r="J710" s="3"/>
      <c r="L710" s="3"/>
      <c r="M710" s="3"/>
      <c r="N710" s="3"/>
      <c r="O710" s="3"/>
      <c r="P710" s="3"/>
      <c r="Q710" s="3"/>
      <c r="R710" s="3"/>
      <c r="S710" s="3"/>
      <c r="T710" s="3"/>
      <c r="U710" s="3"/>
      <c r="V710" s="3"/>
      <c r="W710" s="3"/>
      <c r="X710" s="3"/>
      <c r="Y710" s="3"/>
      <c r="Z710" s="3"/>
      <c r="AA710" s="3"/>
      <c r="AB710" s="3"/>
      <c r="AC710" s="3"/>
    </row>
    <row r="711" spans="1:29" ht="15" customHeight="1">
      <c r="A711" s="677"/>
      <c r="B711" s="688"/>
      <c r="C711" s="679"/>
      <c r="D711" s="679"/>
      <c r="E711" s="680"/>
      <c r="F711" s="681"/>
      <c r="G711" s="680" t="e">
        <v>#N/A</v>
      </c>
      <c r="H711" s="3"/>
      <c r="K711" s="3"/>
    </row>
    <row r="712" spans="1:29" ht="15" customHeight="1">
      <c r="A712" s="677"/>
      <c r="B712" s="688"/>
      <c r="C712" s="679"/>
      <c r="D712" s="679"/>
      <c r="E712" s="680"/>
      <c r="F712" s="681"/>
      <c r="G712" s="680" t="e">
        <v>#N/A</v>
      </c>
      <c r="H712" s="3"/>
    </row>
    <row r="713" spans="1:29" ht="15" customHeight="1">
      <c r="A713" s="677"/>
      <c r="B713" s="688"/>
      <c r="C713" s="679"/>
      <c r="D713" s="679"/>
      <c r="E713" s="680"/>
      <c r="F713" s="681"/>
      <c r="G713" s="680" t="e">
        <v>#N/A</v>
      </c>
      <c r="H713" s="3"/>
    </row>
    <row r="714" spans="1:29" ht="15" customHeight="1">
      <c r="A714" s="677"/>
      <c r="B714" s="688"/>
      <c r="C714" s="679"/>
      <c r="D714" s="679"/>
      <c r="E714" s="680"/>
      <c r="F714" s="681"/>
      <c r="G714" s="680" t="e">
        <v>#N/A</v>
      </c>
      <c r="H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702"/>
      <c r="B722" s="701"/>
      <c r="C722" s="693"/>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677"/>
      <c r="B725" s="688"/>
      <c r="C725" s="679"/>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702"/>
      <c r="B732" s="703"/>
      <c r="C732" s="679"/>
      <c r="D732" s="679"/>
      <c r="E732" s="680"/>
      <c r="F732" s="681"/>
      <c r="G732" s="680" t="e">
        <v>#N/A</v>
      </c>
      <c r="H732" s="3"/>
    </row>
    <row r="733" spans="1:8" ht="15" customHeight="1">
      <c r="A733" s="677"/>
      <c r="B733" s="685"/>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677"/>
      <c r="B735" s="688"/>
      <c r="C735" s="679"/>
      <c r="D735" s="679"/>
      <c r="E735" s="680"/>
      <c r="F735" s="681"/>
      <c r="G735" s="680" t="e">
        <v>#N/A</v>
      </c>
      <c r="H735" s="3"/>
    </row>
    <row r="736" spans="1:8" ht="15" customHeight="1">
      <c r="A736" s="677"/>
      <c r="B736" s="688"/>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89"/>
      <c r="B739" s="67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77"/>
      <c r="B742" s="68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c r="K746" s="3"/>
    </row>
    <row r="747" spans="1:11" ht="15" customHeight="1">
      <c r="A747" s="677"/>
      <c r="B747" s="688"/>
      <c r="C747" s="679"/>
      <c r="D747" s="679"/>
      <c r="E747" s="680"/>
      <c r="F747" s="681"/>
      <c r="G747" s="680" t="e">
        <v>#N/A</v>
      </c>
      <c r="H747" s="3"/>
    </row>
    <row r="748" spans="1:11" ht="15" customHeight="1">
      <c r="A748" s="677"/>
      <c r="B748" s="701"/>
      <c r="C748" s="693"/>
      <c r="D748" s="679"/>
      <c r="E748" s="680"/>
      <c r="F748" s="681"/>
      <c r="G748" s="680" t="e">
        <v>#N/A</v>
      </c>
      <c r="H748" s="3"/>
    </row>
    <row r="749" spans="1:11" ht="15" customHeight="1">
      <c r="A749" s="677"/>
      <c r="B749" s="688"/>
      <c r="C749" s="679"/>
      <c r="D749" s="679"/>
      <c r="E749" s="680"/>
      <c r="F749" s="681"/>
      <c r="G749" s="680" t="e">
        <v>#N/A</v>
      </c>
      <c r="H749" s="3"/>
    </row>
    <row r="750" spans="1:11" ht="15" customHeight="1">
      <c r="A750" s="677"/>
      <c r="B750" s="688"/>
      <c r="C750" s="679"/>
      <c r="D750" s="679"/>
      <c r="E750" s="680"/>
      <c r="F750" s="681"/>
      <c r="G750" s="680" t="e">
        <v>#N/A</v>
      </c>
      <c r="H750" s="3"/>
    </row>
    <row r="751" spans="1:11" ht="15" customHeight="1">
      <c r="A751" s="677"/>
      <c r="B751" s="688"/>
      <c r="C751" s="679"/>
      <c r="D751" s="679"/>
      <c r="E751" s="680"/>
      <c r="F751" s="681"/>
      <c r="G751" s="680" t="e">
        <v>#N/A</v>
      </c>
      <c r="H751" s="3"/>
    </row>
    <row r="752" spans="1:11" ht="15" customHeight="1">
      <c r="A752" s="677"/>
      <c r="B752" s="688"/>
      <c r="C752" s="679"/>
      <c r="D752" s="679"/>
      <c r="E752" s="680"/>
      <c r="F752" s="681"/>
      <c r="G752" s="680" t="e">
        <v>#N/A</v>
      </c>
      <c r="H752" s="3"/>
    </row>
    <row r="753" spans="1:29" ht="15" customHeight="1">
      <c r="A753" s="677"/>
      <c r="B753" s="688"/>
      <c r="C753" s="679"/>
      <c r="D753" s="679"/>
      <c r="E753" s="680"/>
      <c r="F753" s="681"/>
      <c r="G753" s="680" t="e">
        <v>#N/A</v>
      </c>
      <c r="H753" s="3"/>
    </row>
    <row r="754" spans="1:29" ht="15" customHeight="1">
      <c r="A754" s="677"/>
      <c r="B754" s="688"/>
      <c r="C754" s="679"/>
      <c r="D754" s="679"/>
      <c r="E754" s="680"/>
      <c r="F754" s="681"/>
      <c r="G754" s="680" t="e">
        <v>#N/A</v>
      </c>
      <c r="H754" s="3"/>
    </row>
    <row r="755" spans="1:29" ht="15" customHeight="1">
      <c r="A755" s="677"/>
      <c r="B755" s="688"/>
      <c r="C755" s="679"/>
      <c r="D755" s="679"/>
      <c r="E755" s="680"/>
      <c r="F755" s="681"/>
      <c r="G755" s="680" t="e">
        <v>#N/A</v>
      </c>
      <c r="H755" s="3"/>
    </row>
    <row r="756" spans="1:29" ht="15" customHeight="1">
      <c r="A756" s="688"/>
      <c r="B756" s="688"/>
      <c r="C756" s="679"/>
      <c r="D756" s="679"/>
      <c r="E756" s="680"/>
      <c r="F756" s="681"/>
      <c r="G756" s="680" t="e">
        <v>#N/A</v>
      </c>
      <c r="H756" s="3"/>
    </row>
    <row r="757" spans="1:29" ht="15" customHeight="1">
      <c r="A757" s="677"/>
      <c r="B757" s="688"/>
      <c r="C757" s="679"/>
      <c r="D757" s="679"/>
      <c r="E757" s="680"/>
      <c r="F757" s="681"/>
      <c r="G757" s="680" t="e">
        <v>#N/A</v>
      </c>
      <c r="H757" s="3"/>
    </row>
    <row r="758" spans="1:29" ht="15" customHeight="1">
      <c r="A758" s="677"/>
      <c r="B758" s="688"/>
      <c r="C758" s="679"/>
      <c r="D758" s="679"/>
      <c r="E758" s="680"/>
      <c r="F758" s="681"/>
      <c r="G758" s="680" t="e">
        <v>#N/A</v>
      </c>
      <c r="H758" s="3"/>
    </row>
    <row r="759" spans="1:29" ht="15" customHeight="1">
      <c r="A759" s="677"/>
      <c r="B759" s="688"/>
      <c r="C759" s="679"/>
      <c r="D759" s="679"/>
      <c r="E759" s="680"/>
      <c r="F759" s="681"/>
      <c r="G759" s="680" t="e">
        <v>#N/A</v>
      </c>
      <c r="H759" s="3"/>
      <c r="K759" s="3"/>
    </row>
    <row r="760" spans="1:29" ht="15" customHeight="1">
      <c r="A760" s="677"/>
      <c r="B760" s="688"/>
      <c r="C760" s="679"/>
      <c r="D760" s="679"/>
      <c r="E760" s="680"/>
      <c r="F760" s="681"/>
      <c r="G760" s="680" t="e">
        <v>#N/A</v>
      </c>
      <c r="H760" s="3"/>
    </row>
    <row r="761" spans="1:29" ht="15" customHeight="1">
      <c r="A761" s="677"/>
      <c r="B761" s="688"/>
      <c r="C761" s="679"/>
      <c r="D761" s="679"/>
      <c r="E761" s="680"/>
      <c r="F761" s="681"/>
      <c r="G761" s="680" t="e">
        <v>#N/A</v>
      </c>
      <c r="H761" s="3"/>
      <c r="K761" s="3"/>
    </row>
    <row r="762" spans="1:29" ht="15" customHeight="1">
      <c r="A762" s="677"/>
      <c r="B762" s="688"/>
      <c r="C762" s="679"/>
      <c r="D762" s="679"/>
      <c r="E762" s="680"/>
      <c r="F762" s="681"/>
      <c r="G762" s="680" t="e">
        <v>#N/A</v>
      </c>
      <c r="H762" s="3"/>
    </row>
    <row r="763" spans="1:29" ht="15" customHeight="1">
      <c r="A763" s="677"/>
      <c r="B763" s="688"/>
      <c r="C763" s="679"/>
      <c r="D763" s="679"/>
      <c r="E763" s="680"/>
      <c r="F763" s="681"/>
      <c r="G763" s="680" t="e">
        <v>#N/A</v>
      </c>
      <c r="H763" s="3"/>
    </row>
    <row r="764" spans="1:29" ht="15" customHeight="1">
      <c r="A764" s="677"/>
      <c r="B764" s="688"/>
      <c r="C764" s="679"/>
      <c r="D764" s="679"/>
      <c r="E764" s="680"/>
      <c r="F764" s="681"/>
      <c r="G764" s="680" t="e">
        <v>#N/A</v>
      </c>
      <c r="H764" s="3"/>
    </row>
    <row r="765" spans="1:29" ht="15" customHeight="1">
      <c r="A765" s="677"/>
      <c r="B765" s="688"/>
      <c r="C765" s="679"/>
      <c r="D765" s="679"/>
      <c r="E765" s="680"/>
      <c r="F765" s="681"/>
      <c r="G765" s="680" t="e">
        <v>#N/A</v>
      </c>
      <c r="H765" s="3"/>
    </row>
    <row r="766" spans="1:29" ht="15" customHeight="1">
      <c r="A766" s="677"/>
      <c r="B766" s="688"/>
      <c r="C766" s="679"/>
      <c r="D766" s="679"/>
      <c r="E766" s="680"/>
      <c r="F766" s="681"/>
      <c r="G766" s="680" t="e">
        <v>#N/A</v>
      </c>
      <c r="H766" s="3"/>
    </row>
    <row r="767" spans="1:29" ht="15" customHeight="1">
      <c r="A767" s="677"/>
      <c r="B767" s="688"/>
      <c r="C767" s="679"/>
      <c r="D767" s="679"/>
      <c r="E767" s="680"/>
      <c r="F767" s="681"/>
      <c r="G767" s="680" t="e">
        <v>#N/A</v>
      </c>
      <c r="H767" s="3"/>
    </row>
    <row r="768" spans="1:29" ht="15" customHeight="1">
      <c r="A768" s="677"/>
      <c r="B768" s="688"/>
      <c r="C768" s="679"/>
      <c r="D768" s="679"/>
      <c r="E768" s="680"/>
      <c r="F768" s="681"/>
      <c r="G768" s="680" t="e">
        <v>#N/A</v>
      </c>
      <c r="H768" s="3"/>
      <c r="I768" s="3"/>
      <c r="J768" s="3"/>
      <c r="L768" s="3"/>
      <c r="M768" s="3"/>
      <c r="N768" s="3"/>
      <c r="O768" s="3"/>
      <c r="P768" s="3"/>
      <c r="Q768" s="3"/>
      <c r="R768" s="3"/>
      <c r="S768" s="3"/>
      <c r="T768" s="3"/>
      <c r="U768" s="3"/>
      <c r="V768" s="3"/>
      <c r="W768" s="3"/>
      <c r="X768" s="3"/>
      <c r="Y768" s="3"/>
      <c r="Z768" s="3"/>
      <c r="AA768" s="3"/>
      <c r="AB768" s="3"/>
      <c r="AC768" s="3"/>
    </row>
    <row r="769" spans="1:8" ht="15" customHeight="1">
      <c r="A769" s="677"/>
      <c r="B769" s="688"/>
      <c r="C769" s="679"/>
      <c r="D769" s="679"/>
      <c r="E769" s="680"/>
      <c r="F769" s="681"/>
      <c r="G769" s="680" t="e">
        <v>#N/A</v>
      </c>
      <c r="H769" s="3"/>
    </row>
    <row r="770" spans="1:8" ht="15" customHeight="1">
      <c r="A770" s="677"/>
      <c r="B770" s="688"/>
      <c r="C770" s="679"/>
      <c r="D770" s="679"/>
      <c r="E770" s="680"/>
      <c r="F770" s="681"/>
      <c r="G770" s="680" t="e">
        <v>#N/A</v>
      </c>
      <c r="H770" s="3"/>
    </row>
    <row r="771" spans="1:8" ht="15" customHeight="1">
      <c r="A771" s="677"/>
      <c r="B771" s="688"/>
      <c r="C771" s="679"/>
      <c r="D771" s="679"/>
      <c r="E771" s="680"/>
      <c r="F771" s="681"/>
      <c r="G771" s="680" t="e">
        <v>#N/A</v>
      </c>
      <c r="H771" s="3"/>
    </row>
    <row r="772" spans="1:8" ht="15" customHeight="1">
      <c r="A772" s="677"/>
      <c r="B772" s="688"/>
      <c r="C772" s="679"/>
      <c r="D772" s="679"/>
      <c r="E772" s="680"/>
      <c r="F772" s="681"/>
      <c r="G772" s="680" t="e">
        <v>#N/A</v>
      </c>
      <c r="H772" s="3"/>
    </row>
    <row r="773" spans="1:8" ht="15" customHeight="1">
      <c r="A773" s="677"/>
      <c r="B773" s="688"/>
      <c r="C773" s="679"/>
      <c r="D773" s="679"/>
      <c r="E773" s="680"/>
      <c r="F773" s="681"/>
      <c r="G773" s="680" t="e">
        <v>#N/A</v>
      </c>
      <c r="H773" s="3"/>
    </row>
    <row r="774" spans="1:8" ht="15" customHeight="1">
      <c r="A774" s="677"/>
      <c r="B774" s="688"/>
      <c r="C774" s="679"/>
      <c r="D774" s="679"/>
      <c r="E774" s="680"/>
      <c r="F774" s="681"/>
      <c r="G774" s="680" t="e">
        <v>#N/A</v>
      </c>
      <c r="H774" s="3"/>
    </row>
    <row r="775" spans="1:8" ht="15" customHeight="1">
      <c r="A775" s="677"/>
      <c r="B775" s="688"/>
      <c r="C775" s="679"/>
      <c r="D775" s="679"/>
      <c r="E775" s="680"/>
      <c r="F775" s="681"/>
      <c r="G775" s="680" t="e">
        <v>#N/A</v>
      </c>
      <c r="H775" s="3"/>
    </row>
    <row r="776" spans="1:8" ht="15" customHeight="1">
      <c r="A776" s="677"/>
      <c r="B776" s="688"/>
      <c r="C776" s="679"/>
      <c r="D776" s="679"/>
      <c r="E776" s="680"/>
      <c r="F776" s="681"/>
      <c r="G776" s="680" t="e">
        <v>#N/A</v>
      </c>
      <c r="H776" s="3"/>
    </row>
    <row r="777" spans="1:8" ht="15" customHeight="1">
      <c r="A777" s="677"/>
      <c r="B777" s="688"/>
      <c r="C777" s="679"/>
      <c r="D777" s="679"/>
      <c r="E777" s="680"/>
      <c r="F777" s="681"/>
      <c r="G777" s="680" t="e">
        <v>#N/A</v>
      </c>
      <c r="H777" s="3"/>
    </row>
    <row r="778" spans="1:8" ht="15" customHeight="1">
      <c r="A778" s="677"/>
      <c r="B778" s="688"/>
      <c r="C778" s="679"/>
      <c r="D778" s="679"/>
      <c r="E778" s="680"/>
      <c r="F778" s="681"/>
      <c r="G778" s="680" t="e">
        <v>#N/A</v>
      </c>
      <c r="H778" s="3"/>
    </row>
    <row r="779" spans="1:8" ht="15" customHeight="1">
      <c r="A779" s="677"/>
      <c r="B779" s="688"/>
      <c r="C779" s="679"/>
      <c r="D779" s="679"/>
      <c r="E779" s="680"/>
      <c r="F779" s="681"/>
      <c r="G779" s="680" t="e">
        <v>#N/A</v>
      </c>
      <c r="H779" s="3"/>
    </row>
    <row r="780" spans="1:8" ht="15" customHeight="1">
      <c r="A780" s="677"/>
      <c r="B780" s="688"/>
      <c r="C780" s="679"/>
      <c r="D780" s="679"/>
      <c r="E780" s="680"/>
      <c r="F780" s="681"/>
      <c r="G780" s="680" t="e">
        <v>#N/A</v>
      </c>
      <c r="H780" s="3"/>
    </row>
    <row r="781" spans="1:8" ht="15" customHeight="1">
      <c r="A781" s="677"/>
      <c r="B781" s="688"/>
      <c r="C781" s="679"/>
      <c r="D781" s="679"/>
      <c r="E781" s="680"/>
      <c r="F781" s="681"/>
      <c r="G781" s="680" t="e">
        <v>#N/A</v>
      </c>
      <c r="H781" s="3"/>
    </row>
    <row r="782" spans="1:8" ht="15" customHeight="1">
      <c r="A782" s="677"/>
      <c r="B782" s="688"/>
      <c r="C782" s="679"/>
      <c r="D782" s="679"/>
      <c r="E782" s="680"/>
      <c r="F782" s="681"/>
      <c r="G782" s="680" t="e">
        <v>#N/A</v>
      </c>
      <c r="H782" s="3"/>
    </row>
    <row r="783" spans="1:8" ht="15" customHeight="1">
      <c r="A783" s="677"/>
      <c r="B783" s="688"/>
      <c r="C783" s="679"/>
      <c r="D783" s="679"/>
      <c r="E783" s="680"/>
      <c r="F783" s="681"/>
      <c r="G783" s="680" t="e">
        <v>#N/A</v>
      </c>
      <c r="H783" s="3"/>
    </row>
    <row r="784" spans="1:8"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88"/>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77"/>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c r="I804" s="3"/>
      <c r="J804" s="3"/>
      <c r="L804" s="3"/>
      <c r="M804" s="3"/>
      <c r="N804" s="3"/>
      <c r="O804" s="3"/>
      <c r="P804" s="3"/>
      <c r="Q804" s="3"/>
      <c r="R804" s="3"/>
      <c r="S804" s="3"/>
      <c r="T804" s="3"/>
      <c r="U804" s="3"/>
      <c r="V804" s="3"/>
      <c r="W804" s="3"/>
      <c r="X804" s="3"/>
      <c r="Y804" s="3"/>
      <c r="Z804" s="3"/>
      <c r="AA804" s="3"/>
      <c r="AB804" s="3"/>
      <c r="AC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c r="K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row>
    <row r="815" spans="1:29" ht="15" customHeight="1">
      <c r="A815" s="677"/>
      <c r="B815" s="703"/>
      <c r="C815" s="679"/>
      <c r="D815" s="679"/>
      <c r="E815" s="680"/>
      <c r="F815" s="681"/>
      <c r="G815" s="680" t="e">
        <v>#N/A</v>
      </c>
      <c r="H815" s="3"/>
    </row>
    <row r="816" spans="1:29" ht="15" customHeight="1">
      <c r="A816" s="677"/>
      <c r="B816" s="688"/>
      <c r="C816" s="679"/>
      <c r="D816" s="679"/>
      <c r="E816" s="680"/>
      <c r="F816" s="681"/>
      <c r="G816" s="680" t="e">
        <v>#N/A</v>
      </c>
      <c r="H816" s="4"/>
    </row>
    <row r="817" spans="1:29" ht="15" customHeight="1">
      <c r="A817" s="677"/>
      <c r="B817" s="688"/>
      <c r="C817" s="679"/>
      <c r="D817" s="679"/>
      <c r="E817" s="680"/>
      <c r="F817" s="681"/>
      <c r="G817" s="680" t="e">
        <v>#N/A</v>
      </c>
      <c r="H817" s="4"/>
    </row>
    <row r="818" spans="1:29" ht="15" customHeight="1">
      <c r="A818" s="677"/>
      <c r="B818" s="688"/>
      <c r="C818" s="679"/>
      <c r="D818" s="679"/>
      <c r="E818" s="680"/>
      <c r="F818" s="681"/>
      <c r="G818" s="680" t="e">
        <v>#N/A</v>
      </c>
      <c r="H818" s="3"/>
    </row>
    <row r="819" spans="1:29" ht="15" customHeight="1">
      <c r="A819" s="677"/>
      <c r="B819" s="688"/>
      <c r="C819" s="679"/>
      <c r="D819" s="679"/>
      <c r="E819" s="680"/>
      <c r="F819" s="681"/>
      <c r="G819" s="680" t="e">
        <v>#N/A</v>
      </c>
      <c r="H819" s="3"/>
    </row>
    <row r="820" spans="1:29" ht="15" customHeight="1">
      <c r="A820" s="677"/>
      <c r="B820" s="688"/>
      <c r="C820" s="679"/>
      <c r="D820" s="679"/>
      <c r="E820" s="680"/>
      <c r="F820" s="681"/>
      <c r="G820" s="680" t="e">
        <v>#N/A</v>
      </c>
      <c r="H820" s="3"/>
      <c r="I820" s="3"/>
      <c r="J820" s="3"/>
      <c r="K820" s="3"/>
      <c r="L820" s="3"/>
      <c r="M820" s="3"/>
      <c r="N820" s="3"/>
      <c r="O820" s="3"/>
      <c r="P820" s="3"/>
      <c r="Q820" s="3"/>
      <c r="R820" s="3"/>
      <c r="S820" s="3"/>
      <c r="T820" s="3"/>
      <c r="U820" s="3"/>
      <c r="V820" s="3"/>
      <c r="W820" s="3"/>
      <c r="X820" s="3"/>
      <c r="Y820" s="3"/>
      <c r="Z820" s="3"/>
      <c r="AA820" s="3"/>
      <c r="AB820" s="3"/>
      <c r="AC820" s="3"/>
    </row>
    <row r="821" spans="1:29" ht="15" customHeight="1">
      <c r="A821" s="677"/>
      <c r="B821" s="688"/>
      <c r="C821" s="679"/>
      <c r="D821" s="679"/>
      <c r="E821" s="680"/>
      <c r="F821" s="681"/>
      <c r="G821" s="680" t="e">
        <v>#N/A</v>
      </c>
      <c r="H821" s="3"/>
      <c r="I821" s="3"/>
      <c r="J821" s="3"/>
      <c r="L821" s="3"/>
      <c r="M821" s="3"/>
      <c r="N821" s="3"/>
      <c r="O821" s="3"/>
      <c r="P821" s="3"/>
      <c r="Q821" s="3"/>
      <c r="R821" s="3"/>
      <c r="S821" s="3"/>
      <c r="T821" s="3"/>
      <c r="U821" s="3"/>
      <c r="V821" s="3"/>
      <c r="W821" s="3"/>
      <c r="X821" s="3"/>
      <c r="Y821" s="3"/>
      <c r="Z821" s="3"/>
      <c r="AA821" s="3"/>
      <c r="AB821" s="3"/>
      <c r="AC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row>
    <row r="824" spans="1:29" ht="15" customHeight="1">
      <c r="A824" s="677"/>
      <c r="B824" s="688"/>
      <c r="C824" s="679"/>
      <c r="D824" s="679"/>
      <c r="E824" s="680"/>
      <c r="F824" s="681"/>
      <c r="G824" s="680" t="e">
        <v>#N/A</v>
      </c>
      <c r="H824" s="3"/>
    </row>
    <row r="825" spans="1:29" ht="15" customHeight="1">
      <c r="A825" s="677"/>
      <c r="B825" s="688"/>
      <c r="C825" s="679"/>
      <c r="D825" s="679"/>
      <c r="E825" s="680"/>
      <c r="F825" s="681"/>
      <c r="G825" s="680" t="e">
        <v>#N/A</v>
      </c>
      <c r="H825" s="3"/>
    </row>
    <row r="826" spans="1:29" ht="15" customHeight="1">
      <c r="A826" s="688"/>
      <c r="B826" s="688"/>
      <c r="C826" s="679"/>
      <c r="D826" s="679"/>
      <c r="E826" s="680"/>
      <c r="F826" s="681"/>
      <c r="G826" s="680" t="e">
        <v>#N/A</v>
      </c>
      <c r="H826" s="33"/>
    </row>
    <row r="827" spans="1:29" ht="15" customHeight="1">
      <c r="A827" s="688"/>
      <c r="B827" s="688"/>
      <c r="C827" s="679"/>
      <c r="D827" s="679"/>
      <c r="E827" s="680"/>
      <c r="F827" s="681"/>
      <c r="G827" s="680" t="e">
        <v>#N/A</v>
      </c>
      <c r="H827" s="33"/>
      <c r="I827" s="3"/>
      <c r="J827" s="3"/>
      <c r="L827" s="3"/>
      <c r="M827" s="3"/>
      <c r="N827" s="3"/>
      <c r="O827" s="3"/>
      <c r="P827" s="3"/>
      <c r="Q827" s="3"/>
      <c r="R827" s="3"/>
      <c r="S827" s="3"/>
      <c r="T827" s="3"/>
      <c r="U827" s="3"/>
      <c r="V827" s="3"/>
      <c r="W827" s="3"/>
      <c r="X827" s="3"/>
      <c r="Y827" s="3"/>
      <c r="Z827" s="3"/>
      <c r="AA827" s="3"/>
      <c r="AB827" s="3"/>
      <c r="AC827" s="3"/>
    </row>
    <row r="828" spans="1:29" ht="15" customHeight="1">
      <c r="A828" s="677"/>
      <c r="B828" s="688"/>
      <c r="C828" s="679"/>
      <c r="D828" s="679"/>
      <c r="E828" s="680"/>
      <c r="F828" s="681"/>
      <c r="G828" s="680" t="e">
        <v>#N/A</v>
      </c>
      <c r="H828" s="33"/>
    </row>
    <row r="829" spans="1:29" ht="15" customHeight="1">
      <c r="A829" s="677"/>
      <c r="B829" s="688"/>
      <c r="C829" s="679"/>
      <c r="D829" s="679"/>
      <c r="E829" s="680"/>
      <c r="F829" s="681"/>
      <c r="G829" s="680" t="e">
        <v>#N/A</v>
      </c>
      <c r="H829" s="33"/>
    </row>
    <row r="830" spans="1:29" ht="15" customHeight="1">
      <c r="A830" s="677"/>
      <c r="B830" s="688"/>
      <c r="C830" s="679"/>
      <c r="D830" s="679"/>
      <c r="E830" s="680"/>
      <c r="F830" s="681"/>
      <c r="G830" s="680" t="e">
        <v>#N/A</v>
      </c>
      <c r="H830" s="3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701"/>
      <c r="C834" s="693"/>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688"/>
      <c r="C837" s="679"/>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
    </row>
    <row r="840" spans="1:8" ht="15" customHeight="1">
      <c r="A840" s="677"/>
      <c r="B840" s="688"/>
      <c r="C840" s="679"/>
      <c r="D840" s="679"/>
      <c r="E840" s="680"/>
      <c r="F840" s="681"/>
      <c r="G840" s="680" t="e">
        <v>#N/A</v>
      </c>
      <c r="H840" s="3"/>
    </row>
    <row r="841" spans="1:8" ht="15" customHeight="1">
      <c r="A841" s="677"/>
      <c r="B841" s="688"/>
      <c r="C841" s="679"/>
      <c r="D841" s="679"/>
      <c r="E841" s="680"/>
      <c r="F841" s="681"/>
      <c r="G841" s="680" t="e">
        <v>#N/A</v>
      </c>
      <c r="H841" s="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3"/>
    </row>
    <row r="850" spans="1:8" ht="15" customHeight="1">
      <c r="A850" s="677"/>
      <c r="B850" s="688"/>
      <c r="C850" s="679"/>
      <c r="D850" s="679"/>
      <c r="E850" s="680"/>
      <c r="F850" s="681"/>
      <c r="G850" s="680" t="e">
        <v>#N/A</v>
      </c>
      <c r="H850" s="33"/>
    </row>
    <row r="851" spans="1:8" ht="15" customHeight="1">
      <c r="A851" s="677"/>
      <c r="B851" s="688"/>
      <c r="C851" s="679"/>
      <c r="D851" s="679"/>
      <c r="E851" s="680"/>
      <c r="F851" s="681"/>
      <c r="G851" s="680" t="e">
        <v>#N/A</v>
      </c>
      <c r="H851" s="3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702"/>
      <c r="B856" s="700"/>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677"/>
      <c r="B859" s="688"/>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88"/>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77"/>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c r="K871" s="3"/>
    </row>
    <row r="872" spans="1:29" ht="15" customHeight="1">
      <c r="A872" s="677"/>
      <c r="B872" s="688"/>
      <c r="C872" s="679"/>
      <c r="D872" s="679"/>
      <c r="E872" s="680"/>
      <c r="F872" s="681"/>
      <c r="G872" s="680" t="e">
        <v>#N/A</v>
      </c>
      <c r="H872" s="33"/>
      <c r="K872" s="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row>
    <row r="875" spans="1:29" ht="15" customHeight="1">
      <c r="A875" s="677"/>
      <c r="B875" s="688"/>
      <c r="C875" s="679"/>
      <c r="D875" s="679"/>
      <c r="E875" s="680"/>
      <c r="F875" s="681"/>
      <c r="G875" s="680" t="e">
        <v>#N/A</v>
      </c>
      <c r="H875" s="33"/>
    </row>
    <row r="876" spans="1:29" ht="15" customHeight="1">
      <c r="A876" s="677"/>
      <c r="B876" s="688"/>
      <c r="C876" s="679"/>
      <c r="D876" s="679"/>
      <c r="E876" s="680"/>
      <c r="F876" s="681"/>
      <c r="G876" s="680" t="e">
        <v>#N/A</v>
      </c>
      <c r="H876" s="33"/>
      <c r="I876" s="3"/>
      <c r="J876" s="3"/>
      <c r="L876" s="3"/>
      <c r="M876" s="3"/>
      <c r="N876" s="3"/>
      <c r="O876" s="3"/>
      <c r="P876" s="3"/>
      <c r="Q876" s="3"/>
      <c r="R876" s="3"/>
      <c r="S876" s="3"/>
      <c r="T876" s="3"/>
      <c r="U876" s="3"/>
      <c r="V876" s="3"/>
      <c r="W876" s="3"/>
      <c r="X876" s="3"/>
      <c r="Y876" s="3"/>
      <c r="Z876" s="3"/>
      <c r="AA876" s="3"/>
      <c r="AB876" s="3"/>
      <c r="AC876" s="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c r="K878" s="3"/>
    </row>
    <row r="879" spans="1:29" ht="15" customHeight="1">
      <c r="A879" s="677"/>
      <c r="B879" s="688"/>
      <c r="C879" s="679"/>
      <c r="D879" s="679"/>
      <c r="E879" s="680"/>
      <c r="F879" s="681"/>
      <c r="G879" s="680" t="e">
        <v>#N/A</v>
      </c>
      <c r="H879" s="3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row>
    <row r="882" spans="1:11" ht="15" customHeight="1">
      <c r="A882" s="688"/>
      <c r="B882" s="688"/>
      <c r="C882" s="679"/>
      <c r="D882" s="679"/>
      <c r="E882" s="680"/>
      <c r="F882" s="681"/>
      <c r="G882" s="680" t="e">
        <v>#N/A</v>
      </c>
      <c r="H882" s="33"/>
    </row>
    <row r="883" spans="1:11" ht="15" customHeight="1">
      <c r="A883" s="677"/>
      <c r="B883" s="688"/>
      <c r="C883" s="679"/>
      <c r="D883" s="679"/>
      <c r="E883" s="680"/>
      <c r="F883" s="681"/>
      <c r="G883" s="680" t="e">
        <v>#N/A</v>
      </c>
      <c r="H883" s="33"/>
      <c r="K883" s="3"/>
    </row>
    <row r="884" spans="1:11" ht="15" customHeight="1">
      <c r="A884" s="677"/>
      <c r="B884" s="688"/>
      <c r="C884" s="679"/>
      <c r="D884" s="679"/>
      <c r="E884" s="680"/>
      <c r="F884" s="681"/>
      <c r="G884" s="680" t="e">
        <v>#N/A</v>
      </c>
      <c r="H884" s="33"/>
    </row>
    <row r="885" spans="1:11" ht="15" customHeight="1">
      <c r="A885" s="677"/>
      <c r="B885" s="688"/>
      <c r="C885" s="679"/>
      <c r="D885" s="679"/>
      <c r="E885" s="680"/>
      <c r="F885" s="681"/>
      <c r="G885" s="680" t="e">
        <v>#N/A</v>
      </c>
      <c r="H885" s="33"/>
    </row>
    <row r="886" spans="1:11" ht="15" customHeight="1">
      <c r="A886" s="677"/>
      <c r="B886" s="688"/>
      <c r="C886" s="679"/>
      <c r="D886" s="679"/>
      <c r="E886" s="680"/>
      <c r="F886" s="681"/>
      <c r="G886" s="680" t="e">
        <v>#N/A</v>
      </c>
      <c r="H886" s="3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88"/>
      <c r="B893" s="688"/>
      <c r="C893" s="679"/>
      <c r="D893" s="679"/>
      <c r="E893" s="680"/>
      <c r="F893" s="681"/>
      <c r="G893" s="680" t="e">
        <v>#N/A</v>
      </c>
      <c r="H893" s="33"/>
    </row>
    <row r="894" spans="1:11" ht="15" customHeight="1">
      <c r="A894" s="688"/>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77"/>
      <c r="B896" s="688"/>
      <c r="C896" s="679"/>
      <c r="D896" s="679"/>
      <c r="E896" s="680"/>
      <c r="F896" s="681"/>
      <c r="G896" s="680" t="e">
        <v>#N/A</v>
      </c>
      <c r="H896" s="33"/>
    </row>
    <row r="897" spans="1:8" ht="15" customHeight="1">
      <c r="A897" s="677"/>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4"/>
    </row>
    <row r="917" spans="1:29" ht="15" customHeight="1">
      <c r="A917" s="689"/>
      <c r="B917" s="678"/>
      <c r="C917" s="679"/>
      <c r="D917" s="679"/>
      <c r="E917" s="680"/>
      <c r="F917" s="681"/>
      <c r="G917" s="680" t="e">
        <f>+VLOOKUP(Data_Validation!$A917,BV_Data_An_Cour!$L:$Q,6,0)</f>
        <v>#N/A</v>
      </c>
      <c r="H917" s="4"/>
    </row>
    <row r="918" spans="1:29" ht="15" customHeight="1">
      <c r="A918" s="688"/>
      <c r="B918" s="688"/>
      <c r="C918" s="679"/>
      <c r="D918" s="679"/>
      <c r="E918" s="680"/>
      <c r="F918" s="681"/>
      <c r="G918" s="680" t="e">
        <f>+VLOOKUP(Data_Validation!$A918,BV_Data_An_Cour!$L:$Q,6,0)</f>
        <v>#N/A</v>
      </c>
      <c r="H918" s="4"/>
    </row>
    <row r="919" spans="1:29" ht="15" customHeight="1">
      <c r="A919" s="688"/>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row>
    <row r="922" spans="1:29" ht="15" customHeight="1">
      <c r="A922" s="677"/>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c r="I924" s="3"/>
      <c r="J924" s="3"/>
      <c r="L924" s="3"/>
      <c r="M924" s="3"/>
      <c r="N924" s="3"/>
      <c r="O924" s="3"/>
      <c r="P924" s="3"/>
      <c r="Q924" s="3"/>
      <c r="R924" s="3"/>
      <c r="S924" s="3"/>
      <c r="T924" s="3"/>
      <c r="U924" s="3"/>
      <c r="V924" s="3"/>
      <c r="W924" s="3"/>
      <c r="X924" s="3"/>
      <c r="Y924" s="3"/>
      <c r="Z924" s="3"/>
      <c r="AA924" s="3"/>
      <c r="AB924" s="3"/>
      <c r="AC924" s="3"/>
    </row>
    <row r="925" spans="1:29" ht="15" customHeight="1">
      <c r="A925" s="689"/>
      <c r="B925" s="678"/>
      <c r="C925" s="679"/>
      <c r="D925" s="679"/>
      <c r="E925" s="686"/>
      <c r="F925" s="686"/>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4"/>
    </row>
    <row r="928" spans="1:29" ht="15" customHeight="1">
      <c r="A928" s="677"/>
      <c r="B928" s="688"/>
      <c r="C928" s="679"/>
      <c r="D928" s="679"/>
      <c r="E928" s="680"/>
      <c r="F928" s="681"/>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3"/>
    </row>
    <row r="931" spans="1:29" ht="15" customHeight="1">
      <c r="A931" s="688"/>
      <c r="B931" s="688"/>
      <c r="C931" s="679"/>
      <c r="D931" s="679"/>
      <c r="E931" s="680"/>
      <c r="F931" s="681"/>
      <c r="G931" s="680" t="e">
        <f>+VLOOKUP(Data_Validation!$A931,BV_Data_An_Cour!$L:$Q,6,0)</f>
        <v>#N/A</v>
      </c>
      <c r="H931" s="3"/>
    </row>
    <row r="932" spans="1:29" ht="15" customHeight="1">
      <c r="A932" s="689"/>
      <c r="B932" s="678"/>
      <c r="C932" s="679"/>
      <c r="D932" s="679"/>
      <c r="E932" s="686"/>
      <c r="F932" s="686"/>
      <c r="G932" s="680" t="e">
        <f>+VLOOKUP(Data_Validation!$A932,BV_Data_An_Cour!$L:$Q,6,0)</f>
        <v>#N/A</v>
      </c>
      <c r="H932" s="3"/>
    </row>
    <row r="933" spans="1:29" ht="15" customHeight="1">
      <c r="A933" s="677"/>
      <c r="B933" s="688"/>
      <c r="C933" s="679"/>
      <c r="D933" s="679"/>
      <c r="E933" s="680"/>
      <c r="F933" s="681"/>
      <c r="G933" s="680" t="e">
        <f>+VLOOKUP(Data_Validation!$A933,BV_Data_An_Cour!$L:$Q,6,0)</f>
        <v>#N/A</v>
      </c>
      <c r="H933" s="3"/>
    </row>
    <row r="934" spans="1:29" ht="15" customHeight="1">
      <c r="A934" s="689"/>
      <c r="B934" s="678"/>
      <c r="C934" s="679"/>
      <c r="D934" s="679"/>
      <c r="E934" s="686"/>
      <c r="F934" s="686"/>
      <c r="G934" s="680" t="e">
        <f>+VLOOKUP(Data_Validation!$A934,BV_Data_An_Cour!$L:$Q,6,0)</f>
        <v>#N/A</v>
      </c>
      <c r="H934" s="3"/>
    </row>
    <row r="935" spans="1:29" ht="15" customHeight="1">
      <c r="A935" s="677"/>
      <c r="B935" s="688"/>
      <c r="C935" s="679"/>
      <c r="D935" s="679"/>
      <c r="E935" s="680"/>
      <c r="F935" s="681"/>
      <c r="G935" s="680" t="e">
        <f>+VLOOKUP(Data_Validation!$A935,BV_Data_An_Cour!$L:$Q,6,0)</f>
        <v>#N/A</v>
      </c>
      <c r="H935" s="3"/>
      <c r="I935" s="3"/>
      <c r="J935" s="3"/>
      <c r="L935" s="3"/>
      <c r="M935" s="3"/>
      <c r="N935" s="3"/>
      <c r="O935" s="3"/>
      <c r="P935" s="3"/>
      <c r="Q935" s="3"/>
      <c r="R935" s="3"/>
      <c r="S935" s="3"/>
      <c r="T935" s="3"/>
      <c r="U935" s="3"/>
      <c r="V935" s="3"/>
      <c r="W935" s="3"/>
      <c r="X935" s="3"/>
      <c r="Y935" s="3"/>
      <c r="Z935" s="3"/>
      <c r="AA935" s="3"/>
      <c r="AB935" s="3"/>
      <c r="AC935" s="3"/>
    </row>
    <row r="936" spans="1:29" ht="15" customHeight="1">
      <c r="A936" s="689"/>
      <c r="B936" s="678"/>
      <c r="C936" s="679"/>
      <c r="D936" s="679"/>
      <c r="E936" s="686"/>
      <c r="F936" s="686"/>
      <c r="G936" s="680" t="e">
        <f>+VLOOKUP(Data_Validation!$A936,BV_Data_An_Cour!$L:$Q,6,0)</f>
        <v>#N/A</v>
      </c>
      <c r="H936" s="3"/>
    </row>
    <row r="937" spans="1:29" ht="15" customHeight="1">
      <c r="A937" s="677"/>
      <c r="B937" s="688"/>
      <c r="C937" s="679"/>
      <c r="D937" s="679"/>
      <c r="E937" s="680"/>
      <c r="F937" s="681"/>
      <c r="G937" s="680" t="e">
        <f>+VLOOKUP(Data_Validation!$A937,BV_Data_An_Cour!$L:$Q,6,0)</f>
        <v>#N/A</v>
      </c>
      <c r="H937" s="3"/>
    </row>
    <row r="938" spans="1:29" ht="15" customHeight="1">
      <c r="A938" s="689"/>
      <c r="B938" s="678"/>
      <c r="C938" s="679"/>
      <c r="D938" s="679"/>
      <c r="E938" s="686"/>
      <c r="F938" s="686"/>
      <c r="G938" s="680" t="e">
        <f>+VLOOKUP(Data_Validation!$A938,BV_Data_An_Cour!$L:$Q,6,0)</f>
        <v>#N/A</v>
      </c>
      <c r="H938" s="3"/>
    </row>
    <row r="939" spans="1:29" ht="15" customHeight="1">
      <c r="A939" s="677"/>
      <c r="B939" s="688"/>
      <c r="C939" s="679"/>
      <c r="D939" s="679"/>
      <c r="E939" s="680"/>
      <c r="F939" s="681"/>
      <c r="G939" s="680" t="e">
        <f>+VLOOKUP(Data_Validation!$A939,BV_Data_An_Cour!$L:$Q,6,0)</f>
        <v>#N/A</v>
      </c>
      <c r="H939" s="3"/>
    </row>
    <row r="940" spans="1:29" ht="15" customHeight="1">
      <c r="A940" s="689"/>
      <c r="B940" s="678"/>
      <c r="C940" s="679"/>
      <c r="D940" s="679"/>
      <c r="E940" s="686"/>
      <c r="F940" s="686"/>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8" ht="15" customHeight="1">
      <c r="A945" s="688"/>
      <c r="B945" s="688"/>
      <c r="C945" s="679"/>
      <c r="D945" s="679"/>
      <c r="E945" s="680"/>
      <c r="F945" s="681"/>
      <c r="G945" s="680" t="e">
        <f>+VLOOKUP(Data_Validation!$A945,BV_Data_An_Cour!$L:$Q,6,0)</f>
        <v>#N/A</v>
      </c>
      <c r="H945" s="3"/>
    </row>
    <row r="946" spans="1:8" ht="15" customHeight="1">
      <c r="A946" s="688"/>
      <c r="B946" s="688"/>
      <c r="C946" s="679"/>
      <c r="D946" s="679"/>
      <c r="E946" s="680"/>
      <c r="F946" s="681"/>
      <c r="G946" s="680" t="e">
        <f>+VLOOKUP(Data_Validation!$A946,BV_Data_An_Cour!$L:$Q,6,0)</f>
        <v>#N/A</v>
      </c>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77"/>
      <c r="B951" s="685"/>
      <c r="C951" s="679"/>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91"/>
      <c r="B954" s="695"/>
      <c r="C954" s="693"/>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677"/>
      <c r="B963" s="685"/>
      <c r="C963" s="679"/>
      <c r="D963" s="679"/>
      <c r="E963" s="680"/>
      <c r="F963" s="681"/>
      <c r="G963" s="680"/>
      <c r="H963" s="3"/>
    </row>
    <row r="964" spans="1:11" ht="15" customHeight="1">
      <c r="A964" s="677"/>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704"/>
      <c r="B966" s="685"/>
      <c r="C966" s="679"/>
      <c r="D966" s="679"/>
      <c r="E966" s="680"/>
      <c r="F966" s="681"/>
      <c r="G966" s="680"/>
      <c r="H966" s="3"/>
    </row>
    <row r="967" spans="1:11" ht="15" customHeight="1">
      <c r="A967" s="704"/>
      <c r="B967" s="685"/>
      <c r="C967" s="679"/>
      <c r="D967" s="679"/>
      <c r="E967" s="680"/>
      <c r="F967" s="681"/>
      <c r="G967" s="680"/>
      <c r="H967" s="3"/>
    </row>
    <row r="968" spans="1:11" ht="15" customHeight="1">
      <c r="A968" s="677"/>
      <c r="B968" s="68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702"/>
      <c r="B971" s="705"/>
      <c r="C971" s="679"/>
      <c r="D971" s="679"/>
      <c r="E971" s="680"/>
      <c r="F971" s="681"/>
      <c r="G971" s="680"/>
      <c r="H971" s="3"/>
    </row>
    <row r="972" spans="1:11" ht="15" customHeight="1">
      <c r="A972" s="677"/>
      <c r="B972" s="685"/>
      <c r="C972" s="679"/>
      <c r="D972" s="679"/>
      <c r="E972" s="680"/>
      <c r="F972" s="681"/>
      <c r="G972" s="680"/>
      <c r="H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c r="K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79"/>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c r="K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c r="I1005" s="3"/>
      <c r="J1005" s="3"/>
      <c r="L1005" s="3"/>
      <c r="M1005" s="3"/>
      <c r="N1005" s="3"/>
      <c r="O1005" s="3"/>
      <c r="P1005" s="3"/>
      <c r="Q1005" s="3"/>
      <c r="R1005" s="3"/>
      <c r="S1005" s="3"/>
      <c r="T1005" s="3"/>
      <c r="U1005" s="3"/>
      <c r="V1005" s="3"/>
      <c r="W1005" s="3"/>
      <c r="X1005" s="3"/>
      <c r="Y1005" s="3"/>
      <c r="Z1005" s="3"/>
      <c r="AA1005" s="3"/>
      <c r="AB1005" s="3"/>
      <c r="AC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706"/>
      <c r="B1008" s="707"/>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c r="M1016" s="3"/>
      <c r="N1016" s="3"/>
      <c r="O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706"/>
      <c r="B1025" s="707"/>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677"/>
      <c r="B1028" s="685"/>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row>
    <row r="1043" spans="1:29" ht="15" customHeight="1">
      <c r="A1043" s="677"/>
      <c r="B1043" s="679"/>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c r="I1045" s="3"/>
      <c r="J1045" s="3"/>
      <c r="L1045" s="3"/>
      <c r="M1045" s="3"/>
      <c r="N1045" s="3"/>
      <c r="O1045" s="3"/>
      <c r="P1045" s="3"/>
      <c r="Q1045" s="3"/>
      <c r="R1045" s="3"/>
      <c r="S1045" s="3"/>
      <c r="T1045" s="3"/>
      <c r="U1045" s="3"/>
      <c r="V1045" s="3"/>
      <c r="W1045" s="3"/>
      <c r="X1045" s="3"/>
      <c r="Y1045" s="3"/>
      <c r="Z1045" s="3"/>
      <c r="AA1045" s="3"/>
      <c r="AB1045" s="3"/>
      <c r="AC1045" s="3"/>
    </row>
    <row r="1046" spans="1:29" ht="15" customHeight="1">
      <c r="A1046" s="708"/>
      <c r="B1046" s="709"/>
      <c r="C1046" s="710"/>
      <c r="D1046" s="710"/>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K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c r="K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702"/>
      <c r="B1079" s="695"/>
      <c r="C1079" s="693"/>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c r="K1095" s="3"/>
    </row>
    <row r="1096" spans="1:11" ht="15" customHeight="1">
      <c r="A1096" s="677"/>
      <c r="B1096" s="685"/>
      <c r="C1096" s="679"/>
      <c r="D1096" s="679"/>
      <c r="E1096" s="680"/>
      <c r="F1096" s="681"/>
      <c r="G1096" s="680"/>
      <c r="H1096" s="3"/>
      <c r="K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row>
    <row r="1099" spans="1:11" ht="15" customHeight="1">
      <c r="A1099" s="677"/>
      <c r="B1099" s="685"/>
      <c r="C1099" s="679"/>
      <c r="D1099" s="679"/>
      <c r="E1099" s="680"/>
      <c r="F1099" s="681"/>
      <c r="G1099" s="680"/>
      <c r="H1099" s="3"/>
    </row>
    <row r="1100" spans="1:11" ht="1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707"/>
      <c r="C1102" s="679"/>
      <c r="D1102" s="679"/>
      <c r="E1102" s="680"/>
      <c r="F1102" s="681"/>
      <c r="G1102" s="680"/>
      <c r="H1102" s="3"/>
      <c r="K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c r="I1108" s="3"/>
      <c r="J1108" s="3"/>
      <c r="L1108" s="3"/>
      <c r="M1108" s="3"/>
      <c r="N1108" s="3"/>
      <c r="O1108" s="3"/>
      <c r="P1108" s="3"/>
      <c r="Q1108" s="3"/>
      <c r="R1108" s="3"/>
      <c r="S1108" s="3"/>
      <c r="T1108" s="3"/>
      <c r="U1108" s="3"/>
      <c r="V1108" s="3"/>
      <c r="W1108" s="3"/>
      <c r="X1108" s="3"/>
      <c r="Y1108" s="3"/>
      <c r="Z1108" s="3"/>
      <c r="AA1108" s="3"/>
      <c r="AB1108" s="3"/>
      <c r="AC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c r="K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 customHeight="1">
      <c r="A1129" s="677"/>
      <c r="B1129" s="685"/>
      <c r="C1129" s="679"/>
      <c r="D1129" s="679"/>
      <c r="E1129" s="680"/>
      <c r="F1129" s="681"/>
      <c r="G1129" s="680"/>
      <c r="H1129" s="4"/>
    </row>
    <row r="1130" spans="1:8" ht="15" customHeight="1">
      <c r="A1130" s="677"/>
      <c r="B1130" s="685"/>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702"/>
      <c r="B1133" s="679"/>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704"/>
      <c r="B1143" s="685"/>
      <c r="C1143" s="679"/>
      <c r="D1143" s="679"/>
      <c r="E1143" s="680"/>
      <c r="F1143" s="681"/>
      <c r="G1143" s="680"/>
    </row>
  </sheetData>
  <autoFilter ref="A1:G946" xr:uid="{00000000-0009-0000-0000-00000F000000}">
    <sortState xmlns:xlrd2="http://schemas.microsoft.com/office/spreadsheetml/2017/richdata2" ref="A2:G946">
      <sortCondition ref="A1:A946"/>
    </sortState>
  </autoFilter>
  <dataValidations count="3">
    <dataValidation type="list" allowBlank="1" showErrorMessage="1" sqref="D1" xr:uid="{2861EBD2-54EA-48B5-8435-6DF8231D6DC1}">
      <formula1>$K$1:$K$159</formula1>
    </dataValidation>
    <dataValidation type="list" allowBlank="1" showErrorMessage="1" sqref="D334:D1143 D237:D332 D2:D234" xr:uid="{00000000-0002-0000-0F00-000000000000}">
      <formula1>$K$3:$K$159</formula1>
    </dataValidation>
    <dataValidation type="list" allowBlank="1" showErrorMessage="1" sqref="C2:C1143" xr:uid="{00000000-0002-0000-0F00-000002000000}">
      <formula1>$I$1:$I$12</formula1>
    </dataValidation>
  </dataValidations>
  <hyperlinks>
    <hyperlink ref="A40" r:id="rId1" xr:uid="{2D07D2A1-B77F-42D8-8AFC-BC5E197F2306}"/>
    <hyperlink ref="A202" r:id="rId2" xr:uid="{9EB86107-39DD-4A3D-AA5C-CC656EB6D19B}"/>
    <hyperlink ref="A207" r:id="rId3" xr:uid="{7520A0BC-3CF3-4738-8429-9D6BBB68AE1A}"/>
    <hyperlink ref="A263" r:id="rId4" xr:uid="{2B003E87-7DD5-4CF8-91E3-A153C1B6AD80}"/>
    <hyperlink ref="A284" r:id="rId5" xr:uid="{A09A5D51-F7B6-4970-80FB-37310E0BBB9D}"/>
    <hyperlink ref="A265" r:id="rId6" xr:uid="{B6A3DC63-CADA-4A8D-915E-9EF10C316FBB}"/>
    <hyperlink ref="A219" r:id="rId7" xr:uid="{3D7AD0D7-3265-469D-B8DD-1CC6DD5CB140}"/>
  </hyperlinks>
  <pageMargins left="0.7" right="0.7" top="0.75" bottom="0.75" header="0" footer="0"/>
  <pageSetup orientation="landscape" r:id="rId8"/>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59765625" defaultRowHeight="15" customHeight="1"/>
  <cols>
    <col min="1" max="1" width="29.19921875" customWidth="1"/>
    <col min="2" max="2" width="31.19921875" customWidth="1"/>
    <col min="3" max="3" width="14.59765625" customWidth="1"/>
    <col min="4" max="8" width="12.8984375" customWidth="1"/>
    <col min="9" max="9" width="23.09765625" bestFit="1" customWidth="1"/>
    <col min="10" max="10" width="12.8984375" customWidth="1"/>
    <col min="11" max="11" width="20.19921875" bestFit="1" customWidth="1"/>
    <col min="12" max="12" width="12.8984375" customWidth="1"/>
    <col min="13" max="13" width="39.69921875" customWidth="1"/>
    <col min="14" max="14" width="14.8984375" customWidth="1"/>
    <col min="15" max="16" width="12.8984375" customWidth="1"/>
    <col min="17" max="17" width="17.3984375" customWidth="1"/>
    <col min="18" max="19" width="12.8984375" customWidth="1"/>
    <col min="20" max="20" width="13" customWidth="1"/>
    <col min="21" max="21" width="42.69921875" customWidth="1"/>
    <col min="22" max="22" width="25.3984375" customWidth="1"/>
    <col min="23" max="23" width="16.8984375" customWidth="1"/>
    <col min="24" max="24" width="8.89843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59765625" defaultRowHeight="15" customHeight="1"/>
  <cols>
    <col min="1" max="1" width="19.19921875" customWidth="1"/>
    <col min="2" max="2" width="42.5" customWidth="1"/>
    <col min="3" max="3" width="13.09765625" customWidth="1"/>
    <col min="4" max="4" width="33.3984375" customWidth="1"/>
    <col min="5" max="6" width="10.59765625" customWidth="1"/>
    <col min="7" max="7" width="43.8984375" customWidth="1"/>
    <col min="8" max="26" width="10.59765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2025-04-09T21:37:04Z</cp:lastPrinted>
  <dcterms:created xsi:type="dcterms:W3CDTF">2023-01-24T17:19:21Z</dcterms:created>
  <dcterms:modified xsi:type="dcterms:W3CDTF">2025-05-08T17:55:41Z</dcterms:modified>
</cp:coreProperties>
</file>